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https://cbbbah.sharepoint.com/sites/StatisticalUnit/Shared Documents/General/erd_nada/MSB no links/"/>
    </mc:Choice>
  </mc:AlternateContent>
  <xr:revisionPtr revIDLastSave="8" documentId="8_{E4DF871C-7580-4477-807F-83E28E63EE34}" xr6:coauthVersionLast="47" xr6:coauthVersionMax="47" xr10:uidLastSave="{4BD1BA35-1F3E-4316-A9C4-BFB0E85219E5}"/>
  <bookViews>
    <workbookView xWindow="-120" yWindow="-120" windowWidth="20730" windowHeight="11160" tabRatio="911" firstSheet="1" activeTab="3" xr2:uid="{00000000-000D-0000-FFFF-FFFF00000000}"/>
  </bookViews>
  <sheets>
    <sheet name="Index" sheetId="3" r:id="rId1"/>
    <sheet name="Metadata" sheetId="118" r:id="rId2"/>
    <sheet name="Indicators" sheetId="63" r:id="rId3"/>
    <sheet name="1" sheetId="4" r:id="rId4"/>
    <sheet name="2" sheetId="5" r:id="rId5"/>
    <sheet name="3" sheetId="6" r:id="rId6"/>
    <sheet name="4" sheetId="7" r:id="rId7"/>
    <sheet name="5" sheetId="8" r:id="rId8"/>
    <sheet name="6" sheetId="79" r:id="rId9"/>
    <sheet name="7" sheetId="80" r:id="rId10"/>
    <sheet name="8" sheetId="95" r:id="rId11"/>
    <sheet name="9" sheetId="81" r:id="rId12"/>
    <sheet name="10" sheetId="82" r:id="rId13"/>
    <sheet name="11" sheetId="83" r:id="rId14"/>
    <sheet name="12" sheetId="9" r:id="rId15"/>
    <sheet name="13" sheetId="10" r:id="rId16"/>
    <sheet name="14" sheetId="11" r:id="rId17"/>
    <sheet name="15" sheetId="12" r:id="rId18"/>
    <sheet name="16" sheetId="13" r:id="rId19"/>
    <sheet name="17" sheetId="14" r:id="rId20"/>
    <sheet name="18" sheetId="15" r:id="rId21"/>
    <sheet name="19" sheetId="102" r:id="rId22"/>
    <sheet name="20" sheetId="98" r:id="rId23"/>
    <sheet name="21" sheetId="65" r:id="rId24"/>
    <sheet name="22" sheetId="64" r:id="rId25"/>
    <sheet name="23" sheetId="61" r:id="rId26"/>
    <sheet name="24" sheetId="105" r:id="rId27"/>
    <sheet name="25" sheetId="106" r:id="rId28"/>
    <sheet name="26" sheetId="17" r:id="rId29"/>
    <sheet name="27" sheetId="18" r:id="rId30"/>
    <sheet name="28" sheetId="73" r:id="rId31"/>
    <sheet name="29" sheetId="72" r:id="rId32"/>
    <sheet name="30" sheetId="75" r:id="rId33"/>
    <sheet name="31" sheetId="74" r:id="rId34"/>
    <sheet name="32" sheetId="78" r:id="rId35"/>
    <sheet name="33" sheetId="77" r:id="rId36"/>
    <sheet name="34" sheetId="76" r:id="rId37"/>
    <sheet name="35" sheetId="111" r:id="rId38"/>
    <sheet name="36" sheetId="112" r:id="rId39"/>
    <sheet name="37" sheetId="113" r:id="rId40"/>
    <sheet name="38" sheetId="101" r:id="rId41"/>
    <sheet name="39" sheetId="97" r:id="rId42"/>
    <sheet name="40" sheetId="104" r:id="rId43"/>
    <sheet name="41" sheetId="107" r:id="rId44"/>
    <sheet name="42" sheetId="110" r:id="rId45"/>
    <sheet name="43" sheetId="114" r:id="rId46"/>
    <sheet name="44" sheetId="115" r:id="rId47"/>
    <sheet name="45" sheetId="116" r:id="rId48"/>
    <sheet name="46" sheetId="117" r:id="rId49"/>
    <sheet name="47" sheetId="84" r:id="rId50"/>
    <sheet name="48" sheetId="108" r:id="rId51"/>
    <sheet name="49" sheetId="109" r:id="rId52"/>
    <sheet name="50" sheetId="90" r:id="rId53"/>
    <sheet name="51" sheetId="91" r:id="rId54"/>
    <sheet name="52" sheetId="92" r:id="rId55"/>
    <sheet name="53" sheetId="93" r:id="rId56"/>
    <sheet name="54" sheetId="94" r:id="rId57"/>
  </sheets>
  <externalReferences>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s>
  <definedNames>
    <definedName name="_TAB1" localSheetId="21">#REF!</definedName>
    <definedName name="_TAB1" localSheetId="40">#REF!</definedName>
    <definedName name="_TAB1" localSheetId="42">#REF!</definedName>
    <definedName name="_TAB1" localSheetId="43">#REF!</definedName>
    <definedName name="_TAB1" localSheetId="44">#REF!</definedName>
    <definedName name="_TAB1" localSheetId="45">#REF!</definedName>
    <definedName name="_TAB1" localSheetId="46">#REF!</definedName>
    <definedName name="_TAB1" localSheetId="50">#REF!</definedName>
    <definedName name="_TAB1" localSheetId="51">#REF!</definedName>
    <definedName name="_TAB1">#REF!</definedName>
    <definedName name="_TAB12" localSheetId="21">#REF!</definedName>
    <definedName name="_TAB12" localSheetId="40">#REF!</definedName>
    <definedName name="_TAB12" localSheetId="42">#REF!</definedName>
    <definedName name="_TAB12" localSheetId="43">#REF!</definedName>
    <definedName name="_TAB12" localSheetId="44">#REF!</definedName>
    <definedName name="_TAB12" localSheetId="45">#REF!</definedName>
    <definedName name="_TAB12" localSheetId="46">#REF!</definedName>
    <definedName name="_TAB12" localSheetId="50">#REF!</definedName>
    <definedName name="_TAB12" localSheetId="51">#REF!</definedName>
    <definedName name="_TAB12">#REF!</definedName>
    <definedName name="_TAB17" localSheetId="21">#REF!</definedName>
    <definedName name="_TAB17" localSheetId="40">#REF!</definedName>
    <definedName name="_TAB17" localSheetId="42">#REF!</definedName>
    <definedName name="_TAB17" localSheetId="43">#REF!</definedName>
    <definedName name="_TAB17" localSheetId="44">#REF!</definedName>
    <definedName name="_TAB17" localSheetId="45">#REF!</definedName>
    <definedName name="_TAB17" localSheetId="46">#REF!</definedName>
    <definedName name="_TAB17" localSheetId="50">#REF!</definedName>
    <definedName name="_TAB17" localSheetId="51">#REF!</definedName>
    <definedName name="_TAB17">#REF!</definedName>
    <definedName name="_TAB20" localSheetId="21">#REF!</definedName>
    <definedName name="_TAB20" localSheetId="43">#REF!</definedName>
    <definedName name="_TAB20" localSheetId="44">#REF!</definedName>
    <definedName name="_TAB20" localSheetId="45">#REF!</definedName>
    <definedName name="_TAB20" localSheetId="46">#REF!</definedName>
    <definedName name="_TAB20" localSheetId="50">#REF!</definedName>
    <definedName name="_TAB20" localSheetId="51">#REF!</definedName>
    <definedName name="_TAB20">#REF!</definedName>
    <definedName name="_TAB4" localSheetId="21">#REF!</definedName>
    <definedName name="_TAB4" localSheetId="43">#REF!</definedName>
    <definedName name="_TAB4" localSheetId="44">#REF!</definedName>
    <definedName name="_TAB4" localSheetId="45">#REF!</definedName>
    <definedName name="_TAB4" localSheetId="46">#REF!</definedName>
    <definedName name="_TAB4" localSheetId="50">#REF!</definedName>
    <definedName name="_TAB4" localSheetId="51">#REF!</definedName>
    <definedName name="_TAB4">#REF!</definedName>
    <definedName name="_TAB7" localSheetId="21">#REF!</definedName>
    <definedName name="_TAB7" localSheetId="43">#REF!</definedName>
    <definedName name="_TAB7" localSheetId="44">#REF!</definedName>
    <definedName name="_TAB7" localSheetId="45">#REF!</definedName>
    <definedName name="_TAB7" localSheetId="46">#REF!</definedName>
    <definedName name="_TAB7" localSheetId="50">#REF!</definedName>
    <definedName name="_TAB7" localSheetId="51">#REF!</definedName>
    <definedName name="_TAB7">#REF!</definedName>
    <definedName name="new_tab">#REF!</definedName>
    <definedName name="_xlnm.Print_Area" localSheetId="3">'1'!$A$1:$O$46</definedName>
    <definedName name="_xlnm.Print_Area" localSheetId="13">'11'!$A$1:$Q$50</definedName>
    <definedName name="_xlnm.Print_Area" localSheetId="14">'12'!$A$1:$O$47</definedName>
    <definedName name="_xlnm.Print_Area" localSheetId="15">'13'!$A$1:$M$48</definedName>
    <definedName name="_xlnm.Print_Area" localSheetId="16">'14'!$A$1:$L$50</definedName>
    <definedName name="_xlnm.Print_Area" localSheetId="17">'15'!$A$6:$J$47</definedName>
    <definedName name="_xlnm.Print_Area" localSheetId="18">'16'!$A$1:$N$48</definedName>
    <definedName name="_xlnm.Print_Area" localSheetId="19">'17'!$A$1:$N$48</definedName>
    <definedName name="_xlnm.Print_Area" localSheetId="20">'18'!$A$1:$Q$47</definedName>
    <definedName name="_xlnm.Print_Area" localSheetId="21">'19'!$A$1:$U$49</definedName>
    <definedName name="_xlnm.Print_Area" localSheetId="4">'2'!$A$1:$L$47</definedName>
    <definedName name="_xlnm.Print_Area" localSheetId="23">'21'!$A$1:$Q$48</definedName>
    <definedName name="_xlnm.Print_Area" localSheetId="24">'22'!$A$1:$Q$48</definedName>
    <definedName name="_xlnm.Print_Area" localSheetId="25">'23'!$A$1:$K$48</definedName>
    <definedName name="_xlnm.Print_Area" localSheetId="26">'24'!$A$1:$P$50</definedName>
    <definedName name="_xlnm.Print_Area" localSheetId="27">'25'!$A$1:$P$50</definedName>
    <definedName name="_xlnm.Print_Area" localSheetId="28">'26'!$A$1:$O$47</definedName>
    <definedName name="_xlnm.Print_Area" localSheetId="29">'27'!$A$1:$O$47</definedName>
    <definedName name="_xlnm.Print_Area" localSheetId="30">'28'!$A$1:$Q$48</definedName>
    <definedName name="_xlnm.Print_Area" localSheetId="31">'29'!$A$1:$Q$47</definedName>
    <definedName name="_xlnm.Print_Area" localSheetId="5">'3'!$A$1:$K$48</definedName>
    <definedName name="_xlnm.Print_Area" localSheetId="32">'30'!$A$1:$P$49</definedName>
    <definedName name="_xlnm.Print_Area" localSheetId="33">'31'!$A$1:$P$49</definedName>
    <definedName name="_xlnm.Print_Area" localSheetId="34">'32'!$A$1:$Q$47</definedName>
    <definedName name="_xlnm.Print_Area" localSheetId="35">'33'!$A$1:$Q$47</definedName>
    <definedName name="_xlnm.Print_Area" localSheetId="37">'35'!$A$1:$J$42</definedName>
    <definedName name="_xlnm.Print_Area" localSheetId="38">'36'!$A$1:$R$42</definedName>
    <definedName name="_xlnm.Print_Area" localSheetId="39">'37'!$A$1:$R$42</definedName>
    <definedName name="_xlnm.Print_Area" localSheetId="41">'39'!$A$1:$O$48</definedName>
    <definedName name="_xlnm.Print_Area" localSheetId="6">'4'!$A$1:$J$47</definedName>
    <definedName name="_xlnm.Print_Area" localSheetId="42">'40'!$A$1:$H$51</definedName>
    <definedName name="_xlnm.Print_Area" localSheetId="45">'43'!$A$1:$S$37</definedName>
    <definedName name="_xlnm.Print_Area" localSheetId="46">'44'!$A$1:$S$37</definedName>
    <definedName name="_xlnm.Print_Area" localSheetId="50">'48'!$A$1:$M$55</definedName>
    <definedName name="_xlnm.Print_Area" localSheetId="7">'5'!$A$1:$K$47</definedName>
    <definedName name="_xlnm.Print_Area" localSheetId="53">'51'!$A$1:$L$47</definedName>
    <definedName name="_xlnm.Print_Area" localSheetId="54">'52'!$A$1:$I$48</definedName>
    <definedName name="TAB10B" localSheetId="21">#REF!</definedName>
    <definedName name="TAB10B" localSheetId="42">#REF!</definedName>
    <definedName name="TAB10B" localSheetId="43">#REF!</definedName>
    <definedName name="TAB10B" localSheetId="44">#REF!</definedName>
    <definedName name="TAB10B" localSheetId="45">#REF!</definedName>
    <definedName name="TAB10B" localSheetId="46">#REF!</definedName>
    <definedName name="TAB10B" localSheetId="50">#REF!</definedName>
    <definedName name="TAB10B" localSheetId="51">#REF!</definedName>
    <definedName name="TAB10B">#REF!</definedName>
    <definedName name="TAB15A" localSheetId="21">#REF!</definedName>
    <definedName name="TAB15A" localSheetId="43">#REF!</definedName>
    <definedName name="TAB15A" localSheetId="44">#REF!</definedName>
    <definedName name="TAB15A" localSheetId="45">#REF!</definedName>
    <definedName name="TAB15A" localSheetId="46">#REF!</definedName>
    <definedName name="TAB15A" localSheetId="50">#REF!</definedName>
    <definedName name="TAB15A" localSheetId="51">#REF!</definedName>
    <definedName name="TAB15A">#REF!</definedName>
    <definedName name="TAB15F" localSheetId="21">#REF!</definedName>
    <definedName name="TAB15F" localSheetId="43">#REF!</definedName>
    <definedName name="TAB15F" localSheetId="44">#REF!</definedName>
    <definedName name="TAB15F" localSheetId="45">#REF!</definedName>
    <definedName name="TAB15F" localSheetId="46">#REF!</definedName>
    <definedName name="TAB15F" localSheetId="50">#REF!</definedName>
    <definedName name="TAB15F" localSheetId="51">#REF!</definedName>
    <definedName name="TAB15F">#REF!</definedName>
    <definedName name="TAB9B" localSheetId="21">#REF!</definedName>
    <definedName name="TAB9B" localSheetId="43">#REF!</definedName>
    <definedName name="TAB9B" localSheetId="44">#REF!</definedName>
    <definedName name="TAB9B" localSheetId="45">#REF!</definedName>
    <definedName name="TAB9B" localSheetId="46">#REF!</definedName>
    <definedName name="TAB9B" localSheetId="50">#REF!</definedName>
    <definedName name="TAB9B" localSheetId="51">#REF!</definedName>
    <definedName name="TAB9B">#REF!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3" i="105" l="1"/>
  <c r="M43" i="64"/>
  <c r="L43" i="64"/>
  <c r="P43" i="65"/>
  <c r="K43" i="65"/>
  <c r="J43" i="65"/>
  <c r="G43" i="14"/>
  <c r="J43" i="14"/>
  <c r="L43" i="14"/>
  <c r="I43" i="14"/>
  <c r="N43" i="13"/>
  <c r="G43" i="12"/>
  <c r="I43" i="12"/>
  <c r="J43" i="11"/>
  <c r="Q29" i="76"/>
  <c r="Q25" i="76"/>
  <c r="Q22" i="76"/>
  <c r="Q19" i="76"/>
  <c r="Q18" i="76"/>
  <c r="F26" i="76"/>
  <c r="P22" i="76"/>
  <c r="P19" i="76"/>
  <c r="O22" i="76"/>
  <c r="O17" i="76"/>
  <c r="P17" i="76"/>
  <c r="O31" i="76"/>
  <c r="M19" i="76"/>
  <c r="M17" i="76"/>
  <c r="O26" i="76"/>
  <c r="L16" i="76"/>
  <c r="K33" i="76"/>
  <c r="K19" i="76"/>
  <c r="K18" i="76"/>
  <c r="H16" i="76"/>
  <c r="E26" i="76"/>
  <c r="C19" i="76"/>
  <c r="B16" i="76"/>
  <c r="L43" i="77" l="1"/>
  <c r="N43" i="78"/>
  <c r="O43" i="78"/>
  <c r="E43" i="78"/>
  <c r="K43" i="78"/>
  <c r="C43" i="78"/>
  <c r="J43" i="78"/>
  <c r="N43" i="74"/>
  <c r="K43" i="74"/>
  <c r="J43" i="74"/>
  <c r="O43" i="74"/>
  <c r="H43" i="75"/>
  <c r="L43" i="75"/>
  <c r="N43" i="75"/>
  <c r="Q43" i="72"/>
  <c r="D43" i="72"/>
  <c r="J43" i="72"/>
  <c r="M43" i="73"/>
  <c r="N43" i="73"/>
  <c r="Q43" i="73"/>
  <c r="E43" i="73"/>
  <c r="K43" i="73"/>
  <c r="C43" i="73"/>
  <c r="K43" i="18"/>
  <c r="C43" i="17"/>
  <c r="E43" i="106" l="1"/>
  <c r="K43" i="64"/>
  <c r="G43" i="65"/>
  <c r="I43" i="65"/>
  <c r="T43" i="102"/>
  <c r="M43" i="102"/>
  <c r="P43" i="15"/>
  <c r="K43" i="15"/>
  <c r="M43" i="14"/>
  <c r="D43" i="13"/>
  <c r="C43" i="13"/>
  <c r="D43" i="12"/>
  <c r="H43" i="11"/>
  <c r="K43" i="11"/>
  <c r="E43" i="10"/>
  <c r="R42" i="83" l="1"/>
  <c r="R33" i="115" l="1"/>
  <c r="Q33" i="115"/>
  <c r="R32" i="115"/>
  <c r="Q32" i="115"/>
  <c r="R31" i="115"/>
  <c r="Q31" i="115"/>
  <c r="R30" i="115"/>
  <c r="Q30" i="115"/>
  <c r="R29" i="115"/>
  <c r="Q29" i="115"/>
  <c r="R28" i="115"/>
  <c r="Q28" i="115"/>
  <c r="R27" i="115"/>
  <c r="Q27" i="115"/>
  <c r="R26" i="115"/>
  <c r="Q26" i="115"/>
  <c r="R25" i="115"/>
  <c r="Q25" i="115"/>
  <c r="R24" i="115"/>
  <c r="Q24" i="115"/>
  <c r="R23" i="115"/>
  <c r="Q23" i="115"/>
  <c r="R22" i="115"/>
  <c r="Q22" i="115"/>
  <c r="R21" i="115"/>
  <c r="Q21" i="115"/>
  <c r="R20" i="115"/>
  <c r="Q20" i="115"/>
  <c r="R19" i="115"/>
  <c r="Q19" i="115"/>
  <c r="R18" i="115"/>
  <c r="Q18" i="115"/>
  <c r="R17" i="115"/>
  <c r="Q17" i="115"/>
  <c r="R16" i="115"/>
  <c r="Q16" i="115"/>
  <c r="R15" i="115"/>
  <c r="Q15" i="115"/>
  <c r="R14" i="115"/>
  <c r="Q14" i="115"/>
  <c r="R13" i="115"/>
  <c r="Q13" i="115"/>
  <c r="R33" i="116"/>
  <c r="Q33" i="116"/>
  <c r="R32" i="116"/>
  <c r="Q32" i="116"/>
  <c r="R31" i="116"/>
  <c r="Q31" i="116"/>
  <c r="R30" i="116"/>
  <c r="Q30" i="116"/>
  <c r="R29" i="116"/>
  <c r="Q29" i="116"/>
  <c r="R28" i="116"/>
  <c r="Q28" i="116"/>
  <c r="R27" i="116"/>
  <c r="Q27" i="116"/>
  <c r="R26" i="116"/>
  <c r="Q26" i="116"/>
  <c r="R25" i="116"/>
  <c r="Q25" i="116"/>
  <c r="R24" i="116"/>
  <c r="Q24" i="116"/>
  <c r="R23" i="116"/>
  <c r="Q23" i="116"/>
  <c r="R22" i="116"/>
  <c r="Q22" i="116"/>
  <c r="R21" i="116"/>
  <c r="Q21" i="116"/>
  <c r="R20" i="116"/>
  <c r="Q20" i="116"/>
  <c r="R19" i="116"/>
  <c r="Q19" i="116"/>
  <c r="R18" i="116"/>
  <c r="Q18" i="116"/>
  <c r="R17" i="116"/>
  <c r="Q17" i="116"/>
  <c r="R16" i="116"/>
  <c r="Q16" i="116"/>
  <c r="R15" i="116"/>
  <c r="Q15" i="116"/>
  <c r="R14" i="116"/>
  <c r="Q14" i="116"/>
  <c r="R13" i="116"/>
  <c r="Q13" i="116"/>
  <c r="R33" i="117"/>
  <c r="Q33" i="117"/>
  <c r="R32" i="117"/>
  <c r="Q32" i="117"/>
  <c r="R31" i="117"/>
  <c r="Q31" i="117"/>
  <c r="R30" i="117"/>
  <c r="Q30" i="117"/>
  <c r="R29" i="117"/>
  <c r="Q29" i="117"/>
  <c r="R28" i="117"/>
  <c r="Q28" i="117"/>
  <c r="R27" i="117"/>
  <c r="Q27" i="117"/>
  <c r="R26" i="117"/>
  <c r="Q26" i="117"/>
  <c r="R25" i="117"/>
  <c r="Q25" i="117"/>
  <c r="R24" i="117"/>
  <c r="Q24" i="117"/>
  <c r="R23" i="117"/>
  <c r="Q23" i="117"/>
  <c r="R22" i="117"/>
  <c r="Q22" i="117"/>
  <c r="R21" i="117"/>
  <c r="Q21" i="117"/>
  <c r="R20" i="117"/>
  <c r="Q20" i="117"/>
  <c r="R19" i="117"/>
  <c r="Q19" i="117"/>
  <c r="R18" i="117"/>
  <c r="Q18" i="117"/>
  <c r="R17" i="117"/>
  <c r="Q17" i="117"/>
  <c r="R16" i="117"/>
  <c r="Q16" i="117"/>
  <c r="R15" i="117"/>
  <c r="Q15" i="117"/>
  <c r="R14" i="117"/>
  <c r="Q14" i="117"/>
  <c r="R13" i="117"/>
  <c r="Q13" i="117"/>
  <c r="R33" i="114"/>
  <c r="Q33" i="114"/>
  <c r="R32" i="114"/>
  <c r="Q32" i="114"/>
  <c r="R31" i="114"/>
  <c r="Q31" i="114"/>
  <c r="R30" i="114"/>
  <c r="Q30" i="114"/>
  <c r="R29" i="114"/>
  <c r="Q29" i="114"/>
  <c r="R28" i="114"/>
  <c r="Q28" i="114"/>
  <c r="R27" i="114"/>
  <c r="Q27" i="114"/>
  <c r="R26" i="114"/>
  <c r="Q26" i="114"/>
  <c r="R25" i="114"/>
  <c r="Q25" i="114"/>
  <c r="R24" i="114"/>
  <c r="Q24" i="114"/>
  <c r="R23" i="114"/>
  <c r="Q23" i="114"/>
  <c r="R22" i="114"/>
  <c r="Q22" i="114"/>
  <c r="R21" i="114"/>
  <c r="Q21" i="114"/>
  <c r="R20" i="114"/>
  <c r="Q20" i="114"/>
  <c r="R19" i="114"/>
  <c r="Q19" i="114"/>
  <c r="R18" i="114"/>
  <c r="Q18" i="114"/>
  <c r="R17" i="114"/>
  <c r="Q17" i="114"/>
  <c r="R16" i="114"/>
  <c r="Q16" i="114"/>
  <c r="R15" i="114"/>
  <c r="Q15" i="114"/>
  <c r="R14" i="114"/>
  <c r="Q14" i="114"/>
  <c r="R13" i="114"/>
  <c r="Q13" i="114"/>
  <c r="Q17" i="76"/>
  <c r="Q26" i="76"/>
  <c r="Q33" i="76"/>
  <c r="P26" i="76"/>
  <c r="P33" i="76"/>
  <c r="N23" i="76"/>
  <c r="K26" i="76"/>
  <c r="K17" i="76"/>
  <c r="F22" i="76"/>
  <c r="F16" i="76"/>
  <c r="O33" i="76"/>
  <c r="N33" i="76"/>
  <c r="M33" i="76"/>
  <c r="L33" i="76"/>
  <c r="J33" i="76"/>
  <c r="I33" i="76"/>
  <c r="H33" i="76"/>
  <c r="G33" i="76"/>
  <c r="F33" i="76"/>
  <c r="E33" i="76"/>
  <c r="D33" i="76"/>
  <c r="C33" i="76"/>
  <c r="B33" i="76"/>
  <c r="Q32" i="76"/>
  <c r="P32" i="76"/>
  <c r="O32" i="76"/>
  <c r="N32" i="76"/>
  <c r="M32" i="76"/>
  <c r="L32" i="76"/>
  <c r="Q31" i="76"/>
  <c r="P31" i="76"/>
  <c r="N31" i="76"/>
  <c r="M31" i="76"/>
  <c r="L31" i="76"/>
  <c r="Q30" i="76"/>
  <c r="P30" i="76"/>
  <c r="O30" i="76"/>
  <c r="N30" i="76"/>
  <c r="M30" i="76"/>
  <c r="L30" i="76"/>
  <c r="K30" i="76"/>
  <c r="J30" i="76"/>
  <c r="I30" i="76"/>
  <c r="H30" i="76"/>
  <c r="G30" i="76"/>
  <c r="F30" i="76"/>
  <c r="E30" i="76"/>
  <c r="D30" i="76"/>
  <c r="C30" i="76"/>
  <c r="B30" i="76"/>
  <c r="P29" i="76"/>
  <c r="O29" i="76"/>
  <c r="N29" i="76"/>
  <c r="M29" i="76"/>
  <c r="L29" i="76"/>
  <c r="K29" i="76"/>
  <c r="J29" i="76"/>
  <c r="I29" i="76"/>
  <c r="H29" i="76"/>
  <c r="G29" i="76"/>
  <c r="F29" i="76"/>
  <c r="E29" i="76"/>
  <c r="D29" i="76"/>
  <c r="C29" i="76"/>
  <c r="B29" i="76"/>
  <c r="Q28" i="76"/>
  <c r="P28" i="76"/>
  <c r="O28" i="76"/>
  <c r="N28" i="76"/>
  <c r="M28" i="76"/>
  <c r="L28" i="76"/>
  <c r="K28" i="76"/>
  <c r="J28" i="76"/>
  <c r="I28" i="76"/>
  <c r="H28" i="76"/>
  <c r="G28" i="76"/>
  <c r="F28" i="76"/>
  <c r="E28" i="76"/>
  <c r="D28" i="76"/>
  <c r="C28" i="76"/>
  <c r="B28" i="76"/>
  <c r="Q27" i="76"/>
  <c r="P27" i="76"/>
  <c r="O27" i="76"/>
  <c r="N27" i="76"/>
  <c r="M27" i="76"/>
  <c r="L27" i="76"/>
  <c r="K27" i="76"/>
  <c r="J27" i="76"/>
  <c r="I27" i="76"/>
  <c r="H27" i="76"/>
  <c r="G27" i="76"/>
  <c r="F27" i="76"/>
  <c r="E27" i="76"/>
  <c r="D27" i="76"/>
  <c r="C27" i="76"/>
  <c r="B27" i="76"/>
  <c r="N26" i="76"/>
  <c r="M26" i="76"/>
  <c r="L26" i="76"/>
  <c r="J26" i="76"/>
  <c r="I26" i="76"/>
  <c r="H26" i="76"/>
  <c r="G26" i="76"/>
  <c r="D26" i="76"/>
  <c r="C26" i="76"/>
  <c r="B26" i="76"/>
  <c r="P25" i="76"/>
  <c r="O25" i="76"/>
  <c r="N25" i="76"/>
  <c r="M25" i="76"/>
  <c r="L25" i="76"/>
  <c r="K25" i="76"/>
  <c r="J25" i="76"/>
  <c r="I25" i="76"/>
  <c r="H25" i="76"/>
  <c r="G25" i="76"/>
  <c r="F25" i="76"/>
  <c r="E25" i="76"/>
  <c r="D25" i="76"/>
  <c r="C25" i="76"/>
  <c r="B25" i="76"/>
  <c r="Q24" i="76"/>
  <c r="P24" i="76"/>
  <c r="O24" i="76"/>
  <c r="N24" i="76"/>
  <c r="M24" i="76"/>
  <c r="L24" i="76"/>
  <c r="K24" i="76"/>
  <c r="J24" i="76"/>
  <c r="I24" i="76"/>
  <c r="H24" i="76"/>
  <c r="G24" i="76"/>
  <c r="F24" i="76"/>
  <c r="E24" i="76"/>
  <c r="D24" i="76"/>
  <c r="C24" i="76"/>
  <c r="B24" i="76"/>
  <c r="Q23" i="76"/>
  <c r="P23" i="76"/>
  <c r="O23" i="76"/>
  <c r="M23" i="76"/>
  <c r="L23" i="76"/>
  <c r="K23" i="76"/>
  <c r="J23" i="76"/>
  <c r="I23" i="76"/>
  <c r="H23" i="76"/>
  <c r="G23" i="76"/>
  <c r="F23" i="76"/>
  <c r="E23" i="76"/>
  <c r="D23" i="76"/>
  <c r="C23" i="76"/>
  <c r="B23" i="76"/>
  <c r="N22" i="76"/>
  <c r="M22" i="76"/>
  <c r="L22" i="76"/>
  <c r="K22" i="76"/>
  <c r="J22" i="76"/>
  <c r="I22" i="76"/>
  <c r="H22" i="76"/>
  <c r="G22" i="76"/>
  <c r="E22" i="76"/>
  <c r="D22" i="76"/>
  <c r="C22" i="76"/>
  <c r="B22" i="76"/>
  <c r="Q21" i="76"/>
  <c r="P21" i="76"/>
  <c r="O21" i="76"/>
  <c r="N21" i="76"/>
  <c r="M21" i="76"/>
  <c r="L21" i="76"/>
  <c r="K21" i="76"/>
  <c r="J21" i="76"/>
  <c r="I21" i="76"/>
  <c r="H21" i="76"/>
  <c r="G21" i="76"/>
  <c r="F21" i="76"/>
  <c r="E21" i="76"/>
  <c r="D21" i="76"/>
  <c r="C21" i="76"/>
  <c r="B21" i="76"/>
  <c r="Q20" i="76"/>
  <c r="P20" i="76"/>
  <c r="O20" i="76"/>
  <c r="N20" i="76"/>
  <c r="M20" i="76"/>
  <c r="L20" i="76"/>
  <c r="K20" i="76"/>
  <c r="J20" i="76"/>
  <c r="I20" i="76"/>
  <c r="H20" i="76"/>
  <c r="G20" i="76"/>
  <c r="F20" i="76"/>
  <c r="E20" i="76"/>
  <c r="D20" i="76"/>
  <c r="C20" i="76"/>
  <c r="B20" i="76"/>
  <c r="O19" i="76"/>
  <c r="N19" i="76"/>
  <c r="L19" i="76"/>
  <c r="J19" i="76"/>
  <c r="I19" i="76"/>
  <c r="H19" i="76"/>
  <c r="G19" i="76"/>
  <c r="F19" i="76"/>
  <c r="E19" i="76"/>
  <c r="D19" i="76"/>
  <c r="B19" i="76"/>
  <c r="P18" i="76"/>
  <c r="O18" i="76"/>
  <c r="N18" i="76"/>
  <c r="M18" i="76"/>
  <c r="L18" i="76"/>
  <c r="J18" i="76"/>
  <c r="I18" i="76"/>
  <c r="H18" i="76"/>
  <c r="G18" i="76"/>
  <c r="F18" i="76"/>
  <c r="E18" i="76"/>
  <c r="D18" i="76"/>
  <c r="C18" i="76"/>
  <c r="B18" i="76"/>
  <c r="N17" i="76"/>
  <c r="L17" i="76"/>
  <c r="J17" i="76"/>
  <c r="I17" i="76"/>
  <c r="H17" i="76"/>
  <c r="G17" i="76"/>
  <c r="F17" i="76"/>
  <c r="E17" i="76"/>
  <c r="D17" i="76"/>
  <c r="C17" i="76"/>
  <c r="B17" i="76"/>
  <c r="Q16" i="76"/>
  <c r="P16" i="76"/>
  <c r="O16" i="76"/>
  <c r="N16" i="76"/>
  <c r="M16" i="76"/>
  <c r="K16" i="76"/>
  <c r="J16" i="76"/>
  <c r="I16" i="76"/>
  <c r="G16" i="76"/>
  <c r="E16" i="76"/>
  <c r="D16" i="76"/>
  <c r="C16" i="76"/>
  <c r="J43" i="77"/>
  <c r="F43" i="77"/>
  <c r="D43" i="77"/>
  <c r="C43" i="77"/>
  <c r="M43" i="78"/>
  <c r="L43" i="78"/>
  <c r="I43" i="78"/>
  <c r="H43" i="78"/>
  <c r="G43" i="78"/>
  <c r="D43" i="74"/>
  <c r="O43" i="75"/>
  <c r="F43" i="75"/>
  <c r="L43" i="72"/>
  <c r="O43" i="106"/>
  <c r="D43" i="106"/>
  <c r="D43" i="105"/>
  <c r="J43" i="64"/>
  <c r="F43" i="64"/>
  <c r="M43" i="65"/>
  <c r="R43" i="102"/>
  <c r="G43" i="15"/>
  <c r="C43" i="14"/>
  <c r="I43" i="11"/>
  <c r="J43" i="10"/>
  <c r="R43" i="83"/>
  <c r="R43" i="80"/>
  <c r="Q43" i="80"/>
  <c r="P43" i="80"/>
  <c r="O43" i="80"/>
  <c r="N43" i="80"/>
  <c r="M43" i="80"/>
  <c r="L43" i="80"/>
  <c r="K43" i="80"/>
  <c r="J43" i="80"/>
  <c r="I43" i="80"/>
  <c r="H43" i="80"/>
  <c r="G43" i="80"/>
  <c r="F43" i="80"/>
  <c r="E43" i="80"/>
  <c r="D43" i="80"/>
  <c r="C43" i="80"/>
  <c r="M43" i="10"/>
  <c r="L43" i="10"/>
  <c r="K43" i="10"/>
  <c r="I43" i="10"/>
  <c r="H43" i="10"/>
  <c r="G43" i="10"/>
  <c r="F43" i="7" s="1"/>
  <c r="F43" i="10"/>
  <c r="D43" i="10"/>
  <c r="C43" i="10"/>
  <c r="K43" i="5" s="1"/>
  <c r="L43" i="11"/>
  <c r="G43" i="11"/>
  <c r="F43" i="11"/>
  <c r="E43" i="11"/>
  <c r="D43" i="11"/>
  <c r="C43" i="11"/>
  <c r="H43" i="12"/>
  <c r="F43" i="12"/>
  <c r="E43" i="12"/>
  <c r="J43" i="12" s="1"/>
  <c r="D43" i="7" s="1"/>
  <c r="C43" i="12"/>
  <c r="M43" i="13"/>
  <c r="L43" i="13"/>
  <c r="K43" i="13"/>
  <c r="J43" i="13"/>
  <c r="I43" i="13"/>
  <c r="H43" i="13"/>
  <c r="G43" i="13"/>
  <c r="F43" i="13"/>
  <c r="E43" i="13"/>
  <c r="N43" i="14"/>
  <c r="K43" i="14"/>
  <c r="H43" i="14"/>
  <c r="F43" i="14"/>
  <c r="E43" i="14"/>
  <c r="D43" i="14"/>
  <c r="Q43" i="15"/>
  <c r="O43" i="15"/>
  <c r="N43" i="15"/>
  <c r="M43" i="15"/>
  <c r="L43" i="15"/>
  <c r="J43" i="15"/>
  <c r="I43" i="15"/>
  <c r="H43" i="15"/>
  <c r="F43" i="15"/>
  <c r="E43" i="15"/>
  <c r="D43" i="15"/>
  <c r="C43" i="15"/>
  <c r="F43" i="6" s="1"/>
  <c r="U43" i="102"/>
  <c r="S43" i="102"/>
  <c r="Q43" i="102"/>
  <c r="P43" i="102"/>
  <c r="O43" i="102"/>
  <c r="N43" i="102"/>
  <c r="L43" i="102"/>
  <c r="K43" i="102"/>
  <c r="J43" i="102"/>
  <c r="I43" i="102"/>
  <c r="H43" i="102"/>
  <c r="G43" i="102"/>
  <c r="F43" i="102"/>
  <c r="E43" i="102"/>
  <c r="D43" i="102"/>
  <c r="C43" i="102"/>
  <c r="Q43" i="65"/>
  <c r="O43" i="65"/>
  <c r="N43" i="65"/>
  <c r="L43" i="65"/>
  <c r="H43" i="65"/>
  <c r="F43" i="65"/>
  <c r="E43" i="65"/>
  <c r="D43" i="65"/>
  <c r="C43" i="65"/>
  <c r="Q43" i="64"/>
  <c r="P43" i="64"/>
  <c r="O43" i="64"/>
  <c r="N43" i="64"/>
  <c r="I43" i="64"/>
  <c r="H43" i="64"/>
  <c r="G43" i="64"/>
  <c r="E43" i="64"/>
  <c r="D43" i="64"/>
  <c r="C43" i="64"/>
  <c r="K43" i="61"/>
  <c r="J43" i="61"/>
  <c r="I43" i="61"/>
  <c r="H43" i="61"/>
  <c r="G43" i="61"/>
  <c r="F43" i="61"/>
  <c r="E43" i="61"/>
  <c r="D43" i="61"/>
  <c r="C43" i="61"/>
  <c r="P43" i="105"/>
  <c r="O43" i="105"/>
  <c r="M43" i="105"/>
  <c r="L43" i="105"/>
  <c r="K43" i="105"/>
  <c r="J43" i="105"/>
  <c r="I43" i="105"/>
  <c r="H43" i="105"/>
  <c r="G43" i="105"/>
  <c r="F43" i="105"/>
  <c r="E43" i="105"/>
  <c r="C43" i="105"/>
  <c r="P43" i="106"/>
  <c r="N43" i="106"/>
  <c r="M43" i="106"/>
  <c r="L43" i="106"/>
  <c r="K43" i="106"/>
  <c r="J43" i="106"/>
  <c r="I43" i="106"/>
  <c r="H43" i="106"/>
  <c r="G43" i="106"/>
  <c r="F43" i="106"/>
  <c r="C43" i="106"/>
  <c r="O43" i="17"/>
  <c r="N43" i="17"/>
  <c r="M43" i="17"/>
  <c r="L43" i="17"/>
  <c r="K43" i="17"/>
  <c r="J43" i="17"/>
  <c r="I43" i="17"/>
  <c r="H43" i="17"/>
  <c r="G43" i="17"/>
  <c r="F43" i="17"/>
  <c r="E43" i="17"/>
  <c r="D43" i="17"/>
  <c r="D43" i="9" s="1"/>
  <c r="O43" i="18"/>
  <c r="N43" i="18"/>
  <c r="M43" i="18"/>
  <c r="O43" i="9" s="1"/>
  <c r="L43" i="18"/>
  <c r="J43" i="18"/>
  <c r="I43" i="18"/>
  <c r="H43" i="18"/>
  <c r="G43" i="18"/>
  <c r="F43" i="18"/>
  <c r="E43" i="18"/>
  <c r="D43" i="18"/>
  <c r="C43" i="18"/>
  <c r="P43" i="73"/>
  <c r="O43" i="73"/>
  <c r="L43" i="73"/>
  <c r="J43" i="73"/>
  <c r="I43" i="73"/>
  <c r="H43" i="73"/>
  <c r="G43" i="73"/>
  <c r="F43" i="73"/>
  <c r="D43" i="73"/>
  <c r="P43" i="72"/>
  <c r="O43" i="72"/>
  <c r="N43" i="72"/>
  <c r="M43" i="72"/>
  <c r="K43" i="72"/>
  <c r="I43" i="72"/>
  <c r="H43" i="72"/>
  <c r="G43" i="72"/>
  <c r="F43" i="72"/>
  <c r="E43" i="72"/>
  <c r="C43" i="72"/>
  <c r="M43" i="75"/>
  <c r="K43" i="75"/>
  <c r="J43" i="75"/>
  <c r="I43" i="75"/>
  <c r="G43" i="75"/>
  <c r="E43" i="75"/>
  <c r="D43" i="75"/>
  <c r="C43" i="75"/>
  <c r="M43" i="74"/>
  <c r="L43" i="74"/>
  <c r="I43" i="74"/>
  <c r="H43" i="74"/>
  <c r="G43" i="74"/>
  <c r="F43" i="74"/>
  <c r="E43" i="74"/>
  <c r="C43" i="74"/>
  <c r="Q43" i="78"/>
  <c r="P43" i="78"/>
  <c r="F43" i="78"/>
  <c r="D43" i="78"/>
  <c r="Q43" i="77"/>
  <c r="P43" i="77"/>
  <c r="O43" i="77"/>
  <c r="N43" i="77"/>
  <c r="M43" i="77"/>
  <c r="K43" i="77"/>
  <c r="I43" i="77"/>
  <c r="H43" i="77"/>
  <c r="G43" i="77"/>
  <c r="E43" i="77"/>
  <c r="I43" i="110"/>
  <c r="H43" i="110"/>
  <c r="G43" i="110"/>
  <c r="F43" i="110"/>
  <c r="E43" i="110"/>
  <c r="D43" i="110"/>
  <c r="C43" i="110"/>
  <c r="J43" i="5"/>
  <c r="H43" i="5"/>
  <c r="J43" i="6"/>
  <c r="C43" i="7"/>
  <c r="G43" i="7"/>
  <c r="N43" i="91"/>
  <c r="M43" i="91"/>
  <c r="J43" i="92"/>
  <c r="H43" i="4"/>
  <c r="P43" i="4" s="1"/>
  <c r="H43" i="7" l="1"/>
  <c r="J43" i="9"/>
  <c r="H43" i="9"/>
  <c r="G43" i="9"/>
  <c r="Q43" i="75"/>
  <c r="M43" i="9"/>
  <c r="S43" i="106"/>
  <c r="R43" i="74"/>
  <c r="R43" i="18"/>
  <c r="Q43" i="106"/>
  <c r="V43" i="102"/>
  <c r="P43" i="13"/>
  <c r="N43" i="10"/>
  <c r="S43" i="105"/>
  <c r="R43" i="77"/>
  <c r="S43" i="73"/>
  <c r="Q43" i="18"/>
  <c r="S43" i="64"/>
  <c r="R43" i="65"/>
  <c r="D43" i="6"/>
  <c r="O43" i="13"/>
  <c r="L43" i="12"/>
  <c r="F43" i="9"/>
  <c r="R43" i="105"/>
  <c r="R43" i="64"/>
  <c r="E43" i="6"/>
  <c r="L43" i="9"/>
  <c r="M43" i="5"/>
  <c r="K43" i="9"/>
  <c r="N43" i="9"/>
  <c r="R43" i="73"/>
  <c r="Q43" i="74"/>
  <c r="Q43" i="105"/>
  <c r="O43" i="14"/>
  <c r="R43" i="106"/>
  <c r="K43" i="12"/>
  <c r="S43" i="77"/>
  <c r="P43" i="18"/>
  <c r="Q43" i="17"/>
  <c r="R43" i="17"/>
  <c r="P43" i="14"/>
  <c r="R43" i="75"/>
  <c r="S43" i="78"/>
  <c r="S43" i="72"/>
  <c r="S43" i="65"/>
  <c r="N43" i="11"/>
  <c r="O43" i="10"/>
  <c r="E43" i="7"/>
  <c r="R43" i="78"/>
  <c r="M43" i="11"/>
  <c r="S43" i="74"/>
  <c r="S43" i="75"/>
  <c r="R43" i="72"/>
  <c r="P43" i="17"/>
  <c r="E43" i="9"/>
  <c r="I43" i="9"/>
  <c r="L43" i="5"/>
  <c r="C43" i="6" s="1"/>
  <c r="C43" i="9"/>
  <c r="B31" i="63"/>
  <c r="B28" i="63"/>
  <c r="B26" i="63"/>
  <c r="B24" i="63"/>
  <c r="B22" i="63"/>
  <c r="B20" i="63"/>
  <c r="B81" i="63"/>
  <c r="B39" i="63"/>
  <c r="B37" i="63"/>
  <c r="B15" i="63"/>
  <c r="Q43" i="9" l="1"/>
  <c r="G43" i="6"/>
  <c r="H43" i="6" s="1"/>
  <c r="I43" i="6" s="1"/>
  <c r="P43" i="9"/>
  <c r="I43" i="7"/>
  <c r="S43" i="9"/>
  <c r="R43" i="9"/>
  <c r="K43" i="6"/>
  <c r="L30" i="91"/>
  <c r="I30" i="91"/>
  <c r="H30" i="91"/>
  <c r="G30" i="91"/>
  <c r="F30" i="91"/>
  <c r="E30" i="91"/>
  <c r="D30" i="91"/>
  <c r="C30" i="91"/>
  <c r="F30" i="90"/>
  <c r="E30" i="90"/>
  <c r="D30" i="90"/>
  <c r="J43" i="7" l="1"/>
  <c r="C43" i="8"/>
  <c r="H42" i="107"/>
  <c r="F42" i="107"/>
  <c r="F32" i="63" l="1"/>
  <c r="N30" i="83" l="1"/>
  <c r="M30" i="83"/>
  <c r="K30" i="83"/>
  <c r="J30" i="83"/>
  <c r="G30" i="83"/>
  <c r="F30" i="83"/>
  <c r="D30" i="83"/>
  <c r="C30" i="83"/>
  <c r="G10" i="95" l="1"/>
  <c r="F10" i="95"/>
  <c r="E10" i="95"/>
  <c r="D10" i="95"/>
  <c r="C10" i="95"/>
  <c r="B10" i="95"/>
  <c r="H9" i="95"/>
  <c r="G9" i="95"/>
  <c r="F9" i="95"/>
  <c r="E9" i="95"/>
  <c r="D9" i="95"/>
  <c r="C9" i="95"/>
  <c r="B9" i="95"/>
  <c r="F42" i="77" l="1"/>
  <c r="D42" i="77"/>
  <c r="C42" i="77"/>
  <c r="J42" i="77"/>
  <c r="N42" i="78"/>
  <c r="M42" i="78"/>
  <c r="L42" i="78"/>
  <c r="I42" i="78"/>
  <c r="H42" i="78"/>
  <c r="G42" i="78"/>
  <c r="E42" i="78"/>
  <c r="K42" i="78"/>
  <c r="C42" i="78"/>
  <c r="J42" i="78"/>
  <c r="D42" i="74"/>
  <c r="O42" i="75"/>
  <c r="N42" i="75"/>
  <c r="F42" i="75"/>
  <c r="L42" i="72" l="1"/>
  <c r="J42" i="72"/>
  <c r="Q42" i="73"/>
  <c r="K42" i="18"/>
  <c r="D42" i="106"/>
  <c r="O42" i="106"/>
  <c r="D42" i="105"/>
  <c r="L42" i="64"/>
  <c r="F42" i="64"/>
  <c r="K42" i="64"/>
  <c r="J42" i="64"/>
  <c r="M42" i="65"/>
  <c r="K42" i="65"/>
  <c r="J42" i="65"/>
  <c r="R42" i="102"/>
  <c r="G42" i="15"/>
  <c r="C42" i="14"/>
  <c r="M42" i="14"/>
  <c r="D42" i="13"/>
  <c r="D42" i="12"/>
  <c r="I42" i="11"/>
  <c r="K42" i="11"/>
  <c r="J42" i="10"/>
  <c r="F36" i="93"/>
  <c r="P33" i="115"/>
  <c r="O33" i="115"/>
  <c r="P32" i="115"/>
  <c r="O32" i="115"/>
  <c r="P31" i="115"/>
  <c r="O31" i="115"/>
  <c r="P30" i="115"/>
  <c r="O30" i="115"/>
  <c r="P29" i="115"/>
  <c r="O29" i="115"/>
  <c r="P28" i="115"/>
  <c r="O28" i="115"/>
  <c r="P27" i="115"/>
  <c r="O27" i="115"/>
  <c r="P26" i="115"/>
  <c r="O26" i="115"/>
  <c r="P25" i="115"/>
  <c r="O25" i="115"/>
  <c r="P24" i="115"/>
  <c r="O24" i="115"/>
  <c r="P23" i="115"/>
  <c r="O23" i="115"/>
  <c r="P22" i="115"/>
  <c r="O22" i="115"/>
  <c r="P21" i="115"/>
  <c r="O21" i="115"/>
  <c r="P20" i="115"/>
  <c r="O20" i="115"/>
  <c r="P19" i="115"/>
  <c r="O19" i="115"/>
  <c r="P18" i="115"/>
  <c r="O18" i="115"/>
  <c r="P17" i="115"/>
  <c r="O17" i="115"/>
  <c r="P16" i="115"/>
  <c r="O16" i="115"/>
  <c r="P15" i="115"/>
  <c r="O15" i="115"/>
  <c r="P14" i="115"/>
  <c r="O14" i="115"/>
  <c r="P13" i="115"/>
  <c r="O13" i="115"/>
  <c r="P33" i="116"/>
  <c r="O33" i="116"/>
  <c r="P32" i="116"/>
  <c r="O32" i="116"/>
  <c r="P31" i="116"/>
  <c r="O31" i="116"/>
  <c r="P30" i="116"/>
  <c r="O30" i="116"/>
  <c r="P29" i="116"/>
  <c r="O29" i="116"/>
  <c r="P28" i="116"/>
  <c r="O28" i="116"/>
  <c r="P27" i="116"/>
  <c r="O27" i="116"/>
  <c r="P26" i="116"/>
  <c r="O26" i="116"/>
  <c r="P25" i="116"/>
  <c r="O25" i="116"/>
  <c r="P24" i="116"/>
  <c r="O24" i="116"/>
  <c r="P23" i="116"/>
  <c r="O23" i="116"/>
  <c r="P22" i="116"/>
  <c r="O22" i="116"/>
  <c r="P21" i="116"/>
  <c r="O21" i="116"/>
  <c r="P20" i="116"/>
  <c r="O20" i="116"/>
  <c r="P19" i="116"/>
  <c r="O19" i="116"/>
  <c r="P18" i="116"/>
  <c r="O18" i="116"/>
  <c r="P17" i="116"/>
  <c r="O17" i="116"/>
  <c r="P16" i="116"/>
  <c r="O16" i="116"/>
  <c r="P15" i="116"/>
  <c r="O15" i="116"/>
  <c r="P14" i="116"/>
  <c r="O14" i="116"/>
  <c r="P13" i="116"/>
  <c r="O13" i="116"/>
  <c r="P33" i="117"/>
  <c r="O33" i="117"/>
  <c r="P32" i="117"/>
  <c r="O32" i="117"/>
  <c r="P31" i="117"/>
  <c r="O31" i="117"/>
  <c r="P30" i="117"/>
  <c r="O30" i="117"/>
  <c r="P29" i="117"/>
  <c r="O29" i="117"/>
  <c r="P28" i="117"/>
  <c r="O28" i="117"/>
  <c r="P27" i="117"/>
  <c r="O27" i="117"/>
  <c r="P26" i="117"/>
  <c r="O26" i="117"/>
  <c r="P25" i="117"/>
  <c r="O25" i="117"/>
  <c r="P24" i="117"/>
  <c r="O24" i="117"/>
  <c r="P23" i="117"/>
  <c r="O23" i="117"/>
  <c r="P22" i="117"/>
  <c r="O22" i="117"/>
  <c r="P21" i="117"/>
  <c r="O21" i="117"/>
  <c r="P20" i="117"/>
  <c r="O20" i="117"/>
  <c r="P19" i="117"/>
  <c r="O19" i="117"/>
  <c r="P18" i="117"/>
  <c r="O18" i="117"/>
  <c r="P17" i="117"/>
  <c r="O17" i="117"/>
  <c r="P16" i="117"/>
  <c r="O16" i="117"/>
  <c r="P15" i="117"/>
  <c r="O15" i="117"/>
  <c r="P14" i="117"/>
  <c r="O14" i="117"/>
  <c r="P13" i="117"/>
  <c r="O13" i="117"/>
  <c r="P33" i="114"/>
  <c r="O33" i="114"/>
  <c r="P32" i="114"/>
  <c r="O32" i="114"/>
  <c r="P31" i="114"/>
  <c r="O31" i="114"/>
  <c r="P30" i="114"/>
  <c r="O30" i="114"/>
  <c r="P29" i="114"/>
  <c r="O29" i="114"/>
  <c r="P28" i="114"/>
  <c r="O28" i="114"/>
  <c r="P27" i="114"/>
  <c r="O27" i="114"/>
  <c r="P26" i="114"/>
  <c r="O26" i="114"/>
  <c r="P25" i="114"/>
  <c r="O25" i="114"/>
  <c r="P24" i="114"/>
  <c r="O24" i="114"/>
  <c r="P23" i="114"/>
  <c r="O23" i="114"/>
  <c r="P22" i="114"/>
  <c r="O22" i="114"/>
  <c r="P21" i="114"/>
  <c r="O21" i="114"/>
  <c r="P20" i="114"/>
  <c r="O20" i="114"/>
  <c r="P19" i="114"/>
  <c r="O19" i="114"/>
  <c r="P18" i="114"/>
  <c r="O18" i="114"/>
  <c r="P17" i="114"/>
  <c r="O17" i="114"/>
  <c r="P16" i="114"/>
  <c r="O16" i="114"/>
  <c r="P15" i="114"/>
  <c r="O15" i="114"/>
  <c r="P14" i="114"/>
  <c r="O14" i="114"/>
  <c r="P13" i="114"/>
  <c r="O13" i="114"/>
  <c r="N33" i="115"/>
  <c r="M33" i="115"/>
  <c r="N32" i="115"/>
  <c r="M32" i="115"/>
  <c r="N31" i="115"/>
  <c r="M31" i="115"/>
  <c r="N30" i="115"/>
  <c r="M30" i="115"/>
  <c r="N29" i="115"/>
  <c r="M29" i="115"/>
  <c r="N28" i="115"/>
  <c r="M28" i="115"/>
  <c r="N27" i="115"/>
  <c r="M27" i="115"/>
  <c r="N26" i="115"/>
  <c r="M26" i="115"/>
  <c r="N25" i="115"/>
  <c r="M25" i="115"/>
  <c r="N24" i="115"/>
  <c r="M24" i="115"/>
  <c r="N23" i="115"/>
  <c r="M23" i="115"/>
  <c r="N22" i="115"/>
  <c r="M22" i="115"/>
  <c r="N21" i="115"/>
  <c r="M21" i="115"/>
  <c r="N20" i="115"/>
  <c r="M20" i="115"/>
  <c r="N19" i="115"/>
  <c r="M19" i="115"/>
  <c r="N18" i="115"/>
  <c r="M18" i="115"/>
  <c r="N17" i="115"/>
  <c r="M17" i="115"/>
  <c r="N16" i="115"/>
  <c r="M16" i="115"/>
  <c r="N15" i="115"/>
  <c r="M15" i="115"/>
  <c r="N14" i="115"/>
  <c r="M14" i="115"/>
  <c r="N13" i="115"/>
  <c r="M13" i="115"/>
  <c r="N33" i="116"/>
  <c r="M33" i="116"/>
  <c r="N32" i="116"/>
  <c r="M32" i="116"/>
  <c r="N31" i="116"/>
  <c r="M31" i="116"/>
  <c r="N30" i="116"/>
  <c r="M30" i="116"/>
  <c r="N29" i="116"/>
  <c r="M29" i="116"/>
  <c r="N28" i="116"/>
  <c r="M28" i="116"/>
  <c r="N27" i="116"/>
  <c r="M27" i="116"/>
  <c r="N26" i="116"/>
  <c r="M26" i="116"/>
  <c r="N25" i="116"/>
  <c r="M25" i="116"/>
  <c r="N24" i="116"/>
  <c r="M24" i="116"/>
  <c r="N23" i="116"/>
  <c r="M23" i="116"/>
  <c r="N22" i="116"/>
  <c r="M22" i="116"/>
  <c r="N21" i="116"/>
  <c r="M21" i="116"/>
  <c r="N20" i="116"/>
  <c r="M20" i="116"/>
  <c r="N19" i="116"/>
  <c r="M19" i="116"/>
  <c r="N18" i="116"/>
  <c r="M18" i="116"/>
  <c r="N17" i="116"/>
  <c r="M17" i="116"/>
  <c r="N16" i="116"/>
  <c r="M16" i="116"/>
  <c r="N15" i="116"/>
  <c r="M15" i="116"/>
  <c r="N14" i="116"/>
  <c r="M14" i="116"/>
  <c r="N13" i="116"/>
  <c r="M13" i="116"/>
  <c r="N33" i="117"/>
  <c r="M33" i="117"/>
  <c r="N32" i="117"/>
  <c r="M32" i="117"/>
  <c r="N31" i="117"/>
  <c r="M31" i="117"/>
  <c r="N30" i="117"/>
  <c r="M30" i="117"/>
  <c r="N29" i="117"/>
  <c r="M29" i="117"/>
  <c r="N28" i="117"/>
  <c r="M28" i="117"/>
  <c r="N27" i="117"/>
  <c r="M27" i="117"/>
  <c r="N26" i="117"/>
  <c r="M26" i="117"/>
  <c r="N25" i="117"/>
  <c r="M25" i="117"/>
  <c r="N24" i="117"/>
  <c r="M24" i="117"/>
  <c r="N23" i="117"/>
  <c r="M23" i="117"/>
  <c r="N22" i="117"/>
  <c r="M22" i="117"/>
  <c r="N21" i="117"/>
  <c r="M21" i="117"/>
  <c r="N20" i="117"/>
  <c r="M20" i="117"/>
  <c r="N19" i="117"/>
  <c r="M19" i="117"/>
  <c r="N18" i="117"/>
  <c r="M18" i="117"/>
  <c r="N17" i="117"/>
  <c r="M17" i="117"/>
  <c r="N16" i="117"/>
  <c r="M16" i="117"/>
  <c r="N15" i="117"/>
  <c r="M15" i="117"/>
  <c r="N14" i="117"/>
  <c r="M14" i="117"/>
  <c r="N13" i="117"/>
  <c r="M13" i="117"/>
  <c r="N33" i="114"/>
  <c r="M33" i="114"/>
  <c r="N32" i="114"/>
  <c r="M32" i="114"/>
  <c r="N31" i="114"/>
  <c r="M31" i="114"/>
  <c r="N30" i="114"/>
  <c r="M30" i="114"/>
  <c r="N29" i="114"/>
  <c r="M29" i="114"/>
  <c r="N28" i="114"/>
  <c r="M28" i="114"/>
  <c r="N27" i="114"/>
  <c r="M27" i="114"/>
  <c r="N26" i="114"/>
  <c r="M26" i="114"/>
  <c r="N25" i="114"/>
  <c r="M25" i="114"/>
  <c r="N24" i="114"/>
  <c r="M24" i="114"/>
  <c r="N23" i="114"/>
  <c r="M23" i="114"/>
  <c r="N22" i="114"/>
  <c r="M22" i="114"/>
  <c r="N21" i="114"/>
  <c r="M21" i="114"/>
  <c r="N20" i="114"/>
  <c r="M20" i="114"/>
  <c r="N19" i="114"/>
  <c r="M19" i="114"/>
  <c r="N18" i="114"/>
  <c r="M18" i="114"/>
  <c r="N17" i="114"/>
  <c r="M17" i="114"/>
  <c r="N16" i="114"/>
  <c r="M16" i="114"/>
  <c r="N15" i="114"/>
  <c r="M15" i="114"/>
  <c r="N14" i="114"/>
  <c r="M14" i="114"/>
  <c r="N13" i="114"/>
  <c r="M13" i="114"/>
  <c r="H42" i="110"/>
  <c r="K42" i="77"/>
  <c r="G42" i="77"/>
  <c r="P42" i="78"/>
  <c r="O42" i="74"/>
  <c r="M42" i="74"/>
  <c r="Q42" i="72"/>
  <c r="F42" i="72"/>
  <c r="C42" i="72"/>
  <c r="P42" i="73"/>
  <c r="M42" i="73"/>
  <c r="J42" i="73"/>
  <c r="H42" i="73"/>
  <c r="D42" i="73"/>
  <c r="C42" i="73"/>
  <c r="I42" i="18"/>
  <c r="C42" i="18"/>
  <c r="M42" i="17"/>
  <c r="L42" i="17"/>
  <c r="L42" i="106"/>
  <c r="J42" i="105"/>
  <c r="Q42" i="64"/>
  <c r="O42" i="64"/>
  <c r="D42" i="64"/>
  <c r="C42" i="64"/>
  <c r="Q42" i="65"/>
  <c r="P42" i="65"/>
  <c r="O42" i="65"/>
  <c r="N42" i="65"/>
  <c r="L42" i="65"/>
  <c r="I42" i="65"/>
  <c r="H42" i="65"/>
  <c r="G42" i="65"/>
  <c r="F42" i="65"/>
  <c r="E42" i="65"/>
  <c r="D42" i="65"/>
  <c r="C42" i="65"/>
  <c r="P42" i="64"/>
  <c r="N42" i="64"/>
  <c r="M42" i="64"/>
  <c r="I42" i="64"/>
  <c r="H42" i="64"/>
  <c r="G42" i="64"/>
  <c r="E42" i="64"/>
  <c r="K42" i="61"/>
  <c r="J42" i="61"/>
  <c r="I42" i="61"/>
  <c r="H42" i="61"/>
  <c r="G42" i="61"/>
  <c r="F42" i="61"/>
  <c r="E42" i="61"/>
  <c r="D42" i="61"/>
  <c r="C42" i="61"/>
  <c r="P42" i="105"/>
  <c r="O42" i="105"/>
  <c r="N42" i="105"/>
  <c r="M42" i="105"/>
  <c r="L42" i="105"/>
  <c r="K42" i="105"/>
  <c r="I42" i="105"/>
  <c r="H42" i="105"/>
  <c r="G42" i="105"/>
  <c r="F42" i="105"/>
  <c r="E42" i="105"/>
  <c r="C42" i="105"/>
  <c r="P42" i="106"/>
  <c r="N42" i="106"/>
  <c r="M42" i="106"/>
  <c r="K42" i="106"/>
  <c r="J42" i="106"/>
  <c r="I42" i="106"/>
  <c r="H42" i="106"/>
  <c r="G42" i="106"/>
  <c r="F42" i="106"/>
  <c r="E42" i="106"/>
  <c r="C42" i="106"/>
  <c r="O42" i="17"/>
  <c r="N42" i="17"/>
  <c r="K42" i="17"/>
  <c r="J42" i="17"/>
  <c r="I42" i="17"/>
  <c r="H42" i="17"/>
  <c r="G42" i="17"/>
  <c r="F42" i="17"/>
  <c r="E42" i="17"/>
  <c r="D42" i="17"/>
  <c r="C42" i="17"/>
  <c r="O42" i="18"/>
  <c r="N42" i="18"/>
  <c r="M42" i="18"/>
  <c r="L42" i="18"/>
  <c r="J42" i="18"/>
  <c r="H42" i="18"/>
  <c r="G42" i="18"/>
  <c r="F42" i="18"/>
  <c r="E42" i="18"/>
  <c r="D42" i="18"/>
  <c r="O42" i="73"/>
  <c r="N42" i="73"/>
  <c r="L42" i="73"/>
  <c r="K42" i="73"/>
  <c r="I42" i="73"/>
  <c r="G42" i="73"/>
  <c r="F42" i="73"/>
  <c r="E42" i="73"/>
  <c r="P42" i="72"/>
  <c r="O42" i="72"/>
  <c r="N42" i="72"/>
  <c r="M42" i="72"/>
  <c r="K42" i="72"/>
  <c r="I42" i="72"/>
  <c r="H42" i="72"/>
  <c r="G42" i="72"/>
  <c r="E42" i="72"/>
  <c r="D42" i="72"/>
  <c r="M42" i="75"/>
  <c r="L42" i="75"/>
  <c r="K42" i="75"/>
  <c r="J42" i="75"/>
  <c r="I42" i="75"/>
  <c r="H42" i="75"/>
  <c r="G42" i="75"/>
  <c r="E42" i="75"/>
  <c r="D42" i="75"/>
  <c r="C42" i="75"/>
  <c r="N42" i="74"/>
  <c r="L42" i="74"/>
  <c r="K42" i="74"/>
  <c r="J42" i="74"/>
  <c r="I42" i="74"/>
  <c r="H42" i="74"/>
  <c r="G42" i="74"/>
  <c r="F42" i="74"/>
  <c r="E42" i="74"/>
  <c r="C42" i="74"/>
  <c r="Q42" i="78"/>
  <c r="O42" i="78"/>
  <c r="F42" i="78"/>
  <c r="D42" i="78"/>
  <c r="Q42" i="77"/>
  <c r="P42" i="77"/>
  <c r="O42" i="77"/>
  <c r="N42" i="77"/>
  <c r="M42" i="77"/>
  <c r="L42" i="77"/>
  <c r="I42" i="77"/>
  <c r="H42" i="77"/>
  <c r="E42" i="77"/>
  <c r="N42" i="9" l="1"/>
  <c r="F103" i="63"/>
  <c r="F105" i="63" s="1"/>
  <c r="F102" i="63"/>
  <c r="F100" i="63"/>
  <c r="F99" i="63"/>
  <c r="F98" i="63"/>
  <c r="F97" i="63"/>
  <c r="F85" i="63"/>
  <c r="F84" i="63"/>
  <c r="F83" i="63"/>
  <c r="F82" i="63"/>
  <c r="F80" i="63"/>
  <c r="F81" i="63" s="1"/>
  <c r="N42" i="14"/>
  <c r="G42" i="14"/>
  <c r="F42" i="13"/>
  <c r="E42" i="13"/>
  <c r="H42" i="12"/>
  <c r="G42" i="12"/>
  <c r="G42" i="11"/>
  <c r="F42" i="11"/>
  <c r="L42" i="9" s="1"/>
  <c r="I42" i="12"/>
  <c r="F42" i="12"/>
  <c r="E42" i="12"/>
  <c r="C42" i="12"/>
  <c r="N42" i="13"/>
  <c r="M42" i="13"/>
  <c r="L42" i="13"/>
  <c r="K42" i="13"/>
  <c r="J42" i="13"/>
  <c r="I42" i="13"/>
  <c r="H42" i="13"/>
  <c r="G42" i="13"/>
  <c r="C42" i="13"/>
  <c r="L42" i="14"/>
  <c r="K42" i="14"/>
  <c r="J42" i="14"/>
  <c r="I42" i="14"/>
  <c r="H42" i="14"/>
  <c r="F42" i="14"/>
  <c r="E42" i="14"/>
  <c r="D42" i="14"/>
  <c r="Q42" i="15"/>
  <c r="P42" i="15"/>
  <c r="O42" i="15"/>
  <c r="N42" i="15"/>
  <c r="M42" i="15"/>
  <c r="L42" i="15"/>
  <c r="K42" i="15"/>
  <c r="J42" i="15"/>
  <c r="I42" i="15"/>
  <c r="H42" i="15"/>
  <c r="F42" i="15"/>
  <c r="E42" i="15"/>
  <c r="D42" i="15"/>
  <c r="C42" i="15"/>
  <c r="U42" i="102"/>
  <c r="F38" i="63" s="1"/>
  <c r="F39" i="63" s="1"/>
  <c r="T42" i="102"/>
  <c r="S42" i="102"/>
  <c r="Q42" i="102"/>
  <c r="P42" i="102"/>
  <c r="O42" i="102"/>
  <c r="N42" i="102"/>
  <c r="M42" i="102"/>
  <c r="L42" i="102"/>
  <c r="K42" i="102"/>
  <c r="J42" i="102"/>
  <c r="I42" i="102"/>
  <c r="H42" i="102"/>
  <c r="G42" i="102"/>
  <c r="F42" i="102"/>
  <c r="E42" i="102"/>
  <c r="D42" i="102"/>
  <c r="C42" i="102"/>
  <c r="L42" i="11"/>
  <c r="J42" i="11"/>
  <c r="H42" i="11"/>
  <c r="E42" i="11"/>
  <c r="D42" i="11"/>
  <c r="C42" i="11"/>
  <c r="M42" i="10"/>
  <c r="L42" i="10"/>
  <c r="K42" i="10"/>
  <c r="I42" i="10"/>
  <c r="F42" i="9" s="1"/>
  <c r="H42" i="10"/>
  <c r="G42" i="10"/>
  <c r="F42" i="10"/>
  <c r="E42" i="10"/>
  <c r="D42" i="10"/>
  <c r="C42" i="10"/>
  <c r="R41" i="83"/>
  <c r="F42" i="7" l="1"/>
  <c r="H43" i="8" s="1"/>
  <c r="F21" i="63"/>
  <c r="F22" i="63" s="1"/>
  <c r="E42" i="6"/>
  <c r="J42" i="9"/>
  <c r="F36" i="63"/>
  <c r="F37" i="63" s="1"/>
  <c r="R42" i="80"/>
  <c r="R30" i="80" s="1"/>
  <c r="Q42" i="80"/>
  <c r="F53" i="63" s="1"/>
  <c r="P42" i="80"/>
  <c r="P30" i="80" s="1"/>
  <c r="O42" i="80"/>
  <c r="O30" i="80" s="1"/>
  <c r="N42" i="80"/>
  <c r="N30" i="80" s="1"/>
  <c r="M42" i="80"/>
  <c r="M30" i="80" s="1"/>
  <c r="L42" i="80"/>
  <c r="L30" i="80" s="1"/>
  <c r="K42" i="80"/>
  <c r="K30" i="80" s="1"/>
  <c r="J42" i="80"/>
  <c r="F54" i="63" s="1"/>
  <c r="I42" i="80"/>
  <c r="I30" i="80" s="1"/>
  <c r="H42" i="80"/>
  <c r="H30" i="80" s="1"/>
  <c r="G42" i="80"/>
  <c r="G30" i="80" s="1"/>
  <c r="F42" i="80"/>
  <c r="F30" i="80" s="1"/>
  <c r="E42" i="80"/>
  <c r="D42" i="80"/>
  <c r="D30" i="80" s="1"/>
  <c r="C42" i="80"/>
  <c r="C30" i="80" s="1"/>
  <c r="I30" i="90"/>
  <c r="H30" i="90"/>
  <c r="K30" i="91"/>
  <c r="J30" i="91"/>
  <c r="O30" i="4"/>
  <c r="N30" i="4"/>
  <c r="M30" i="4"/>
  <c r="L30" i="4"/>
  <c r="K30" i="4"/>
  <c r="J30" i="4"/>
  <c r="I30" i="4"/>
  <c r="G30" i="4"/>
  <c r="F30" i="4"/>
  <c r="E30" i="4"/>
  <c r="D30" i="4"/>
  <c r="C30" i="4"/>
  <c r="I30" i="5"/>
  <c r="G30" i="5"/>
  <c r="F30" i="5"/>
  <c r="E30" i="5"/>
  <c r="D30" i="5"/>
  <c r="C30" i="5"/>
  <c r="L30" i="79"/>
  <c r="K30" i="79"/>
  <c r="J30" i="79"/>
  <c r="I30" i="79"/>
  <c r="H30" i="79"/>
  <c r="G30" i="79"/>
  <c r="F30" i="79"/>
  <c r="E30" i="79"/>
  <c r="D30" i="79"/>
  <c r="C30" i="79"/>
  <c r="M30" i="10"/>
  <c r="F30" i="10"/>
  <c r="E30" i="10"/>
  <c r="H30" i="11"/>
  <c r="G30" i="11"/>
  <c r="H30" i="12"/>
  <c r="G30" i="12"/>
  <c r="D30" i="12"/>
  <c r="L30" i="13"/>
  <c r="K30" i="13"/>
  <c r="H30" i="13"/>
  <c r="D30" i="13"/>
  <c r="C30" i="13"/>
  <c r="L30" i="14"/>
  <c r="H30" i="14"/>
  <c r="G30" i="14"/>
  <c r="D30" i="14"/>
  <c r="O30" i="15"/>
  <c r="N30" i="15"/>
  <c r="K30" i="15"/>
  <c r="G30" i="15"/>
  <c r="F30" i="15"/>
  <c r="C30" i="15"/>
  <c r="R30" i="102"/>
  <c r="Q30" i="102"/>
  <c r="J30" i="102"/>
  <c r="I30" i="102"/>
  <c r="C30" i="77"/>
  <c r="I42" i="110"/>
  <c r="I30" i="110" s="1"/>
  <c r="G42" i="110"/>
  <c r="F42" i="110"/>
  <c r="E42" i="110"/>
  <c r="D42" i="110"/>
  <c r="C42" i="110"/>
  <c r="J42" i="5"/>
  <c r="H42" i="5"/>
  <c r="H30" i="5" s="1"/>
  <c r="J42" i="6"/>
  <c r="J30" i="6" s="1"/>
  <c r="C42" i="7"/>
  <c r="H30" i="10"/>
  <c r="G30" i="10"/>
  <c r="G42" i="7"/>
  <c r="H42" i="7"/>
  <c r="J43" i="8" s="1"/>
  <c r="D30" i="10"/>
  <c r="L30" i="11"/>
  <c r="K30" i="11"/>
  <c r="F30" i="11"/>
  <c r="D30" i="11"/>
  <c r="I30" i="12"/>
  <c r="L42" i="12"/>
  <c r="F30" i="12"/>
  <c r="J42" i="12"/>
  <c r="K42" i="12"/>
  <c r="M30" i="13"/>
  <c r="J30" i="13"/>
  <c r="I30" i="13"/>
  <c r="G30" i="13"/>
  <c r="F30" i="13"/>
  <c r="E30" i="13"/>
  <c r="N30" i="14"/>
  <c r="M30" i="14"/>
  <c r="K30" i="14"/>
  <c r="J30" i="14"/>
  <c r="I30" i="14"/>
  <c r="F30" i="14"/>
  <c r="E30" i="14"/>
  <c r="O42" i="14"/>
  <c r="Q30" i="15"/>
  <c r="P30" i="15"/>
  <c r="M30" i="15"/>
  <c r="L30" i="15"/>
  <c r="I30" i="15"/>
  <c r="H30" i="15"/>
  <c r="D30" i="15"/>
  <c r="F42" i="6"/>
  <c r="F30" i="6" s="1"/>
  <c r="U30" i="102"/>
  <c r="T30" i="102"/>
  <c r="S30" i="102"/>
  <c r="P30" i="102"/>
  <c r="O30" i="102"/>
  <c r="N30" i="102"/>
  <c r="M30" i="102"/>
  <c r="L30" i="102"/>
  <c r="K30" i="102"/>
  <c r="H30" i="102"/>
  <c r="G30" i="102"/>
  <c r="F30" i="102"/>
  <c r="E30" i="102"/>
  <c r="D30" i="102"/>
  <c r="C30" i="102"/>
  <c r="Q30" i="65"/>
  <c r="P30" i="65"/>
  <c r="O30" i="65"/>
  <c r="N30" i="65"/>
  <c r="M30" i="65"/>
  <c r="L30" i="65"/>
  <c r="I30" i="65"/>
  <c r="H30" i="65"/>
  <c r="G30" i="65"/>
  <c r="F30" i="65"/>
  <c r="E30" i="65"/>
  <c r="D30" i="65"/>
  <c r="C30" i="65"/>
  <c r="Q30" i="64"/>
  <c r="P30" i="64"/>
  <c r="O30" i="64"/>
  <c r="N30" i="64"/>
  <c r="M30" i="64"/>
  <c r="L30" i="64"/>
  <c r="K30" i="64"/>
  <c r="I30" i="64"/>
  <c r="H30" i="64"/>
  <c r="G30" i="64"/>
  <c r="F30" i="64"/>
  <c r="E30" i="64"/>
  <c r="D30" i="64"/>
  <c r="C30" i="64"/>
  <c r="K30" i="61"/>
  <c r="J30" i="61"/>
  <c r="I30" i="61"/>
  <c r="H30" i="61"/>
  <c r="G30" i="61"/>
  <c r="F30" i="61"/>
  <c r="E30" i="61"/>
  <c r="D30" i="61"/>
  <c r="C30" i="61"/>
  <c r="P30" i="105"/>
  <c r="O30" i="105"/>
  <c r="M30" i="105"/>
  <c r="L30" i="105"/>
  <c r="K30" i="105"/>
  <c r="J30" i="105"/>
  <c r="I30" i="105"/>
  <c r="G30" i="105"/>
  <c r="F30" i="105"/>
  <c r="E30" i="105"/>
  <c r="D30" i="105"/>
  <c r="C30" i="105"/>
  <c r="P30" i="106"/>
  <c r="M30" i="106"/>
  <c r="L30" i="106"/>
  <c r="K30" i="106"/>
  <c r="J30" i="106"/>
  <c r="I30" i="106"/>
  <c r="G30" i="106"/>
  <c r="F30" i="106"/>
  <c r="E30" i="106"/>
  <c r="D30" i="106"/>
  <c r="C30" i="106"/>
  <c r="O30" i="17"/>
  <c r="L30" i="17"/>
  <c r="K30" i="17"/>
  <c r="J30" i="17"/>
  <c r="I30" i="17"/>
  <c r="H30" i="17"/>
  <c r="E30" i="17"/>
  <c r="D30" i="17"/>
  <c r="C30" i="17"/>
  <c r="O30" i="18"/>
  <c r="N30" i="18"/>
  <c r="L30" i="18"/>
  <c r="K30" i="18"/>
  <c r="J30" i="18"/>
  <c r="I30" i="18"/>
  <c r="H30" i="18"/>
  <c r="G30" i="18"/>
  <c r="E30" i="18"/>
  <c r="Q30" i="73"/>
  <c r="P30" i="73"/>
  <c r="O30" i="73"/>
  <c r="N30" i="73"/>
  <c r="M30" i="73"/>
  <c r="L30" i="73"/>
  <c r="K30" i="73"/>
  <c r="I30" i="73"/>
  <c r="H30" i="73"/>
  <c r="G30" i="73"/>
  <c r="F30" i="73"/>
  <c r="E30" i="73"/>
  <c r="D30" i="73"/>
  <c r="C30" i="73"/>
  <c r="Q30" i="72"/>
  <c r="P30" i="72"/>
  <c r="O30" i="72"/>
  <c r="N30" i="72"/>
  <c r="M30" i="72"/>
  <c r="L30" i="72"/>
  <c r="K30" i="72"/>
  <c r="I30" i="72"/>
  <c r="H30" i="72"/>
  <c r="G30" i="72"/>
  <c r="F30" i="72"/>
  <c r="E30" i="72"/>
  <c r="D30" i="72"/>
  <c r="C30" i="72"/>
  <c r="M30" i="75"/>
  <c r="L30" i="75"/>
  <c r="K30" i="75"/>
  <c r="J30" i="75"/>
  <c r="I30" i="75"/>
  <c r="G30" i="75"/>
  <c r="F30" i="75"/>
  <c r="E30" i="75"/>
  <c r="D30" i="75"/>
  <c r="C30" i="75"/>
  <c r="O30" i="74"/>
  <c r="M30" i="74"/>
  <c r="L30" i="74"/>
  <c r="K30" i="74"/>
  <c r="J30" i="74"/>
  <c r="G30" i="74"/>
  <c r="F30" i="74"/>
  <c r="E30" i="74"/>
  <c r="D30" i="74"/>
  <c r="C30" i="74"/>
  <c r="Q30" i="78"/>
  <c r="P30" i="78"/>
  <c r="O30" i="78"/>
  <c r="N30" i="78"/>
  <c r="M30" i="78"/>
  <c r="L30" i="78"/>
  <c r="K30" i="78"/>
  <c r="I30" i="78"/>
  <c r="H30" i="78"/>
  <c r="G30" i="78"/>
  <c r="F30" i="78"/>
  <c r="E30" i="78"/>
  <c r="D30" i="78"/>
  <c r="C30" i="78"/>
  <c r="Q30" i="77"/>
  <c r="P30" i="77"/>
  <c r="O30" i="77"/>
  <c r="N30" i="77"/>
  <c r="M30" i="77"/>
  <c r="L30" i="77"/>
  <c r="I30" i="77"/>
  <c r="H30" i="77"/>
  <c r="G30" i="77"/>
  <c r="F30" i="77"/>
  <c r="E30" i="77"/>
  <c r="D30" i="77"/>
  <c r="N42" i="91"/>
  <c r="M42" i="91"/>
  <c r="J42" i="92"/>
  <c r="H42" i="4"/>
  <c r="C30" i="7" l="1"/>
  <c r="E43" i="8"/>
  <c r="G30" i="7"/>
  <c r="I43" i="8"/>
  <c r="K43" i="8" s="1"/>
  <c r="J30" i="80"/>
  <c r="Q30" i="80"/>
  <c r="P42" i="4"/>
  <c r="F9" i="63"/>
  <c r="S42" i="74"/>
  <c r="N30" i="74"/>
  <c r="O30" i="75"/>
  <c r="F25" i="63"/>
  <c r="F26" i="63" s="1"/>
  <c r="C30" i="18"/>
  <c r="J30" i="9"/>
  <c r="D30" i="18"/>
  <c r="K42" i="9"/>
  <c r="K30" i="9" s="1"/>
  <c r="M42" i="9"/>
  <c r="F30" i="18"/>
  <c r="F30" i="17"/>
  <c r="F30" i="9"/>
  <c r="F23" i="63"/>
  <c r="F24" i="63" s="1"/>
  <c r="I42" i="9"/>
  <c r="F19" i="63" s="1"/>
  <c r="F20" i="63" s="1"/>
  <c r="S42" i="106"/>
  <c r="R42" i="105"/>
  <c r="N30" i="105"/>
  <c r="D42" i="7"/>
  <c r="E42" i="7" s="1"/>
  <c r="E30" i="7" s="1"/>
  <c r="F35" i="63"/>
  <c r="M42" i="5"/>
  <c r="E30" i="80"/>
  <c r="F55" i="63"/>
  <c r="Q42" i="75"/>
  <c r="H30" i="75"/>
  <c r="Q42" i="18"/>
  <c r="M30" i="18"/>
  <c r="R42" i="18"/>
  <c r="Q42" i="17"/>
  <c r="Q42" i="106"/>
  <c r="P42" i="13"/>
  <c r="N30" i="13"/>
  <c r="R42" i="78"/>
  <c r="S42" i="105"/>
  <c r="V42" i="102"/>
  <c r="G42" i="9"/>
  <c r="D42" i="9"/>
  <c r="D30" i="9" s="1"/>
  <c r="M30" i="17"/>
  <c r="H30" i="106"/>
  <c r="J30" i="15"/>
  <c r="C30" i="14"/>
  <c r="C30" i="12"/>
  <c r="C30" i="11"/>
  <c r="I30" i="10"/>
  <c r="E30" i="6"/>
  <c r="S42" i="77"/>
  <c r="K30" i="77"/>
  <c r="R42" i="74"/>
  <c r="I30" i="74"/>
  <c r="L30" i="9"/>
  <c r="R42" i="75"/>
  <c r="D42" i="6"/>
  <c r="D30" i="6" s="1"/>
  <c r="E30" i="15"/>
  <c r="M30" i="9"/>
  <c r="S42" i="75"/>
  <c r="S42" i="73"/>
  <c r="P42" i="18"/>
  <c r="R42" i="17"/>
  <c r="R42" i="77"/>
  <c r="J30" i="77"/>
  <c r="Q42" i="74"/>
  <c r="H30" i="74"/>
  <c r="R42" i="72"/>
  <c r="J30" i="72"/>
  <c r="P42" i="17"/>
  <c r="G30" i="17"/>
  <c r="H42" i="9"/>
  <c r="H30" i="9" s="1"/>
  <c r="J30" i="78"/>
  <c r="N30" i="75"/>
  <c r="J30" i="73"/>
  <c r="N30" i="17"/>
  <c r="J30" i="10"/>
  <c r="R42" i="106"/>
  <c r="Q42" i="105"/>
  <c r="R42" i="65"/>
  <c r="P42" i="14"/>
  <c r="N30" i="9"/>
  <c r="C42" i="9"/>
  <c r="C30" i="9" s="1"/>
  <c r="E42" i="9"/>
  <c r="E30" i="9" s="1"/>
  <c r="F30" i="7"/>
  <c r="K42" i="5"/>
  <c r="K30" i="5" s="1"/>
  <c r="N30" i="106"/>
  <c r="H30" i="105"/>
  <c r="J30" i="65"/>
  <c r="E30" i="12"/>
  <c r="E30" i="11"/>
  <c r="I30" i="11"/>
  <c r="C30" i="10"/>
  <c r="K30" i="10"/>
  <c r="S42" i="64"/>
  <c r="S42" i="65"/>
  <c r="O42" i="13"/>
  <c r="O42" i="9"/>
  <c r="O42" i="10"/>
  <c r="O30" i="106"/>
  <c r="J30" i="64"/>
  <c r="K30" i="65"/>
  <c r="J30" i="12"/>
  <c r="J30" i="11"/>
  <c r="L30" i="10"/>
  <c r="J30" i="5"/>
  <c r="H30" i="4"/>
  <c r="H30" i="7"/>
  <c r="M42" i="11"/>
  <c r="S42" i="78"/>
  <c r="N42" i="11"/>
  <c r="N42" i="10"/>
  <c r="S42" i="72"/>
  <c r="R42" i="73"/>
  <c r="R42" i="64"/>
  <c r="N30" i="91"/>
  <c r="M30" i="91"/>
  <c r="O32" i="18"/>
  <c r="N32" i="18"/>
  <c r="M32" i="18"/>
  <c r="L32" i="18"/>
  <c r="K32" i="18"/>
  <c r="J32" i="18"/>
  <c r="I32" i="18"/>
  <c r="H32" i="18"/>
  <c r="G32" i="18"/>
  <c r="F32" i="18"/>
  <c r="E32" i="18"/>
  <c r="D32" i="18"/>
  <c r="C32" i="18"/>
  <c r="Q32" i="73"/>
  <c r="P32" i="73"/>
  <c r="O32" i="73"/>
  <c r="N32" i="73"/>
  <c r="M32" i="73"/>
  <c r="L32" i="73"/>
  <c r="K32" i="73"/>
  <c r="J32" i="73"/>
  <c r="I32" i="73"/>
  <c r="H32" i="73"/>
  <c r="G32" i="73"/>
  <c r="F32" i="73"/>
  <c r="E32" i="73"/>
  <c r="D32" i="73"/>
  <c r="C32" i="73"/>
  <c r="Q32" i="72"/>
  <c r="P32" i="72"/>
  <c r="O32" i="72"/>
  <c r="N32" i="72"/>
  <c r="M32" i="72"/>
  <c r="L32" i="72"/>
  <c r="K32" i="72"/>
  <c r="J32" i="72"/>
  <c r="I32" i="72"/>
  <c r="H32" i="72"/>
  <c r="G32" i="72"/>
  <c r="F32" i="72"/>
  <c r="E32" i="72"/>
  <c r="D32" i="72"/>
  <c r="C32" i="72"/>
  <c r="O32" i="17"/>
  <c r="N32" i="17"/>
  <c r="M32" i="17"/>
  <c r="L32" i="17"/>
  <c r="K32" i="17"/>
  <c r="J32" i="17"/>
  <c r="I32" i="17"/>
  <c r="H32" i="17"/>
  <c r="G32" i="17"/>
  <c r="F32" i="17"/>
  <c r="E32" i="17"/>
  <c r="D32" i="17"/>
  <c r="C32" i="17"/>
  <c r="I30" i="9" l="1"/>
  <c r="D30" i="7"/>
  <c r="F43" i="8"/>
  <c r="G43" i="8" s="1"/>
  <c r="P42" i="9"/>
  <c r="O30" i="9"/>
  <c r="F29" i="63"/>
  <c r="F31" i="63" s="1"/>
  <c r="G30" i="9"/>
  <c r="F27" i="63"/>
  <c r="F28" i="63" s="1"/>
  <c r="F33" i="63"/>
  <c r="I42" i="7"/>
  <c r="I30" i="7" s="1"/>
  <c r="L42" i="5"/>
  <c r="L30" i="5" s="1"/>
  <c r="R42" i="9"/>
  <c r="Q42" i="9"/>
  <c r="S42" i="9"/>
  <c r="G47" i="108"/>
  <c r="G44" i="108"/>
  <c r="G41" i="108"/>
  <c r="G38" i="108"/>
  <c r="G35" i="108"/>
  <c r="G31" i="108"/>
  <c r="G28" i="108"/>
  <c r="G17" i="108"/>
  <c r="G14" i="108"/>
  <c r="G11" i="108"/>
  <c r="G10" i="108" s="1"/>
  <c r="G14" i="109"/>
  <c r="G9" i="109"/>
  <c r="H17" i="109"/>
  <c r="H16" i="109"/>
  <c r="H15" i="109"/>
  <c r="H13" i="109"/>
  <c r="H12" i="109"/>
  <c r="H11" i="109"/>
  <c r="H10" i="109"/>
  <c r="L14" i="109"/>
  <c r="H14" i="109" s="1"/>
  <c r="L9" i="109"/>
  <c r="H9" i="109" s="1"/>
  <c r="H50" i="108"/>
  <c r="L47" i="108"/>
  <c r="L44" i="108"/>
  <c r="L41" i="108"/>
  <c r="L38" i="108"/>
  <c r="L35" i="108"/>
  <c r="L34" i="108"/>
  <c r="H34" i="108" s="1"/>
  <c r="L33" i="108"/>
  <c r="H33" i="108" s="1"/>
  <c r="L32" i="108"/>
  <c r="L29" i="108"/>
  <c r="H29" i="108" s="1"/>
  <c r="L28" i="108"/>
  <c r="L27" i="108"/>
  <c r="L26" i="108"/>
  <c r="H26" i="108" s="1"/>
  <c r="L25" i="108"/>
  <c r="H25" i="108" s="1"/>
  <c r="L24" i="108"/>
  <c r="H24" i="108" s="1"/>
  <c r="L23" i="108"/>
  <c r="H23" i="108" s="1"/>
  <c r="L22" i="108"/>
  <c r="L20" i="108"/>
  <c r="H20" i="108" s="1"/>
  <c r="L17" i="108"/>
  <c r="L14" i="108"/>
  <c r="L11" i="108"/>
  <c r="H49" i="108"/>
  <c r="H48" i="108"/>
  <c r="H46" i="108"/>
  <c r="H45" i="108"/>
  <c r="H43" i="108"/>
  <c r="H42" i="108"/>
  <c r="H39" i="108"/>
  <c r="H36" i="108"/>
  <c r="H30" i="108"/>
  <c r="H27" i="108"/>
  <c r="H22" i="108"/>
  <c r="H21" i="108"/>
  <c r="H19" i="108"/>
  <c r="H18" i="108"/>
  <c r="H16" i="108"/>
  <c r="H15" i="108"/>
  <c r="H13" i="108"/>
  <c r="H12" i="108"/>
  <c r="C42" i="6" l="1"/>
  <c r="K42" i="6" s="1"/>
  <c r="K30" i="6" s="1"/>
  <c r="F30" i="63"/>
  <c r="L40" i="108"/>
  <c r="L37" i="108" s="1"/>
  <c r="G9" i="108"/>
  <c r="L31" i="108"/>
  <c r="L8" i="109"/>
  <c r="H8" i="109" s="1"/>
  <c r="G8" i="109"/>
  <c r="G40" i="108"/>
  <c r="G37" i="108" s="1"/>
  <c r="H32" i="108"/>
  <c r="L10" i="108"/>
  <c r="G42" i="6" l="1"/>
  <c r="F11" i="63" s="1"/>
  <c r="C30" i="6"/>
  <c r="G51" i="108"/>
  <c r="L9" i="108"/>
  <c r="G30" i="6" l="1"/>
  <c r="H42" i="6"/>
  <c r="F13" i="63" s="1"/>
  <c r="F15" i="63" s="1"/>
  <c r="L51" i="108"/>
  <c r="I42" i="6" l="1"/>
  <c r="I30" i="6" s="1"/>
  <c r="H30" i="6"/>
  <c r="C42" i="8"/>
  <c r="D43" i="8" s="1"/>
  <c r="I21" i="84"/>
  <c r="H21" i="84"/>
  <c r="G21" i="84"/>
  <c r="D21" i="84"/>
  <c r="C30" i="8" l="1"/>
  <c r="F16" i="63"/>
  <c r="J42" i="7"/>
  <c r="J30" i="7" s="1"/>
  <c r="J21" i="84"/>
  <c r="K41" i="77" l="1"/>
  <c r="Q41" i="77"/>
  <c r="G41" i="77"/>
  <c r="P41" i="78"/>
  <c r="E41" i="78"/>
  <c r="M41" i="74"/>
  <c r="O41" i="74"/>
  <c r="Q41" i="72" l="1"/>
  <c r="C41" i="72"/>
  <c r="F41" i="72"/>
  <c r="J41" i="72"/>
  <c r="P41" i="73"/>
  <c r="Q41" i="73"/>
  <c r="M41" i="73"/>
  <c r="H41" i="73"/>
  <c r="D41" i="73"/>
  <c r="J41" i="73"/>
  <c r="C41" i="73"/>
  <c r="I41" i="18"/>
  <c r="C41" i="18"/>
  <c r="L41" i="17"/>
  <c r="M41" i="17"/>
  <c r="N41" i="17"/>
  <c r="L41" i="106"/>
  <c r="J41" i="105"/>
  <c r="Q41" i="64"/>
  <c r="O41" i="64"/>
  <c r="D41" i="64"/>
  <c r="K41" i="64"/>
  <c r="C41" i="64"/>
  <c r="J41" i="64"/>
  <c r="N41" i="65"/>
  <c r="M41" i="65"/>
  <c r="Q41" i="65"/>
  <c r="K41" i="65"/>
  <c r="C41" i="65"/>
  <c r="J41" i="65"/>
  <c r="G41" i="14"/>
  <c r="F41" i="13"/>
  <c r="E41" i="13"/>
  <c r="N41" i="14"/>
  <c r="H41" i="12"/>
  <c r="G41" i="12"/>
  <c r="H41" i="11"/>
  <c r="G41" i="11"/>
  <c r="F41" i="11"/>
  <c r="I41" i="11"/>
  <c r="K41" i="11"/>
  <c r="H41" i="110" l="1"/>
  <c r="I41" i="110" l="1"/>
  <c r="G41" i="110"/>
  <c r="F41" i="110"/>
  <c r="E41" i="110"/>
  <c r="D41" i="110"/>
  <c r="C41" i="110"/>
  <c r="P41" i="64"/>
  <c r="N41" i="64"/>
  <c r="M41" i="64"/>
  <c r="L41" i="64"/>
  <c r="I41" i="64"/>
  <c r="H41" i="64"/>
  <c r="G41" i="64"/>
  <c r="F41" i="64"/>
  <c r="E41" i="64"/>
  <c r="K41" i="61"/>
  <c r="J41" i="61"/>
  <c r="I41" i="61"/>
  <c r="H41" i="61"/>
  <c r="G41" i="61"/>
  <c r="F41" i="61"/>
  <c r="E41" i="61"/>
  <c r="D41" i="61"/>
  <c r="C41" i="61"/>
  <c r="P41" i="105"/>
  <c r="O41" i="105"/>
  <c r="N41" i="105"/>
  <c r="M41" i="105"/>
  <c r="L41" i="105"/>
  <c r="K41" i="105"/>
  <c r="I41" i="105"/>
  <c r="H41" i="105"/>
  <c r="G41" i="105"/>
  <c r="F41" i="105"/>
  <c r="E41" i="105"/>
  <c r="D41" i="105"/>
  <c r="C41" i="105"/>
  <c r="P41" i="106"/>
  <c r="O41" i="106"/>
  <c r="N41" i="106"/>
  <c r="M41" i="106"/>
  <c r="K41" i="106"/>
  <c r="J41" i="106"/>
  <c r="I41" i="106"/>
  <c r="H41" i="106"/>
  <c r="G41" i="106"/>
  <c r="F41" i="106"/>
  <c r="E41" i="106"/>
  <c r="D41" i="106"/>
  <c r="C41" i="106"/>
  <c r="O41" i="17"/>
  <c r="K41" i="17"/>
  <c r="J41" i="17"/>
  <c r="I41" i="17"/>
  <c r="H41" i="17"/>
  <c r="G41" i="17"/>
  <c r="F41" i="17"/>
  <c r="E41" i="17"/>
  <c r="D41" i="17"/>
  <c r="C41" i="17"/>
  <c r="O41" i="18"/>
  <c r="N41" i="18"/>
  <c r="M41" i="18"/>
  <c r="L41" i="18"/>
  <c r="K41" i="18"/>
  <c r="J41" i="18"/>
  <c r="H41" i="18"/>
  <c r="G41" i="18"/>
  <c r="F41" i="18"/>
  <c r="M41" i="9" s="1"/>
  <c r="E41" i="18"/>
  <c r="D41" i="18"/>
  <c r="O41" i="73"/>
  <c r="N41" i="73"/>
  <c r="L41" i="73"/>
  <c r="K41" i="73"/>
  <c r="I41" i="73"/>
  <c r="G41" i="73"/>
  <c r="F41" i="73"/>
  <c r="E41" i="73"/>
  <c r="P41" i="72"/>
  <c r="O41" i="72"/>
  <c r="N41" i="72"/>
  <c r="M41" i="72"/>
  <c r="L41" i="72"/>
  <c r="K41" i="72"/>
  <c r="I41" i="72"/>
  <c r="H41" i="72"/>
  <c r="G41" i="72"/>
  <c r="E41" i="72"/>
  <c r="D41" i="72"/>
  <c r="O41" i="75"/>
  <c r="N41" i="75"/>
  <c r="M41" i="75"/>
  <c r="L41" i="75"/>
  <c r="K41" i="75"/>
  <c r="J41" i="75"/>
  <c r="I41" i="75"/>
  <c r="H41" i="75"/>
  <c r="G41" i="75"/>
  <c r="F41" i="75"/>
  <c r="E41" i="75"/>
  <c r="D41" i="75"/>
  <c r="C41" i="75"/>
  <c r="N41" i="74"/>
  <c r="L41" i="74"/>
  <c r="K41" i="74"/>
  <c r="J41" i="74"/>
  <c r="I41" i="74"/>
  <c r="H41" i="74"/>
  <c r="G41" i="74"/>
  <c r="F41" i="74"/>
  <c r="E41" i="74"/>
  <c r="D41" i="74"/>
  <c r="C41" i="74"/>
  <c r="Q41" i="78"/>
  <c r="O41" i="78"/>
  <c r="N41" i="78"/>
  <c r="M41" i="78"/>
  <c r="L41" i="78"/>
  <c r="K41" i="78"/>
  <c r="J41" i="78"/>
  <c r="I41" i="78"/>
  <c r="H41" i="78"/>
  <c r="G41" i="78"/>
  <c r="F41" i="78"/>
  <c r="D41" i="78"/>
  <c r="C41" i="78"/>
  <c r="P41" i="77"/>
  <c r="O41" i="77"/>
  <c r="N41" i="77"/>
  <c r="M41" i="77"/>
  <c r="L41" i="77"/>
  <c r="J41" i="77"/>
  <c r="I41" i="77"/>
  <c r="H41" i="77"/>
  <c r="F41" i="77"/>
  <c r="E41" i="77"/>
  <c r="D41" i="77"/>
  <c r="C41" i="77"/>
  <c r="P41" i="65"/>
  <c r="O41" i="65"/>
  <c r="L41" i="65"/>
  <c r="I41" i="65"/>
  <c r="H41" i="65"/>
  <c r="G41" i="65"/>
  <c r="F41" i="65"/>
  <c r="E41" i="65"/>
  <c r="D41" i="65"/>
  <c r="M41" i="10"/>
  <c r="L41" i="10"/>
  <c r="I41" i="9" s="1"/>
  <c r="K41" i="10"/>
  <c r="J41" i="10"/>
  <c r="I41" i="10"/>
  <c r="F41" i="9" s="1"/>
  <c r="H41" i="10"/>
  <c r="G41" i="10"/>
  <c r="F41" i="10"/>
  <c r="E41" i="10"/>
  <c r="D41" i="10"/>
  <c r="C41" i="10"/>
  <c r="L41" i="11"/>
  <c r="J41" i="11"/>
  <c r="E41" i="11"/>
  <c r="D41" i="11"/>
  <c r="C41" i="11"/>
  <c r="I41" i="12"/>
  <c r="F41" i="12"/>
  <c r="E41" i="12"/>
  <c r="D41" i="12"/>
  <c r="C41" i="12"/>
  <c r="N41" i="13"/>
  <c r="M41" i="13"/>
  <c r="L41" i="13"/>
  <c r="K41" i="13"/>
  <c r="J41" i="13"/>
  <c r="I41" i="13"/>
  <c r="H41" i="13"/>
  <c r="G41" i="13"/>
  <c r="D41" i="13"/>
  <c r="C41" i="13"/>
  <c r="M41" i="14"/>
  <c r="L41" i="14"/>
  <c r="K41" i="14"/>
  <c r="J41" i="14"/>
  <c r="I41" i="14"/>
  <c r="H41" i="14"/>
  <c r="F41" i="14"/>
  <c r="E41" i="14"/>
  <c r="D41" i="14"/>
  <c r="C41" i="14"/>
  <c r="Q41" i="15"/>
  <c r="P41" i="15"/>
  <c r="O41" i="15"/>
  <c r="N41" i="15"/>
  <c r="M41" i="15"/>
  <c r="L41" i="15"/>
  <c r="K41" i="15"/>
  <c r="J41" i="15"/>
  <c r="I41" i="15"/>
  <c r="H41" i="15"/>
  <c r="G41" i="15"/>
  <c r="F41" i="15"/>
  <c r="E41" i="15"/>
  <c r="D41" i="15"/>
  <c r="C41" i="15"/>
  <c r="U41" i="102"/>
  <c r="T41" i="102"/>
  <c r="S41" i="102"/>
  <c r="R41" i="102"/>
  <c r="Q41" i="102"/>
  <c r="P41" i="102"/>
  <c r="O41" i="102"/>
  <c r="N41" i="102"/>
  <c r="M41" i="102"/>
  <c r="L41" i="102"/>
  <c r="K41" i="102"/>
  <c r="J41" i="102"/>
  <c r="I41" i="102"/>
  <c r="H41" i="102"/>
  <c r="G41" i="102"/>
  <c r="F41" i="102"/>
  <c r="E41" i="102"/>
  <c r="D41" i="102"/>
  <c r="C41" i="102"/>
  <c r="R41" i="80"/>
  <c r="Q41" i="80"/>
  <c r="P41" i="80"/>
  <c r="O41" i="80"/>
  <c r="N41" i="80"/>
  <c r="M41" i="80"/>
  <c r="L41" i="80"/>
  <c r="K41" i="80"/>
  <c r="J41" i="80"/>
  <c r="I41" i="80"/>
  <c r="H41" i="80"/>
  <c r="G41" i="80"/>
  <c r="F41" i="80"/>
  <c r="E41" i="80"/>
  <c r="D41" i="80"/>
  <c r="C41" i="80"/>
  <c r="L32" i="117"/>
  <c r="K32" i="117"/>
  <c r="L31" i="117"/>
  <c r="K31" i="117"/>
  <c r="L30" i="117"/>
  <c r="K30" i="117"/>
  <c r="L29" i="117"/>
  <c r="K29" i="117"/>
  <c r="L28" i="117"/>
  <c r="K28" i="117"/>
  <c r="L27" i="117"/>
  <c r="K27" i="117"/>
  <c r="L26" i="117"/>
  <c r="K26" i="117"/>
  <c r="L25" i="117"/>
  <c r="K25" i="117"/>
  <c r="L24" i="117"/>
  <c r="K24" i="117"/>
  <c r="L23" i="117"/>
  <c r="K23" i="117"/>
  <c r="L22" i="117"/>
  <c r="K22" i="117"/>
  <c r="L21" i="117"/>
  <c r="K21" i="117"/>
  <c r="L20" i="117"/>
  <c r="K20" i="117"/>
  <c r="L19" i="117"/>
  <c r="K19" i="117"/>
  <c r="L18" i="117"/>
  <c r="K18" i="117"/>
  <c r="L17" i="117"/>
  <c r="K17" i="117"/>
  <c r="L16" i="117"/>
  <c r="K16" i="117"/>
  <c r="L15" i="117"/>
  <c r="K15" i="117"/>
  <c r="L14" i="117"/>
  <c r="K14" i="117"/>
  <c r="L13" i="117"/>
  <c r="K13" i="117"/>
  <c r="L32" i="116"/>
  <c r="K32" i="116"/>
  <c r="L31" i="116"/>
  <c r="K31" i="116"/>
  <c r="L30" i="116"/>
  <c r="K30" i="116"/>
  <c r="L29" i="116"/>
  <c r="K29" i="116"/>
  <c r="L28" i="116"/>
  <c r="K28" i="116"/>
  <c r="L27" i="116"/>
  <c r="K27" i="116"/>
  <c r="L26" i="116"/>
  <c r="K26" i="116"/>
  <c r="L25" i="116"/>
  <c r="K25" i="116"/>
  <c r="L24" i="116"/>
  <c r="K24" i="116"/>
  <c r="L23" i="116"/>
  <c r="K23" i="116"/>
  <c r="L22" i="116"/>
  <c r="K22" i="116"/>
  <c r="L21" i="116"/>
  <c r="K21" i="116"/>
  <c r="L20" i="116"/>
  <c r="K20" i="116"/>
  <c r="L19" i="116"/>
  <c r="K19" i="116"/>
  <c r="L18" i="116"/>
  <c r="K18" i="116"/>
  <c r="L17" i="116"/>
  <c r="K17" i="116"/>
  <c r="L16" i="116"/>
  <c r="K16" i="116"/>
  <c r="L15" i="116"/>
  <c r="K15" i="116"/>
  <c r="L14" i="116"/>
  <c r="K14" i="116"/>
  <c r="L13" i="116"/>
  <c r="K13" i="116"/>
  <c r="L32" i="115"/>
  <c r="K32" i="115"/>
  <c r="L31" i="115"/>
  <c r="K31" i="115"/>
  <c r="L30" i="115"/>
  <c r="K30" i="115"/>
  <c r="L29" i="115"/>
  <c r="K29" i="115"/>
  <c r="L28" i="115"/>
  <c r="K28" i="115"/>
  <c r="L27" i="115"/>
  <c r="K27" i="115"/>
  <c r="L26" i="115"/>
  <c r="K26" i="115"/>
  <c r="L25" i="115"/>
  <c r="K25" i="115"/>
  <c r="L24" i="115"/>
  <c r="K24" i="115"/>
  <c r="L23" i="115"/>
  <c r="K23" i="115"/>
  <c r="L22" i="115"/>
  <c r="K22" i="115"/>
  <c r="L21" i="115"/>
  <c r="K21" i="115"/>
  <c r="L20" i="115"/>
  <c r="K20" i="115"/>
  <c r="L19" i="115"/>
  <c r="K19" i="115"/>
  <c r="L18" i="115"/>
  <c r="K18" i="115"/>
  <c r="L17" i="115"/>
  <c r="K17" i="115"/>
  <c r="L16" i="115"/>
  <c r="K16" i="115"/>
  <c r="L15" i="115"/>
  <c r="K15" i="115"/>
  <c r="L14" i="115"/>
  <c r="K14" i="115"/>
  <c r="L13" i="115"/>
  <c r="K13" i="115"/>
  <c r="L32" i="114"/>
  <c r="K32" i="114"/>
  <c r="L31" i="114"/>
  <c r="K31" i="114"/>
  <c r="L30" i="114"/>
  <c r="K30" i="114"/>
  <c r="L29" i="114"/>
  <c r="K29" i="114"/>
  <c r="L28" i="114"/>
  <c r="K28" i="114"/>
  <c r="L27" i="114"/>
  <c r="K27" i="114"/>
  <c r="L26" i="114"/>
  <c r="K26" i="114"/>
  <c r="L25" i="114"/>
  <c r="K25" i="114"/>
  <c r="L24" i="114"/>
  <c r="K24" i="114"/>
  <c r="L23" i="114"/>
  <c r="K23" i="114"/>
  <c r="L22" i="114"/>
  <c r="K22" i="114"/>
  <c r="L21" i="114"/>
  <c r="K21" i="114"/>
  <c r="L20" i="114"/>
  <c r="K20" i="114"/>
  <c r="L19" i="114"/>
  <c r="K19" i="114"/>
  <c r="L18" i="114"/>
  <c r="K18" i="114"/>
  <c r="L17" i="114"/>
  <c r="K17" i="114"/>
  <c r="L16" i="114"/>
  <c r="K16" i="114"/>
  <c r="L15" i="114"/>
  <c r="K15" i="114"/>
  <c r="L14" i="114"/>
  <c r="K14" i="114"/>
  <c r="L13" i="114"/>
  <c r="K13" i="114"/>
  <c r="I40" i="110"/>
  <c r="H40" i="110"/>
  <c r="H30" i="110" s="1"/>
  <c r="G40" i="110"/>
  <c r="G30" i="110" s="1"/>
  <c r="F40" i="110"/>
  <c r="F30" i="110" s="1"/>
  <c r="E40" i="110"/>
  <c r="E30" i="110" s="1"/>
  <c r="D40" i="110"/>
  <c r="D30" i="110" s="1"/>
  <c r="C40" i="110"/>
  <c r="C30" i="110" s="1"/>
  <c r="Q40" i="77"/>
  <c r="P40" i="77"/>
  <c r="O40" i="77"/>
  <c r="N40" i="77"/>
  <c r="M40" i="77"/>
  <c r="L40" i="77"/>
  <c r="K40" i="77"/>
  <c r="J40" i="77"/>
  <c r="I40" i="77"/>
  <c r="H40" i="77"/>
  <c r="G40" i="77"/>
  <c r="F40" i="77"/>
  <c r="E40" i="77"/>
  <c r="D40" i="77"/>
  <c r="C40" i="77"/>
  <c r="Q40" i="78"/>
  <c r="P40" i="78"/>
  <c r="O40" i="78"/>
  <c r="N40" i="78"/>
  <c r="M40" i="78"/>
  <c r="L40" i="78"/>
  <c r="K40" i="78"/>
  <c r="J40" i="78"/>
  <c r="I40" i="78"/>
  <c r="H40" i="78"/>
  <c r="G40" i="78"/>
  <c r="F40" i="78"/>
  <c r="E40" i="78"/>
  <c r="D40" i="78"/>
  <c r="C40" i="78"/>
  <c r="O40" i="74"/>
  <c r="N40" i="74"/>
  <c r="M40" i="74"/>
  <c r="L40" i="74"/>
  <c r="K40" i="74"/>
  <c r="J40" i="74"/>
  <c r="I40" i="74"/>
  <c r="H40" i="74"/>
  <c r="G40" i="74"/>
  <c r="F40" i="74"/>
  <c r="E40" i="74"/>
  <c r="D40" i="74"/>
  <c r="C40" i="74"/>
  <c r="O40" i="75"/>
  <c r="N40" i="75"/>
  <c r="M40" i="75"/>
  <c r="L40" i="75"/>
  <c r="K40" i="75"/>
  <c r="J40" i="75"/>
  <c r="I40" i="75"/>
  <c r="H40" i="75"/>
  <c r="G40" i="75"/>
  <c r="F40" i="75"/>
  <c r="E40" i="75"/>
  <c r="D40" i="75"/>
  <c r="C40" i="75"/>
  <c r="Q40" i="72"/>
  <c r="P40" i="72"/>
  <c r="O40" i="72"/>
  <c r="N40" i="72"/>
  <c r="M40" i="72"/>
  <c r="L40" i="72"/>
  <c r="K40" i="72"/>
  <c r="J40" i="72"/>
  <c r="I40" i="72"/>
  <c r="H40" i="72"/>
  <c r="G40" i="72"/>
  <c r="F40" i="72"/>
  <c r="E40" i="72"/>
  <c r="D40" i="72"/>
  <c r="C40" i="72"/>
  <c r="Q40" i="73"/>
  <c r="P40" i="73"/>
  <c r="O40" i="73"/>
  <c r="N40" i="73"/>
  <c r="M40" i="73"/>
  <c r="L40" i="73"/>
  <c r="K40" i="73"/>
  <c r="J40" i="73"/>
  <c r="I40" i="73"/>
  <c r="H40" i="73"/>
  <c r="G40" i="73"/>
  <c r="F40" i="73"/>
  <c r="E40" i="73"/>
  <c r="D40" i="73"/>
  <c r="C40" i="73"/>
  <c r="O40" i="18"/>
  <c r="N40" i="18"/>
  <c r="M40" i="18"/>
  <c r="L40" i="18"/>
  <c r="K40" i="18"/>
  <c r="J40" i="18"/>
  <c r="I40" i="18"/>
  <c r="H40" i="18"/>
  <c r="G40" i="18"/>
  <c r="F40" i="18"/>
  <c r="E40" i="18"/>
  <c r="D40" i="18"/>
  <c r="C40" i="18"/>
  <c r="O40" i="17"/>
  <c r="N40" i="17"/>
  <c r="M40" i="17"/>
  <c r="L40" i="17"/>
  <c r="K40" i="17"/>
  <c r="J40" i="17"/>
  <c r="I40" i="17"/>
  <c r="H40" i="17"/>
  <c r="G40" i="17"/>
  <c r="F40" i="17"/>
  <c r="E40" i="17"/>
  <c r="D40" i="17"/>
  <c r="C40" i="17"/>
  <c r="P40" i="106"/>
  <c r="O40" i="106"/>
  <c r="N40" i="106"/>
  <c r="M40" i="106"/>
  <c r="L40" i="106"/>
  <c r="K40" i="106"/>
  <c r="J40" i="106"/>
  <c r="I40" i="106"/>
  <c r="H40" i="106"/>
  <c r="G40" i="106"/>
  <c r="F40" i="106"/>
  <c r="E40" i="106"/>
  <c r="D40" i="106"/>
  <c r="C40" i="106"/>
  <c r="P40" i="105"/>
  <c r="O40" i="105"/>
  <c r="N40" i="105"/>
  <c r="M40" i="105"/>
  <c r="L40" i="105"/>
  <c r="K40" i="105"/>
  <c r="J40" i="105"/>
  <c r="I40" i="105"/>
  <c r="H40" i="105"/>
  <c r="G40" i="105"/>
  <c r="F40" i="105"/>
  <c r="E40" i="105"/>
  <c r="D40" i="105"/>
  <c r="C40" i="105"/>
  <c r="K40" i="61"/>
  <c r="J40" i="61"/>
  <c r="I40" i="61"/>
  <c r="H40" i="61"/>
  <c r="G40" i="61"/>
  <c r="F40" i="61"/>
  <c r="E40" i="61"/>
  <c r="D40" i="61"/>
  <c r="C40" i="61"/>
  <c r="Q40" i="64"/>
  <c r="P40" i="64"/>
  <c r="O40" i="64"/>
  <c r="N40" i="64"/>
  <c r="M40" i="64"/>
  <c r="L40" i="64"/>
  <c r="K40" i="64"/>
  <c r="J40" i="64"/>
  <c r="I40" i="64"/>
  <c r="H40" i="64"/>
  <c r="G40" i="64"/>
  <c r="F40" i="64"/>
  <c r="E40" i="64"/>
  <c r="D40" i="64"/>
  <c r="C40" i="64"/>
  <c r="Q40" i="65"/>
  <c r="P40" i="65"/>
  <c r="O40" i="65"/>
  <c r="N40" i="65"/>
  <c r="M40" i="65"/>
  <c r="L40" i="65"/>
  <c r="K40" i="65"/>
  <c r="J40" i="65"/>
  <c r="I40" i="65"/>
  <c r="H40" i="65"/>
  <c r="G40" i="65"/>
  <c r="F40" i="65"/>
  <c r="E40" i="65"/>
  <c r="D40" i="65"/>
  <c r="C40" i="65"/>
  <c r="U40" i="102"/>
  <c r="T40" i="102"/>
  <c r="S40" i="102"/>
  <c r="R40" i="102"/>
  <c r="Q40" i="102"/>
  <c r="P40" i="102"/>
  <c r="O40" i="102"/>
  <c r="N40" i="102"/>
  <c r="M40" i="102"/>
  <c r="L40" i="102"/>
  <c r="K40" i="102"/>
  <c r="J40" i="102"/>
  <c r="I40" i="102"/>
  <c r="H40" i="102"/>
  <c r="G40" i="102"/>
  <c r="F40" i="102"/>
  <c r="E40" i="102"/>
  <c r="D40" i="102"/>
  <c r="C40" i="102"/>
  <c r="Q40" i="15"/>
  <c r="P40" i="15"/>
  <c r="O40" i="15"/>
  <c r="N40" i="15"/>
  <c r="M40" i="15"/>
  <c r="L40" i="15"/>
  <c r="K40" i="15"/>
  <c r="J40" i="15"/>
  <c r="I40" i="15"/>
  <c r="H40" i="15"/>
  <c r="G40" i="15"/>
  <c r="F40" i="15"/>
  <c r="E40" i="15"/>
  <c r="D40" i="15"/>
  <c r="C40" i="15"/>
  <c r="N40" i="14"/>
  <c r="M40" i="14"/>
  <c r="L40" i="14"/>
  <c r="K40" i="14"/>
  <c r="J40" i="14"/>
  <c r="I40" i="14"/>
  <c r="H40" i="14"/>
  <c r="G40" i="14"/>
  <c r="F40" i="14"/>
  <c r="E40" i="14"/>
  <c r="D40" i="14"/>
  <c r="C40" i="14"/>
  <c r="N40" i="13"/>
  <c r="M40" i="13"/>
  <c r="L40" i="13"/>
  <c r="K40" i="13"/>
  <c r="J40" i="13"/>
  <c r="I40" i="13"/>
  <c r="H40" i="13"/>
  <c r="G40" i="13"/>
  <c r="F40" i="13"/>
  <c r="E40" i="13"/>
  <c r="D40" i="13"/>
  <c r="C40" i="13"/>
  <c r="I40" i="12"/>
  <c r="H40" i="12"/>
  <c r="G40" i="12"/>
  <c r="F40" i="12"/>
  <c r="E40" i="12"/>
  <c r="D40" i="12"/>
  <c r="C40" i="12"/>
  <c r="L40" i="11"/>
  <c r="K40" i="11"/>
  <c r="J40" i="11"/>
  <c r="I40" i="11"/>
  <c r="H40" i="11"/>
  <c r="G40" i="11"/>
  <c r="F40" i="11"/>
  <c r="E40" i="11"/>
  <c r="D40" i="11"/>
  <c r="C40" i="11"/>
  <c r="M40" i="10"/>
  <c r="L40" i="10"/>
  <c r="K40" i="10"/>
  <c r="J40" i="10"/>
  <c r="I40" i="10"/>
  <c r="H40" i="10"/>
  <c r="G40" i="10"/>
  <c r="F40" i="10"/>
  <c r="E40" i="10"/>
  <c r="D40" i="10"/>
  <c r="C40" i="10"/>
  <c r="R40" i="80"/>
  <c r="Q40" i="80"/>
  <c r="P40" i="80"/>
  <c r="O40" i="80"/>
  <c r="N40" i="80"/>
  <c r="M40" i="80"/>
  <c r="L40" i="80"/>
  <c r="K40" i="80"/>
  <c r="J40" i="80"/>
  <c r="I40" i="80"/>
  <c r="H40" i="80"/>
  <c r="G40" i="80"/>
  <c r="F40" i="80"/>
  <c r="E40" i="80"/>
  <c r="D40" i="80"/>
  <c r="C40" i="80"/>
  <c r="L33" i="114"/>
  <c r="K33" i="114"/>
  <c r="L33" i="115"/>
  <c r="K33" i="115"/>
  <c r="L33" i="116"/>
  <c r="K33" i="116"/>
  <c r="L33" i="117"/>
  <c r="K33" i="117"/>
  <c r="C32" i="63"/>
  <c r="E32" i="63"/>
  <c r="D32" i="63"/>
  <c r="P39" i="106"/>
  <c r="O39" i="106"/>
  <c r="N39" i="106"/>
  <c r="M39" i="106"/>
  <c r="L39" i="106"/>
  <c r="K39" i="106"/>
  <c r="J39" i="106"/>
  <c r="I39" i="106"/>
  <c r="H39" i="106"/>
  <c r="G39" i="106"/>
  <c r="F39" i="106"/>
  <c r="E39" i="106"/>
  <c r="D39" i="106"/>
  <c r="C39" i="106"/>
  <c r="P39" i="105"/>
  <c r="O39" i="105"/>
  <c r="N39" i="105"/>
  <c r="M39" i="105"/>
  <c r="L39" i="105"/>
  <c r="K39" i="105"/>
  <c r="J39" i="105"/>
  <c r="I39" i="105"/>
  <c r="H39" i="105"/>
  <c r="G39" i="105"/>
  <c r="F39" i="105"/>
  <c r="E39" i="105"/>
  <c r="D39" i="105"/>
  <c r="C39" i="105"/>
  <c r="P38" i="106"/>
  <c r="O38" i="106"/>
  <c r="N38" i="106"/>
  <c r="M38" i="106"/>
  <c r="L38" i="106"/>
  <c r="K38" i="106"/>
  <c r="J38" i="106"/>
  <c r="I38" i="106"/>
  <c r="H38" i="106"/>
  <c r="G38" i="106"/>
  <c r="F38" i="106"/>
  <c r="E38" i="106"/>
  <c r="D38" i="106"/>
  <c r="C38" i="106"/>
  <c r="P38" i="105"/>
  <c r="O38" i="105"/>
  <c r="N38" i="105"/>
  <c r="M38" i="105"/>
  <c r="L38" i="105"/>
  <c r="K38" i="105"/>
  <c r="J38" i="105"/>
  <c r="I38" i="105"/>
  <c r="H38" i="105"/>
  <c r="G38" i="105"/>
  <c r="F38" i="105"/>
  <c r="E38" i="105"/>
  <c r="D38" i="105"/>
  <c r="C38" i="105"/>
  <c r="P37" i="106"/>
  <c r="O37" i="106"/>
  <c r="N37" i="106"/>
  <c r="M37" i="106"/>
  <c r="L37" i="106"/>
  <c r="K37" i="106"/>
  <c r="J37" i="106"/>
  <c r="I37" i="106"/>
  <c r="H37" i="106"/>
  <c r="G37" i="106"/>
  <c r="F37" i="106"/>
  <c r="E37" i="106"/>
  <c r="D37" i="106"/>
  <c r="C37" i="106"/>
  <c r="P37" i="105"/>
  <c r="O37" i="105"/>
  <c r="N37" i="105"/>
  <c r="M37" i="105"/>
  <c r="L37" i="105"/>
  <c r="K37" i="105"/>
  <c r="J37" i="105"/>
  <c r="I37" i="105"/>
  <c r="H37" i="105"/>
  <c r="G37" i="105"/>
  <c r="F37" i="105"/>
  <c r="E37" i="105"/>
  <c r="D37" i="105"/>
  <c r="C37" i="105"/>
  <c r="P36" i="106"/>
  <c r="O36" i="106"/>
  <c r="N36" i="106"/>
  <c r="M36" i="106"/>
  <c r="L36" i="106"/>
  <c r="K36" i="106"/>
  <c r="J36" i="106"/>
  <c r="I36" i="106"/>
  <c r="H36" i="106"/>
  <c r="G36" i="106"/>
  <c r="F36" i="106"/>
  <c r="E36" i="106"/>
  <c r="D36" i="106"/>
  <c r="C36" i="106"/>
  <c r="P36" i="105"/>
  <c r="O36" i="105"/>
  <c r="N36" i="105"/>
  <c r="M36" i="105"/>
  <c r="L36" i="105"/>
  <c r="K36" i="105"/>
  <c r="J36" i="105"/>
  <c r="I36" i="105"/>
  <c r="H36" i="105"/>
  <c r="G36" i="105"/>
  <c r="F36" i="105"/>
  <c r="E36" i="105"/>
  <c r="D36" i="105"/>
  <c r="C36" i="105"/>
  <c r="P35" i="106"/>
  <c r="O35" i="106"/>
  <c r="N35" i="106"/>
  <c r="M35" i="106"/>
  <c r="L35" i="106"/>
  <c r="K35" i="106"/>
  <c r="J35" i="106"/>
  <c r="I35" i="106"/>
  <c r="H35" i="106"/>
  <c r="G35" i="106"/>
  <c r="F35" i="106"/>
  <c r="E35" i="106"/>
  <c r="D35" i="106"/>
  <c r="C35" i="106"/>
  <c r="P35" i="105"/>
  <c r="O35" i="105"/>
  <c r="N35" i="105"/>
  <c r="M35" i="105"/>
  <c r="L35" i="105"/>
  <c r="K35" i="105"/>
  <c r="J35" i="105"/>
  <c r="I35" i="105"/>
  <c r="H35" i="105"/>
  <c r="G35" i="105"/>
  <c r="F35" i="105"/>
  <c r="E35" i="105"/>
  <c r="D35" i="105"/>
  <c r="C35" i="105"/>
  <c r="P34" i="106"/>
  <c r="O34" i="106"/>
  <c r="N34" i="106"/>
  <c r="M34" i="106"/>
  <c r="L34" i="106"/>
  <c r="K34" i="106"/>
  <c r="J34" i="106"/>
  <c r="I34" i="106"/>
  <c r="H34" i="106"/>
  <c r="G34" i="106"/>
  <c r="F34" i="106"/>
  <c r="E34" i="106"/>
  <c r="D34" i="106"/>
  <c r="C34" i="106"/>
  <c r="P34" i="105"/>
  <c r="O34" i="105"/>
  <c r="N34" i="105"/>
  <c r="M34" i="105"/>
  <c r="L34" i="105"/>
  <c r="K34" i="105"/>
  <c r="J34" i="105"/>
  <c r="I34" i="105"/>
  <c r="H34" i="105"/>
  <c r="G34" i="105"/>
  <c r="F34" i="105"/>
  <c r="E34" i="105"/>
  <c r="D34" i="105"/>
  <c r="C34" i="105"/>
  <c r="P33" i="106"/>
  <c r="O33" i="106"/>
  <c r="N33" i="106"/>
  <c r="M33" i="106"/>
  <c r="L33" i="106"/>
  <c r="K33" i="106"/>
  <c r="J33" i="106"/>
  <c r="I33" i="106"/>
  <c r="H33" i="106"/>
  <c r="G33" i="106"/>
  <c r="F33" i="106"/>
  <c r="E33" i="106"/>
  <c r="D33" i="106"/>
  <c r="C33" i="106"/>
  <c r="P33" i="105"/>
  <c r="O33" i="105"/>
  <c r="N33" i="105"/>
  <c r="M33" i="105"/>
  <c r="L33" i="105"/>
  <c r="K33" i="105"/>
  <c r="J33" i="105"/>
  <c r="I33" i="105"/>
  <c r="H33" i="105"/>
  <c r="G33" i="105"/>
  <c r="F33" i="105"/>
  <c r="E33" i="105"/>
  <c r="D33" i="105"/>
  <c r="C33" i="105"/>
  <c r="P32" i="106"/>
  <c r="O32" i="106"/>
  <c r="N32" i="106"/>
  <c r="M32" i="106"/>
  <c r="L32" i="106"/>
  <c r="K32" i="106"/>
  <c r="J32" i="106"/>
  <c r="I32" i="106"/>
  <c r="H32" i="106"/>
  <c r="G32" i="106"/>
  <c r="F32" i="106"/>
  <c r="E32" i="106"/>
  <c r="D32" i="106"/>
  <c r="C32" i="106"/>
  <c r="P32" i="105"/>
  <c r="O32" i="105"/>
  <c r="N32" i="105"/>
  <c r="M32" i="105"/>
  <c r="L32" i="105"/>
  <c r="K32" i="105"/>
  <c r="J32" i="105"/>
  <c r="I32" i="105"/>
  <c r="H32" i="105"/>
  <c r="G32" i="105"/>
  <c r="F32" i="105"/>
  <c r="E32" i="105"/>
  <c r="D32" i="105"/>
  <c r="C32" i="105"/>
  <c r="P31" i="106"/>
  <c r="O31" i="106"/>
  <c r="N31" i="106"/>
  <c r="M31" i="106"/>
  <c r="L31" i="106"/>
  <c r="K31" i="106"/>
  <c r="J31" i="106"/>
  <c r="I31" i="106"/>
  <c r="H31" i="106"/>
  <c r="G31" i="106"/>
  <c r="F31" i="106"/>
  <c r="E31" i="106"/>
  <c r="D31" i="106"/>
  <c r="C31" i="106"/>
  <c r="P31" i="105"/>
  <c r="O31" i="105"/>
  <c r="N31" i="105"/>
  <c r="M31" i="105"/>
  <c r="L31" i="105"/>
  <c r="K31" i="105"/>
  <c r="J31" i="105"/>
  <c r="I31" i="105"/>
  <c r="H31" i="105"/>
  <c r="G31" i="105"/>
  <c r="F31" i="105"/>
  <c r="E31" i="105"/>
  <c r="D31" i="105"/>
  <c r="C31" i="105"/>
  <c r="R39" i="80"/>
  <c r="Q39" i="80"/>
  <c r="P39" i="80"/>
  <c r="O39" i="80"/>
  <c r="N39" i="80"/>
  <c r="M39" i="80"/>
  <c r="L39" i="80"/>
  <c r="K39" i="80"/>
  <c r="J39" i="80"/>
  <c r="I39" i="80"/>
  <c r="H39" i="80"/>
  <c r="G39" i="80"/>
  <c r="F39" i="80"/>
  <c r="E39" i="80"/>
  <c r="D39" i="80"/>
  <c r="C39" i="80"/>
  <c r="R38" i="80"/>
  <c r="Q38" i="80"/>
  <c r="P38" i="80"/>
  <c r="O38" i="80"/>
  <c r="N38" i="80"/>
  <c r="M38" i="80"/>
  <c r="L38" i="80"/>
  <c r="K38" i="80"/>
  <c r="J38" i="80"/>
  <c r="I38" i="80"/>
  <c r="H38" i="80"/>
  <c r="G38" i="80"/>
  <c r="F38" i="80"/>
  <c r="E38" i="80"/>
  <c r="D38" i="80"/>
  <c r="C38" i="80"/>
  <c r="R37" i="80"/>
  <c r="Q37" i="80"/>
  <c r="P37" i="80"/>
  <c r="O37" i="80"/>
  <c r="N37" i="80"/>
  <c r="M37" i="80"/>
  <c r="L37" i="80"/>
  <c r="K37" i="80"/>
  <c r="J37" i="80"/>
  <c r="I37" i="80"/>
  <c r="H37" i="80"/>
  <c r="G37" i="80"/>
  <c r="F37" i="80"/>
  <c r="E37" i="80"/>
  <c r="D37" i="80"/>
  <c r="C37" i="80"/>
  <c r="R36" i="80"/>
  <c r="Q36" i="80"/>
  <c r="P36" i="80"/>
  <c r="O36" i="80"/>
  <c r="N36" i="80"/>
  <c r="M36" i="80"/>
  <c r="L36" i="80"/>
  <c r="K36" i="80"/>
  <c r="J36" i="80"/>
  <c r="I36" i="80"/>
  <c r="H36" i="80"/>
  <c r="G36" i="80"/>
  <c r="F36" i="80"/>
  <c r="E36" i="80"/>
  <c r="D36" i="80"/>
  <c r="C36" i="80"/>
  <c r="R35" i="80"/>
  <c r="Q35" i="80"/>
  <c r="P35" i="80"/>
  <c r="O35" i="80"/>
  <c r="N35" i="80"/>
  <c r="M35" i="80"/>
  <c r="L35" i="80"/>
  <c r="K35" i="80"/>
  <c r="J35" i="80"/>
  <c r="I35" i="80"/>
  <c r="H35" i="80"/>
  <c r="G35" i="80"/>
  <c r="F35" i="80"/>
  <c r="E35" i="80"/>
  <c r="D35" i="80"/>
  <c r="C35" i="80"/>
  <c r="R34" i="80"/>
  <c r="Q34" i="80"/>
  <c r="P34" i="80"/>
  <c r="O34" i="80"/>
  <c r="N34" i="80"/>
  <c r="M34" i="80"/>
  <c r="L34" i="80"/>
  <c r="K34" i="80"/>
  <c r="J34" i="80"/>
  <c r="I34" i="80"/>
  <c r="H34" i="80"/>
  <c r="G34" i="80"/>
  <c r="F34" i="80"/>
  <c r="E34" i="80"/>
  <c r="D34" i="80"/>
  <c r="C34" i="80"/>
  <c r="R33" i="80"/>
  <c r="Q33" i="80"/>
  <c r="P33" i="80"/>
  <c r="O33" i="80"/>
  <c r="N33" i="80"/>
  <c r="M33" i="80"/>
  <c r="L33" i="80"/>
  <c r="K33" i="80"/>
  <c r="J33" i="80"/>
  <c r="I33" i="80"/>
  <c r="H33" i="80"/>
  <c r="G33" i="80"/>
  <c r="F33" i="80"/>
  <c r="E33" i="80"/>
  <c r="D33" i="80"/>
  <c r="C33" i="80"/>
  <c r="R32" i="80"/>
  <c r="Q32" i="80"/>
  <c r="P32" i="80"/>
  <c r="O32" i="80"/>
  <c r="N32" i="80"/>
  <c r="M32" i="80"/>
  <c r="L32" i="80"/>
  <c r="K32" i="80"/>
  <c r="J32" i="80"/>
  <c r="I32" i="80"/>
  <c r="H32" i="80"/>
  <c r="G32" i="80"/>
  <c r="F32" i="80"/>
  <c r="E32" i="80"/>
  <c r="D32" i="80"/>
  <c r="C32" i="80"/>
  <c r="R31" i="80"/>
  <c r="Q31" i="80"/>
  <c r="P31" i="80"/>
  <c r="O31" i="80"/>
  <c r="N31" i="80"/>
  <c r="M31" i="80"/>
  <c r="L31" i="80"/>
  <c r="K31" i="80"/>
  <c r="J31" i="80"/>
  <c r="I31" i="80"/>
  <c r="H31" i="80"/>
  <c r="G31" i="80"/>
  <c r="F31" i="80"/>
  <c r="E31" i="80"/>
  <c r="D31" i="80"/>
  <c r="C31" i="80"/>
  <c r="Q39" i="64"/>
  <c r="P39" i="64"/>
  <c r="O39" i="64"/>
  <c r="N39" i="64"/>
  <c r="M39" i="64"/>
  <c r="L39" i="64"/>
  <c r="K39" i="64"/>
  <c r="J39" i="64"/>
  <c r="I39" i="64"/>
  <c r="H39" i="64"/>
  <c r="G39" i="64"/>
  <c r="F39" i="64"/>
  <c r="E39" i="64"/>
  <c r="D39" i="64"/>
  <c r="C39" i="64"/>
  <c r="U39" i="102"/>
  <c r="T39" i="102"/>
  <c r="S39" i="102"/>
  <c r="R39" i="102"/>
  <c r="Q39" i="102"/>
  <c r="P39" i="102"/>
  <c r="O39" i="102"/>
  <c r="N39" i="102"/>
  <c r="M39" i="102"/>
  <c r="L39" i="102"/>
  <c r="K39" i="102"/>
  <c r="J39" i="102"/>
  <c r="I39" i="102"/>
  <c r="H39" i="102"/>
  <c r="G39" i="102"/>
  <c r="F39" i="102"/>
  <c r="E39" i="102"/>
  <c r="D39" i="102"/>
  <c r="C39" i="102"/>
  <c r="Q39" i="65"/>
  <c r="P39" i="65"/>
  <c r="O39" i="65"/>
  <c r="N39" i="65"/>
  <c r="M39" i="65"/>
  <c r="L39" i="65"/>
  <c r="K39" i="65"/>
  <c r="J39" i="65"/>
  <c r="I39" i="65"/>
  <c r="H39" i="65"/>
  <c r="G39" i="65"/>
  <c r="F39" i="65"/>
  <c r="E39" i="65"/>
  <c r="D39" i="65"/>
  <c r="C39" i="65"/>
  <c r="H39" i="12"/>
  <c r="G39" i="12"/>
  <c r="D39" i="12"/>
  <c r="C39" i="12"/>
  <c r="D39" i="61"/>
  <c r="C39" i="61"/>
  <c r="G39" i="61"/>
  <c r="F39" i="61"/>
  <c r="N39" i="14"/>
  <c r="M39" i="14"/>
  <c r="L39" i="14"/>
  <c r="K39" i="14"/>
  <c r="J39" i="14"/>
  <c r="I39" i="14"/>
  <c r="H39" i="14"/>
  <c r="G39" i="14"/>
  <c r="F39" i="14"/>
  <c r="E39" i="14"/>
  <c r="D39" i="14"/>
  <c r="C39" i="14"/>
  <c r="N39" i="13"/>
  <c r="M39" i="13"/>
  <c r="L39" i="13"/>
  <c r="K39" i="13"/>
  <c r="J39" i="13"/>
  <c r="I39" i="13"/>
  <c r="H39" i="13"/>
  <c r="G39" i="13"/>
  <c r="F39" i="13"/>
  <c r="E39" i="13"/>
  <c r="D39" i="13"/>
  <c r="C39" i="13"/>
  <c r="I39" i="12"/>
  <c r="F39" i="12"/>
  <c r="E39" i="12"/>
  <c r="L39" i="11"/>
  <c r="K39" i="11"/>
  <c r="J39" i="11"/>
  <c r="I39" i="11"/>
  <c r="H39" i="11"/>
  <c r="G39" i="11"/>
  <c r="F39" i="11"/>
  <c r="E39" i="11"/>
  <c r="D39" i="11"/>
  <c r="C39" i="11"/>
  <c r="M39" i="10"/>
  <c r="L39" i="10"/>
  <c r="K39" i="10"/>
  <c r="J39" i="10"/>
  <c r="I39" i="10"/>
  <c r="H39" i="10"/>
  <c r="G39" i="10"/>
  <c r="F39" i="10"/>
  <c r="E39" i="10"/>
  <c r="D39" i="10"/>
  <c r="C39" i="10"/>
  <c r="K39" i="61"/>
  <c r="J39" i="61"/>
  <c r="I39" i="61"/>
  <c r="H39" i="61"/>
  <c r="E39" i="61"/>
  <c r="Q39" i="15"/>
  <c r="P39" i="15"/>
  <c r="O39" i="15"/>
  <c r="N39" i="15"/>
  <c r="M39" i="15"/>
  <c r="L39" i="15"/>
  <c r="K39" i="15"/>
  <c r="J39" i="15"/>
  <c r="I39" i="15"/>
  <c r="H39" i="15"/>
  <c r="G39" i="15"/>
  <c r="F39" i="15"/>
  <c r="E39" i="15"/>
  <c r="D39" i="15"/>
  <c r="C39" i="15"/>
  <c r="Q38" i="64"/>
  <c r="P38" i="64"/>
  <c r="O38" i="64"/>
  <c r="N38" i="64"/>
  <c r="M38" i="64"/>
  <c r="L38" i="64"/>
  <c r="K38" i="64"/>
  <c r="J38" i="64"/>
  <c r="I38" i="64"/>
  <c r="H38" i="64"/>
  <c r="G38" i="64"/>
  <c r="F38" i="64"/>
  <c r="E38" i="64"/>
  <c r="D38" i="64"/>
  <c r="C38" i="64"/>
  <c r="U38" i="102"/>
  <c r="T38" i="102"/>
  <c r="S38" i="102"/>
  <c r="R38" i="102"/>
  <c r="Q38" i="102"/>
  <c r="P38" i="102"/>
  <c r="O38" i="102"/>
  <c r="N38" i="102"/>
  <c r="M38" i="102"/>
  <c r="L38" i="102"/>
  <c r="K38" i="102"/>
  <c r="J38" i="102"/>
  <c r="I38" i="102"/>
  <c r="H38" i="102"/>
  <c r="G38" i="102"/>
  <c r="F38" i="102"/>
  <c r="E38" i="102"/>
  <c r="D38" i="102"/>
  <c r="C38" i="102"/>
  <c r="Q38" i="65"/>
  <c r="P38" i="65"/>
  <c r="O38" i="65"/>
  <c r="N38" i="65"/>
  <c r="M38" i="65"/>
  <c r="L38" i="65"/>
  <c r="K38" i="65"/>
  <c r="J38" i="65"/>
  <c r="I38" i="65"/>
  <c r="H38" i="65"/>
  <c r="G38" i="65"/>
  <c r="F38" i="65"/>
  <c r="E38" i="65"/>
  <c r="D38" i="65"/>
  <c r="C38" i="65"/>
  <c r="H38" i="12"/>
  <c r="G38" i="12"/>
  <c r="D38" i="12"/>
  <c r="C38" i="12"/>
  <c r="D38" i="61"/>
  <c r="C38" i="61"/>
  <c r="G38" i="61"/>
  <c r="F38" i="61"/>
  <c r="N38" i="14"/>
  <c r="M38" i="14"/>
  <c r="L38" i="14"/>
  <c r="K38" i="14"/>
  <c r="J38" i="14"/>
  <c r="I38" i="14"/>
  <c r="H38" i="14"/>
  <c r="G38" i="14"/>
  <c r="F38" i="14"/>
  <c r="E38" i="14"/>
  <c r="D38" i="14"/>
  <c r="C38" i="14"/>
  <c r="N38" i="13"/>
  <c r="M38" i="13"/>
  <c r="L38" i="13"/>
  <c r="K38" i="13"/>
  <c r="J38" i="13"/>
  <c r="I38" i="13"/>
  <c r="H38" i="13"/>
  <c r="G38" i="13"/>
  <c r="F38" i="13"/>
  <c r="E38" i="13"/>
  <c r="D38" i="13"/>
  <c r="C38" i="13"/>
  <c r="I38" i="12"/>
  <c r="F38" i="12"/>
  <c r="E38" i="12"/>
  <c r="L38" i="11"/>
  <c r="K38" i="11"/>
  <c r="J38" i="11"/>
  <c r="I38" i="11"/>
  <c r="H38" i="11"/>
  <c r="G38" i="11"/>
  <c r="F38" i="11"/>
  <c r="E38" i="11"/>
  <c r="D38" i="11"/>
  <c r="C38" i="11"/>
  <c r="M38" i="10"/>
  <c r="L38" i="10"/>
  <c r="K38" i="10"/>
  <c r="J38" i="10"/>
  <c r="I38" i="10"/>
  <c r="H38" i="10"/>
  <c r="G38" i="10"/>
  <c r="F38" i="10"/>
  <c r="E38" i="10"/>
  <c r="D38" i="10"/>
  <c r="C38" i="10"/>
  <c r="K38" i="61"/>
  <c r="J38" i="61"/>
  <c r="I38" i="61"/>
  <c r="H38" i="61"/>
  <c r="E38" i="61"/>
  <c r="Q38" i="15"/>
  <c r="P38" i="15"/>
  <c r="O38" i="15"/>
  <c r="N38" i="15"/>
  <c r="M38" i="15"/>
  <c r="L38" i="15"/>
  <c r="K38" i="15"/>
  <c r="J38" i="15"/>
  <c r="I38" i="15"/>
  <c r="H38" i="15"/>
  <c r="G38" i="15"/>
  <c r="F38" i="15"/>
  <c r="E38" i="15"/>
  <c r="D38" i="15"/>
  <c r="C38" i="15"/>
  <c r="Q37" i="64"/>
  <c r="P37" i="64"/>
  <c r="O37" i="64"/>
  <c r="N37" i="64"/>
  <c r="M37" i="64"/>
  <c r="L37" i="64"/>
  <c r="K37" i="64"/>
  <c r="J37" i="64"/>
  <c r="I37" i="64"/>
  <c r="H37" i="64"/>
  <c r="G37" i="64"/>
  <c r="F37" i="64"/>
  <c r="E37" i="64"/>
  <c r="D37" i="64"/>
  <c r="C37" i="64"/>
  <c r="U37" i="102"/>
  <c r="T37" i="102"/>
  <c r="S37" i="102"/>
  <c r="R37" i="102"/>
  <c r="Q37" i="102"/>
  <c r="P37" i="102"/>
  <c r="O37" i="102"/>
  <c r="N37" i="102"/>
  <c r="M37" i="102"/>
  <c r="L37" i="102"/>
  <c r="K37" i="102"/>
  <c r="J37" i="102"/>
  <c r="I37" i="102"/>
  <c r="H37" i="102"/>
  <c r="G37" i="102"/>
  <c r="F37" i="102"/>
  <c r="E37" i="102"/>
  <c r="D37" i="102"/>
  <c r="C37" i="102"/>
  <c r="Q37" i="65"/>
  <c r="P37" i="65"/>
  <c r="O37" i="65"/>
  <c r="N37" i="65"/>
  <c r="M37" i="65"/>
  <c r="L37" i="65"/>
  <c r="K37" i="65"/>
  <c r="J37" i="65"/>
  <c r="I37" i="65"/>
  <c r="H37" i="65"/>
  <c r="G37" i="65"/>
  <c r="F37" i="65"/>
  <c r="E37" i="65"/>
  <c r="D37" i="65"/>
  <c r="C37" i="65"/>
  <c r="H37" i="12"/>
  <c r="G37" i="12"/>
  <c r="D37" i="12"/>
  <c r="C37" i="12"/>
  <c r="D37" i="61"/>
  <c r="C37" i="61"/>
  <c r="G37" i="61"/>
  <c r="F37" i="61"/>
  <c r="N37" i="14"/>
  <c r="M37" i="14"/>
  <c r="L37" i="14"/>
  <c r="K37" i="14"/>
  <c r="J37" i="14"/>
  <c r="I37" i="14"/>
  <c r="H37" i="14"/>
  <c r="G37" i="14"/>
  <c r="F37" i="14"/>
  <c r="E37" i="14"/>
  <c r="D37" i="14"/>
  <c r="C37" i="14"/>
  <c r="N37" i="13"/>
  <c r="M37" i="13"/>
  <c r="L37" i="13"/>
  <c r="K37" i="13"/>
  <c r="J37" i="13"/>
  <c r="I37" i="13"/>
  <c r="H37" i="13"/>
  <c r="G37" i="13"/>
  <c r="F37" i="13"/>
  <c r="E37" i="13"/>
  <c r="D37" i="13"/>
  <c r="C37" i="13"/>
  <c r="I37" i="12"/>
  <c r="F37" i="12"/>
  <c r="E37" i="12"/>
  <c r="L37" i="11"/>
  <c r="K37" i="11"/>
  <c r="J37" i="11"/>
  <c r="I37" i="11"/>
  <c r="H37" i="11"/>
  <c r="G37" i="11"/>
  <c r="F37" i="11"/>
  <c r="E37" i="11"/>
  <c r="D37" i="11"/>
  <c r="C37" i="11"/>
  <c r="M37" i="10"/>
  <c r="L37" i="10"/>
  <c r="K37" i="10"/>
  <c r="J37" i="10"/>
  <c r="I37" i="10"/>
  <c r="H37" i="10"/>
  <c r="G37" i="10"/>
  <c r="F37" i="10"/>
  <c r="E37" i="10"/>
  <c r="D37" i="10"/>
  <c r="C37" i="10"/>
  <c r="K37" i="61"/>
  <c r="J37" i="61"/>
  <c r="I37" i="61"/>
  <c r="H37" i="61"/>
  <c r="E37" i="61"/>
  <c r="Q37" i="15"/>
  <c r="P37" i="15"/>
  <c r="O37" i="15"/>
  <c r="N37" i="15"/>
  <c r="M37" i="15"/>
  <c r="L37" i="15"/>
  <c r="K37" i="15"/>
  <c r="J37" i="15"/>
  <c r="I37" i="15"/>
  <c r="H37" i="15"/>
  <c r="G37" i="15"/>
  <c r="F37" i="15"/>
  <c r="E37" i="15"/>
  <c r="D37" i="15"/>
  <c r="C37" i="15"/>
  <c r="Q36" i="64"/>
  <c r="P36" i="64"/>
  <c r="O36" i="64"/>
  <c r="N36" i="64"/>
  <c r="M36" i="64"/>
  <c r="L36" i="64"/>
  <c r="K36" i="64"/>
  <c r="J36" i="64"/>
  <c r="I36" i="64"/>
  <c r="H36" i="64"/>
  <c r="G36" i="64"/>
  <c r="F36" i="64"/>
  <c r="E36" i="64"/>
  <c r="D36" i="64"/>
  <c r="C36" i="64"/>
  <c r="U36" i="102"/>
  <c r="T36" i="102"/>
  <c r="S36" i="102"/>
  <c r="R36" i="102"/>
  <c r="Q36" i="102"/>
  <c r="P36" i="102"/>
  <c r="O36" i="102"/>
  <c r="N36" i="102"/>
  <c r="M36" i="102"/>
  <c r="L36" i="102"/>
  <c r="K36" i="102"/>
  <c r="J36" i="102"/>
  <c r="I36" i="102"/>
  <c r="H36" i="102"/>
  <c r="G36" i="102"/>
  <c r="F36" i="102"/>
  <c r="E36" i="102"/>
  <c r="D36" i="102"/>
  <c r="C36" i="102"/>
  <c r="Q36" i="65"/>
  <c r="P36" i="65"/>
  <c r="O36" i="65"/>
  <c r="N36" i="65"/>
  <c r="M36" i="65"/>
  <c r="L36" i="65"/>
  <c r="K36" i="65"/>
  <c r="J36" i="65"/>
  <c r="I36" i="65"/>
  <c r="H36" i="65"/>
  <c r="G36" i="65"/>
  <c r="F36" i="65"/>
  <c r="E36" i="65"/>
  <c r="D36" i="65"/>
  <c r="C36" i="65"/>
  <c r="H36" i="12"/>
  <c r="G36" i="12"/>
  <c r="D36" i="12"/>
  <c r="C36" i="12"/>
  <c r="D36" i="61"/>
  <c r="C36" i="61"/>
  <c r="G36" i="61"/>
  <c r="F36" i="61"/>
  <c r="N36" i="14"/>
  <c r="M36" i="14"/>
  <c r="L36" i="14"/>
  <c r="K36" i="14"/>
  <c r="J36" i="14"/>
  <c r="I36" i="14"/>
  <c r="H36" i="14"/>
  <c r="G36" i="14"/>
  <c r="F36" i="14"/>
  <c r="E36" i="14"/>
  <c r="D36" i="14"/>
  <c r="C36" i="14"/>
  <c r="N36" i="13"/>
  <c r="M36" i="13"/>
  <c r="L36" i="13"/>
  <c r="K36" i="13"/>
  <c r="J36" i="13"/>
  <c r="I36" i="13"/>
  <c r="H36" i="13"/>
  <c r="G36" i="13"/>
  <c r="F36" i="13"/>
  <c r="E36" i="13"/>
  <c r="D36" i="13"/>
  <c r="C36" i="13"/>
  <c r="I36" i="12"/>
  <c r="F36" i="12"/>
  <c r="E36" i="12"/>
  <c r="L36" i="11"/>
  <c r="K36" i="11"/>
  <c r="J36" i="11"/>
  <c r="I36" i="11"/>
  <c r="H36" i="11"/>
  <c r="G36" i="11"/>
  <c r="F36" i="11"/>
  <c r="E36" i="11"/>
  <c r="D36" i="11"/>
  <c r="C36" i="11"/>
  <c r="M36" i="10"/>
  <c r="L36" i="10"/>
  <c r="K36" i="10"/>
  <c r="J36" i="10"/>
  <c r="I36" i="10"/>
  <c r="H36" i="10"/>
  <c r="G36" i="10"/>
  <c r="F36" i="10"/>
  <c r="E36" i="10"/>
  <c r="D36" i="10"/>
  <c r="C36" i="10"/>
  <c r="K36" i="61"/>
  <c r="J36" i="61"/>
  <c r="I36" i="61"/>
  <c r="H36" i="61"/>
  <c r="E36" i="61"/>
  <c r="Q36" i="15"/>
  <c r="P36" i="15"/>
  <c r="O36" i="15"/>
  <c r="N36" i="15"/>
  <c r="M36" i="15"/>
  <c r="L36" i="15"/>
  <c r="K36" i="15"/>
  <c r="J36" i="15"/>
  <c r="I36" i="15"/>
  <c r="H36" i="15"/>
  <c r="G36" i="15"/>
  <c r="F36" i="15"/>
  <c r="E36" i="15"/>
  <c r="D36" i="15"/>
  <c r="C36" i="15"/>
  <c r="Q35" i="64"/>
  <c r="P35" i="64"/>
  <c r="O35" i="64"/>
  <c r="N35" i="64"/>
  <c r="M35" i="64"/>
  <c r="L35" i="64"/>
  <c r="K35" i="64"/>
  <c r="J35" i="64"/>
  <c r="I35" i="64"/>
  <c r="H35" i="64"/>
  <c r="G35" i="64"/>
  <c r="F35" i="64"/>
  <c r="E35" i="64"/>
  <c r="D35" i="64"/>
  <c r="C35" i="64"/>
  <c r="U35" i="102"/>
  <c r="T35" i="102"/>
  <c r="S35" i="102"/>
  <c r="R35" i="102"/>
  <c r="Q35" i="102"/>
  <c r="P35" i="102"/>
  <c r="O35" i="102"/>
  <c r="N35" i="102"/>
  <c r="M35" i="102"/>
  <c r="L35" i="102"/>
  <c r="K35" i="102"/>
  <c r="J35" i="102"/>
  <c r="I35" i="102"/>
  <c r="H35" i="102"/>
  <c r="G35" i="102"/>
  <c r="F35" i="102"/>
  <c r="E35" i="102"/>
  <c r="D35" i="102"/>
  <c r="C35" i="102"/>
  <c r="Q35" i="65"/>
  <c r="P35" i="65"/>
  <c r="O35" i="65"/>
  <c r="N35" i="65"/>
  <c r="M35" i="65"/>
  <c r="L35" i="65"/>
  <c r="K35" i="65"/>
  <c r="J35" i="65"/>
  <c r="I35" i="65"/>
  <c r="H35" i="65"/>
  <c r="G35" i="65"/>
  <c r="F35" i="65"/>
  <c r="E35" i="65"/>
  <c r="D35" i="65"/>
  <c r="C35" i="65"/>
  <c r="H35" i="12"/>
  <c r="G35" i="12"/>
  <c r="D35" i="12"/>
  <c r="C35" i="12"/>
  <c r="D35" i="61"/>
  <c r="C35" i="61"/>
  <c r="G35" i="61"/>
  <c r="F35" i="61"/>
  <c r="N35" i="14"/>
  <c r="M35" i="14"/>
  <c r="L35" i="14"/>
  <c r="K35" i="14"/>
  <c r="J35" i="14"/>
  <c r="I35" i="14"/>
  <c r="H35" i="14"/>
  <c r="G35" i="14"/>
  <c r="F35" i="14"/>
  <c r="E35" i="14"/>
  <c r="D35" i="14"/>
  <c r="C35" i="14"/>
  <c r="N35" i="13"/>
  <c r="M35" i="13"/>
  <c r="L35" i="13"/>
  <c r="K35" i="13"/>
  <c r="J35" i="13"/>
  <c r="I35" i="13"/>
  <c r="H35" i="13"/>
  <c r="G35" i="13"/>
  <c r="F35" i="13"/>
  <c r="E35" i="13"/>
  <c r="D35" i="13"/>
  <c r="C35" i="13"/>
  <c r="I35" i="12"/>
  <c r="F35" i="12"/>
  <c r="E35" i="12"/>
  <c r="L35" i="11"/>
  <c r="K35" i="11"/>
  <c r="J35" i="11"/>
  <c r="I35" i="11"/>
  <c r="H35" i="11"/>
  <c r="G35" i="11"/>
  <c r="F35" i="11"/>
  <c r="E35" i="11"/>
  <c r="D35" i="11"/>
  <c r="C35" i="11"/>
  <c r="M35" i="10"/>
  <c r="L35" i="10"/>
  <c r="K35" i="10"/>
  <c r="J35" i="10"/>
  <c r="I35" i="10"/>
  <c r="H35" i="10"/>
  <c r="G35" i="10"/>
  <c r="F35" i="10"/>
  <c r="E35" i="10"/>
  <c r="D35" i="10"/>
  <c r="C35" i="10"/>
  <c r="K35" i="61"/>
  <c r="J35" i="61"/>
  <c r="I35" i="61"/>
  <c r="H35" i="61"/>
  <c r="E35" i="61"/>
  <c r="Q35" i="15"/>
  <c r="P35" i="15"/>
  <c r="O35" i="15"/>
  <c r="N35" i="15"/>
  <c r="M35" i="15"/>
  <c r="L35" i="15"/>
  <c r="K35" i="15"/>
  <c r="J35" i="15"/>
  <c r="I35" i="15"/>
  <c r="H35" i="15"/>
  <c r="G35" i="15"/>
  <c r="F35" i="15"/>
  <c r="E35" i="15"/>
  <c r="D35" i="15"/>
  <c r="C35" i="15"/>
  <c r="Q34" i="64"/>
  <c r="P34" i="64"/>
  <c r="O34" i="64"/>
  <c r="N34" i="64"/>
  <c r="M34" i="64"/>
  <c r="L34" i="64"/>
  <c r="K34" i="64"/>
  <c r="J34" i="64"/>
  <c r="I34" i="64"/>
  <c r="H34" i="64"/>
  <c r="G34" i="64"/>
  <c r="F34" i="64"/>
  <c r="E34" i="64"/>
  <c r="D34" i="64"/>
  <c r="C34" i="64"/>
  <c r="U34" i="102"/>
  <c r="T34" i="102"/>
  <c r="S34" i="102"/>
  <c r="R34" i="102"/>
  <c r="Q34" i="102"/>
  <c r="P34" i="102"/>
  <c r="O34" i="102"/>
  <c r="N34" i="102"/>
  <c r="M34" i="102"/>
  <c r="L34" i="102"/>
  <c r="K34" i="102"/>
  <c r="J34" i="102"/>
  <c r="I34" i="102"/>
  <c r="H34" i="102"/>
  <c r="G34" i="102"/>
  <c r="F34" i="102"/>
  <c r="E34" i="102"/>
  <c r="D34" i="102"/>
  <c r="C34" i="102"/>
  <c r="Q34" i="65"/>
  <c r="P34" i="65"/>
  <c r="O34" i="65"/>
  <c r="N34" i="65"/>
  <c r="M34" i="65"/>
  <c r="L34" i="65"/>
  <c r="K34" i="65"/>
  <c r="J34" i="65"/>
  <c r="I34" i="65"/>
  <c r="H34" i="65"/>
  <c r="G34" i="65"/>
  <c r="F34" i="65"/>
  <c r="E34" i="65"/>
  <c r="D34" i="65"/>
  <c r="C34" i="65"/>
  <c r="H34" i="12"/>
  <c r="G34" i="12"/>
  <c r="D34" i="12"/>
  <c r="C34" i="12"/>
  <c r="D34" i="61"/>
  <c r="C34" i="61"/>
  <c r="G34" i="61"/>
  <c r="F34" i="61"/>
  <c r="N34" i="14"/>
  <c r="M34" i="14"/>
  <c r="L34" i="14"/>
  <c r="K34" i="14"/>
  <c r="J34" i="14"/>
  <c r="I34" i="14"/>
  <c r="H34" i="14"/>
  <c r="G34" i="14"/>
  <c r="F34" i="14"/>
  <c r="E34" i="14"/>
  <c r="D34" i="14"/>
  <c r="C34" i="14"/>
  <c r="N34" i="13"/>
  <c r="M34" i="13"/>
  <c r="L34" i="13"/>
  <c r="K34" i="13"/>
  <c r="J34" i="13"/>
  <c r="I34" i="13"/>
  <c r="H34" i="13"/>
  <c r="G34" i="13"/>
  <c r="F34" i="13"/>
  <c r="E34" i="13"/>
  <c r="D34" i="13"/>
  <c r="C34" i="13"/>
  <c r="I34" i="12"/>
  <c r="F34" i="12"/>
  <c r="E34" i="12"/>
  <c r="L34" i="11"/>
  <c r="K34" i="11"/>
  <c r="J34" i="11"/>
  <c r="I34" i="11"/>
  <c r="H34" i="11"/>
  <c r="G34" i="11"/>
  <c r="F34" i="11"/>
  <c r="E34" i="11"/>
  <c r="D34" i="11"/>
  <c r="C34" i="11"/>
  <c r="M34" i="10"/>
  <c r="L34" i="10"/>
  <c r="K34" i="10"/>
  <c r="J34" i="10"/>
  <c r="I34" i="10"/>
  <c r="H34" i="10"/>
  <c r="G34" i="10"/>
  <c r="F34" i="10"/>
  <c r="E34" i="10"/>
  <c r="D34" i="10"/>
  <c r="C34" i="10"/>
  <c r="K34" i="61"/>
  <c r="J34" i="61"/>
  <c r="I34" i="61"/>
  <c r="H34" i="61"/>
  <c r="E34" i="61"/>
  <c r="Q34" i="15"/>
  <c r="P34" i="15"/>
  <c r="O34" i="15"/>
  <c r="N34" i="15"/>
  <c r="M34" i="15"/>
  <c r="L34" i="15"/>
  <c r="K34" i="15"/>
  <c r="J34" i="15"/>
  <c r="I34" i="15"/>
  <c r="H34" i="15"/>
  <c r="G34" i="15"/>
  <c r="F34" i="15"/>
  <c r="E34" i="15"/>
  <c r="D34" i="15"/>
  <c r="C34" i="15"/>
  <c r="Q33" i="64"/>
  <c r="P33" i="64"/>
  <c r="O33" i="64"/>
  <c r="N33" i="64"/>
  <c r="M33" i="64"/>
  <c r="L33" i="64"/>
  <c r="K33" i="64"/>
  <c r="J33" i="64"/>
  <c r="I33" i="64"/>
  <c r="H33" i="64"/>
  <c r="G33" i="64"/>
  <c r="F33" i="64"/>
  <c r="E33" i="64"/>
  <c r="D33" i="64"/>
  <c r="C33" i="64"/>
  <c r="U33" i="102"/>
  <c r="U27" i="102" s="1"/>
  <c r="T33" i="102"/>
  <c r="S33" i="102"/>
  <c r="R33" i="102"/>
  <c r="Q33" i="102"/>
  <c r="P33" i="102"/>
  <c r="O33" i="102"/>
  <c r="N33" i="102"/>
  <c r="M33" i="102"/>
  <c r="L33" i="102"/>
  <c r="K33" i="102"/>
  <c r="J33" i="102"/>
  <c r="I33" i="102"/>
  <c r="H33" i="102"/>
  <c r="G33" i="102"/>
  <c r="F33" i="102"/>
  <c r="E33" i="102"/>
  <c r="D33" i="102"/>
  <c r="C33" i="102"/>
  <c r="Q33" i="65"/>
  <c r="P33" i="65"/>
  <c r="O33" i="65"/>
  <c r="N33" i="65"/>
  <c r="M33" i="65"/>
  <c r="L33" i="65"/>
  <c r="K33" i="65"/>
  <c r="J33" i="65"/>
  <c r="I33" i="65"/>
  <c r="H33" i="65"/>
  <c r="G33" i="65"/>
  <c r="F33" i="65"/>
  <c r="E33" i="65"/>
  <c r="D33" i="65"/>
  <c r="C33" i="65"/>
  <c r="H33" i="12"/>
  <c r="G33" i="12"/>
  <c r="D33" i="12"/>
  <c r="C33" i="12"/>
  <c r="D33" i="61"/>
  <c r="C33" i="61"/>
  <c r="G33" i="61"/>
  <c r="F33" i="61"/>
  <c r="N33" i="14"/>
  <c r="M33" i="14"/>
  <c r="L33" i="14"/>
  <c r="K33" i="14"/>
  <c r="J33" i="14"/>
  <c r="I33" i="14"/>
  <c r="H33" i="14"/>
  <c r="G33" i="14"/>
  <c r="F33" i="14"/>
  <c r="E33" i="14"/>
  <c r="D33" i="14"/>
  <c r="C33" i="14"/>
  <c r="N33" i="13"/>
  <c r="M33" i="13"/>
  <c r="L33" i="13"/>
  <c r="K33" i="13"/>
  <c r="J33" i="13"/>
  <c r="I33" i="13"/>
  <c r="H33" i="13"/>
  <c r="G33" i="13"/>
  <c r="F33" i="13"/>
  <c r="E33" i="13"/>
  <c r="D33" i="13"/>
  <c r="C33" i="13"/>
  <c r="I33" i="12"/>
  <c r="F33" i="12"/>
  <c r="E33" i="12"/>
  <c r="L33" i="11"/>
  <c r="K33" i="11"/>
  <c r="J33" i="11"/>
  <c r="I33" i="11"/>
  <c r="H33" i="11"/>
  <c r="G33" i="11"/>
  <c r="F33" i="11"/>
  <c r="E33" i="11"/>
  <c r="D33" i="11"/>
  <c r="C33" i="11"/>
  <c r="M33" i="10"/>
  <c r="L33" i="10"/>
  <c r="K33" i="10"/>
  <c r="J33" i="10"/>
  <c r="I33" i="10"/>
  <c r="H33" i="10"/>
  <c r="G33" i="10"/>
  <c r="F33" i="10"/>
  <c r="E33" i="10"/>
  <c r="D33" i="10"/>
  <c r="C33" i="10"/>
  <c r="K33" i="61"/>
  <c r="J33" i="61"/>
  <c r="I33" i="61"/>
  <c r="H33" i="61"/>
  <c r="E33" i="61"/>
  <c r="Q33" i="15"/>
  <c r="P33" i="15"/>
  <c r="O33" i="15"/>
  <c r="N33" i="15"/>
  <c r="M33" i="15"/>
  <c r="L33" i="15"/>
  <c r="K33" i="15"/>
  <c r="J33" i="15"/>
  <c r="I33" i="15"/>
  <c r="H33" i="15"/>
  <c r="G33" i="15"/>
  <c r="F33" i="15"/>
  <c r="E33" i="15"/>
  <c r="D33" i="15"/>
  <c r="C33" i="15"/>
  <c r="Q32" i="64"/>
  <c r="P32" i="64"/>
  <c r="O32" i="64"/>
  <c r="N32" i="64"/>
  <c r="M32" i="64"/>
  <c r="L32" i="64"/>
  <c r="K32" i="64"/>
  <c r="J32" i="64"/>
  <c r="I32" i="64"/>
  <c r="H32" i="64"/>
  <c r="G32" i="64"/>
  <c r="F32" i="64"/>
  <c r="E32" i="64"/>
  <c r="D32" i="64"/>
  <c r="C32" i="64"/>
  <c r="U32" i="102"/>
  <c r="T32" i="102"/>
  <c r="S32" i="102"/>
  <c r="R32" i="102"/>
  <c r="Q32" i="102"/>
  <c r="P32" i="102"/>
  <c r="O32" i="102"/>
  <c r="N32" i="102"/>
  <c r="M32" i="102"/>
  <c r="L32" i="102"/>
  <c r="K32" i="102"/>
  <c r="J32" i="102"/>
  <c r="I32" i="102"/>
  <c r="H32" i="102"/>
  <c r="G32" i="102"/>
  <c r="F32" i="102"/>
  <c r="E32" i="102"/>
  <c r="D32" i="102"/>
  <c r="C32" i="102"/>
  <c r="Q32" i="65"/>
  <c r="P32" i="65"/>
  <c r="O32" i="65"/>
  <c r="N32" i="65"/>
  <c r="M32" i="65"/>
  <c r="L32" i="65"/>
  <c r="K32" i="65"/>
  <c r="J32" i="65"/>
  <c r="I32" i="65"/>
  <c r="H32" i="65"/>
  <c r="G32" i="65"/>
  <c r="F32" i="65"/>
  <c r="E32" i="65"/>
  <c r="D32" i="65"/>
  <c r="C32" i="65"/>
  <c r="H32" i="12"/>
  <c r="G32" i="12"/>
  <c r="D32" i="12"/>
  <c r="C32" i="12"/>
  <c r="D32" i="61"/>
  <c r="C32" i="61"/>
  <c r="G32" i="61"/>
  <c r="F32" i="61"/>
  <c r="N32" i="14"/>
  <c r="M32" i="14"/>
  <c r="L32" i="14"/>
  <c r="K32" i="14"/>
  <c r="J32" i="14"/>
  <c r="I32" i="14"/>
  <c r="H32" i="14"/>
  <c r="G32" i="14"/>
  <c r="F32" i="14"/>
  <c r="E32" i="14"/>
  <c r="D32" i="14"/>
  <c r="C32" i="14"/>
  <c r="N32" i="13"/>
  <c r="M32" i="13"/>
  <c r="L32" i="13"/>
  <c r="K32" i="13"/>
  <c r="J32" i="13"/>
  <c r="I32" i="13"/>
  <c r="H32" i="13"/>
  <c r="G32" i="13"/>
  <c r="F32" i="13"/>
  <c r="E32" i="13"/>
  <c r="D32" i="13"/>
  <c r="C32" i="13"/>
  <c r="I32" i="12"/>
  <c r="F32" i="12"/>
  <c r="E32" i="12"/>
  <c r="L32" i="11"/>
  <c r="K32" i="11"/>
  <c r="J32" i="11"/>
  <c r="I32" i="11"/>
  <c r="H32" i="11"/>
  <c r="G32" i="11"/>
  <c r="F32" i="11"/>
  <c r="E32" i="11"/>
  <c r="D32" i="11"/>
  <c r="C32" i="11"/>
  <c r="M32" i="10"/>
  <c r="L32" i="10"/>
  <c r="K32" i="10"/>
  <c r="J32" i="10"/>
  <c r="I32" i="10"/>
  <c r="H32" i="10"/>
  <c r="G32" i="10"/>
  <c r="F32" i="10"/>
  <c r="E32" i="10"/>
  <c r="D32" i="10"/>
  <c r="C32" i="10"/>
  <c r="K32" i="61"/>
  <c r="J32" i="61"/>
  <c r="I32" i="61"/>
  <c r="H32" i="61"/>
  <c r="E32" i="61"/>
  <c r="Q32" i="15"/>
  <c r="P32" i="15"/>
  <c r="O32" i="15"/>
  <c r="N32" i="15"/>
  <c r="M32" i="15"/>
  <c r="L32" i="15"/>
  <c r="K32" i="15"/>
  <c r="J32" i="15"/>
  <c r="I32" i="15"/>
  <c r="H32" i="15"/>
  <c r="G32" i="15"/>
  <c r="F32" i="15"/>
  <c r="E32" i="15"/>
  <c r="D32" i="15"/>
  <c r="C32" i="15"/>
  <c r="Q31" i="64"/>
  <c r="P31" i="64"/>
  <c r="O31" i="64"/>
  <c r="N31" i="64"/>
  <c r="M31" i="64"/>
  <c r="L31" i="64"/>
  <c r="K31" i="64"/>
  <c r="J31" i="64"/>
  <c r="I31" i="64"/>
  <c r="H31" i="64"/>
  <c r="G31" i="64"/>
  <c r="F31" i="64"/>
  <c r="E31" i="64"/>
  <c r="D31" i="64"/>
  <c r="C31" i="64"/>
  <c r="U31" i="102"/>
  <c r="T31" i="102"/>
  <c r="S31" i="102"/>
  <c r="R31" i="102"/>
  <c r="Q31" i="102"/>
  <c r="P31" i="102"/>
  <c r="O31" i="102"/>
  <c r="N31" i="102"/>
  <c r="M31" i="102"/>
  <c r="L31" i="102"/>
  <c r="K31" i="102"/>
  <c r="J31" i="102"/>
  <c r="I31" i="102"/>
  <c r="H31" i="102"/>
  <c r="G31" i="102"/>
  <c r="F31" i="102"/>
  <c r="E31" i="102"/>
  <c r="D31" i="102"/>
  <c r="C31" i="102"/>
  <c r="Q31" i="65"/>
  <c r="P31" i="65"/>
  <c r="O31" i="65"/>
  <c r="N31" i="65"/>
  <c r="M31" i="65"/>
  <c r="L31" i="65"/>
  <c r="K31" i="65"/>
  <c r="J31" i="65"/>
  <c r="I31" i="65"/>
  <c r="H31" i="65"/>
  <c r="G31" i="65"/>
  <c r="F31" i="65"/>
  <c r="E31" i="65"/>
  <c r="D31" i="65"/>
  <c r="C31" i="65"/>
  <c r="H31" i="12"/>
  <c r="G31" i="12"/>
  <c r="D31" i="12"/>
  <c r="C31" i="12"/>
  <c r="D31" i="61"/>
  <c r="C31" i="61"/>
  <c r="G31" i="61"/>
  <c r="F31" i="61"/>
  <c r="N31" i="14"/>
  <c r="M31" i="14"/>
  <c r="L31" i="14"/>
  <c r="K31" i="14"/>
  <c r="J31" i="14"/>
  <c r="I31" i="14"/>
  <c r="H31" i="14"/>
  <c r="G31" i="14"/>
  <c r="F31" i="14"/>
  <c r="E31" i="14"/>
  <c r="D31" i="14"/>
  <c r="C31" i="14"/>
  <c r="N31" i="13"/>
  <c r="M31" i="13"/>
  <c r="L31" i="13"/>
  <c r="K31" i="13"/>
  <c r="J31" i="13"/>
  <c r="I31" i="13"/>
  <c r="H31" i="13"/>
  <c r="G31" i="13"/>
  <c r="F31" i="13"/>
  <c r="E31" i="13"/>
  <c r="D31" i="13"/>
  <c r="C31" i="13"/>
  <c r="I31" i="12"/>
  <c r="F31" i="12"/>
  <c r="E31" i="12"/>
  <c r="L31" i="11"/>
  <c r="K31" i="11"/>
  <c r="J31" i="11"/>
  <c r="I31" i="11"/>
  <c r="H31" i="11"/>
  <c r="G31" i="11"/>
  <c r="F31" i="11"/>
  <c r="E31" i="11"/>
  <c r="D31" i="11"/>
  <c r="C31" i="11"/>
  <c r="M31" i="10"/>
  <c r="L31" i="10"/>
  <c r="K31" i="10"/>
  <c r="J31" i="10"/>
  <c r="I31" i="10"/>
  <c r="H31" i="10"/>
  <c r="G31" i="10"/>
  <c r="F31" i="10"/>
  <c r="E31" i="10"/>
  <c r="D31" i="10"/>
  <c r="C31" i="10"/>
  <c r="K31" i="61"/>
  <c r="J31" i="61"/>
  <c r="I31" i="61"/>
  <c r="H31" i="61"/>
  <c r="E31" i="61"/>
  <c r="Q31" i="15"/>
  <c r="P31" i="15"/>
  <c r="O31" i="15"/>
  <c r="N31" i="15"/>
  <c r="M31" i="15"/>
  <c r="L31" i="15"/>
  <c r="K31" i="15"/>
  <c r="J31" i="15"/>
  <c r="I31" i="15"/>
  <c r="H31" i="15"/>
  <c r="G31" i="15"/>
  <c r="F31" i="15"/>
  <c r="E31" i="15"/>
  <c r="D31" i="15"/>
  <c r="C31" i="15"/>
  <c r="H33" i="117"/>
  <c r="G33" i="117"/>
  <c r="H32" i="117"/>
  <c r="G32" i="117"/>
  <c r="H31" i="117"/>
  <c r="G31" i="117"/>
  <c r="H30" i="117"/>
  <c r="G30" i="117"/>
  <c r="H29" i="117"/>
  <c r="G29" i="117"/>
  <c r="H28" i="117"/>
  <c r="G28" i="117"/>
  <c r="H27" i="117"/>
  <c r="G27" i="117"/>
  <c r="H26" i="117"/>
  <c r="G26" i="117"/>
  <c r="H25" i="117"/>
  <c r="G25" i="117"/>
  <c r="H24" i="117"/>
  <c r="G24" i="117"/>
  <c r="H23" i="117"/>
  <c r="G23" i="117"/>
  <c r="H22" i="117"/>
  <c r="G22" i="117"/>
  <c r="H21" i="117"/>
  <c r="G21" i="117"/>
  <c r="H20" i="117"/>
  <c r="G20" i="117"/>
  <c r="H19" i="117"/>
  <c r="G19" i="117"/>
  <c r="H18" i="117"/>
  <c r="G18" i="117"/>
  <c r="H17" i="117"/>
  <c r="G17" i="117"/>
  <c r="H16" i="117"/>
  <c r="G16" i="117"/>
  <c r="H15" i="117"/>
  <c r="G15" i="117"/>
  <c r="H14" i="117"/>
  <c r="G14" i="117"/>
  <c r="H13" i="117"/>
  <c r="G13" i="117"/>
  <c r="H33" i="116"/>
  <c r="G33" i="116"/>
  <c r="H32" i="116"/>
  <c r="G32" i="116"/>
  <c r="H31" i="116"/>
  <c r="G31" i="116"/>
  <c r="H30" i="116"/>
  <c r="G30" i="116"/>
  <c r="H29" i="116"/>
  <c r="G29" i="116"/>
  <c r="H28" i="116"/>
  <c r="G28" i="116"/>
  <c r="H27" i="116"/>
  <c r="G27" i="116"/>
  <c r="H26" i="116"/>
  <c r="G26" i="116"/>
  <c r="H25" i="116"/>
  <c r="G25" i="116"/>
  <c r="H24" i="116"/>
  <c r="G24" i="116"/>
  <c r="H23" i="116"/>
  <c r="G23" i="116"/>
  <c r="H22" i="116"/>
  <c r="G22" i="116"/>
  <c r="H21" i="116"/>
  <c r="G21" i="116"/>
  <c r="H20" i="116"/>
  <c r="G20" i="116"/>
  <c r="H19" i="116"/>
  <c r="G19" i="116"/>
  <c r="H18" i="116"/>
  <c r="G18" i="116"/>
  <c r="H17" i="116"/>
  <c r="G17" i="116"/>
  <c r="H16" i="116"/>
  <c r="G16" i="116"/>
  <c r="H15" i="116"/>
  <c r="G15" i="116"/>
  <c r="H14" i="116"/>
  <c r="G14" i="116"/>
  <c r="H13" i="116"/>
  <c r="G13" i="116"/>
  <c r="H33" i="115"/>
  <c r="G33" i="115"/>
  <c r="H32" i="115"/>
  <c r="G32" i="115"/>
  <c r="H31" i="115"/>
  <c r="G31" i="115"/>
  <c r="H30" i="115"/>
  <c r="G30" i="115"/>
  <c r="H29" i="115"/>
  <c r="G29" i="115"/>
  <c r="H28" i="115"/>
  <c r="G28" i="115"/>
  <c r="H27" i="115"/>
  <c r="G27" i="115"/>
  <c r="H26" i="115"/>
  <c r="G26" i="115"/>
  <c r="H25" i="115"/>
  <c r="G25" i="115"/>
  <c r="H24" i="115"/>
  <c r="G24" i="115"/>
  <c r="H23" i="115"/>
  <c r="G23" i="115"/>
  <c r="H22" i="115"/>
  <c r="G22" i="115"/>
  <c r="H21" i="115"/>
  <c r="G21" i="115"/>
  <c r="H20" i="115"/>
  <c r="G20" i="115"/>
  <c r="H19" i="115"/>
  <c r="G19" i="115"/>
  <c r="H18" i="115"/>
  <c r="G18" i="115"/>
  <c r="H17" i="115"/>
  <c r="G17" i="115"/>
  <c r="H16" i="115"/>
  <c r="G16" i="115"/>
  <c r="H15" i="115"/>
  <c r="G15" i="115"/>
  <c r="H14" i="115"/>
  <c r="G14" i="115"/>
  <c r="H13" i="115"/>
  <c r="G13" i="115"/>
  <c r="H33" i="114"/>
  <c r="G33" i="114"/>
  <c r="H32" i="114"/>
  <c r="G32" i="114"/>
  <c r="H31" i="114"/>
  <c r="G31" i="114"/>
  <c r="H30" i="114"/>
  <c r="G30" i="114"/>
  <c r="H29" i="114"/>
  <c r="G29" i="114"/>
  <c r="H28" i="114"/>
  <c r="G28" i="114"/>
  <c r="H27" i="114"/>
  <c r="G27" i="114"/>
  <c r="H26" i="114"/>
  <c r="G26" i="114"/>
  <c r="H25" i="114"/>
  <c r="G25" i="114"/>
  <c r="H24" i="114"/>
  <c r="G24" i="114"/>
  <c r="H23" i="114"/>
  <c r="G23" i="114"/>
  <c r="H22" i="114"/>
  <c r="G22" i="114"/>
  <c r="H21" i="114"/>
  <c r="G21" i="114"/>
  <c r="H20" i="114"/>
  <c r="G20" i="114"/>
  <c r="H19" i="114"/>
  <c r="G19" i="114"/>
  <c r="H18" i="114"/>
  <c r="G18" i="114"/>
  <c r="H17" i="114"/>
  <c r="G17" i="114"/>
  <c r="H16" i="114"/>
  <c r="G16" i="114"/>
  <c r="H15" i="114"/>
  <c r="G15" i="114"/>
  <c r="H14" i="114"/>
  <c r="G14" i="114"/>
  <c r="H13" i="114"/>
  <c r="G13" i="114"/>
  <c r="F33" i="117"/>
  <c r="E33" i="117"/>
  <c r="F32" i="117"/>
  <c r="E32" i="117"/>
  <c r="F31" i="117"/>
  <c r="E31" i="117"/>
  <c r="F30" i="117"/>
  <c r="E30" i="117"/>
  <c r="F29" i="117"/>
  <c r="E29" i="117"/>
  <c r="F28" i="117"/>
  <c r="E28" i="117"/>
  <c r="F27" i="117"/>
  <c r="E27" i="117"/>
  <c r="F26" i="117"/>
  <c r="E26" i="117"/>
  <c r="F25" i="117"/>
  <c r="E25" i="117"/>
  <c r="F24" i="117"/>
  <c r="E24" i="117"/>
  <c r="F23" i="117"/>
  <c r="E23" i="117"/>
  <c r="F22" i="117"/>
  <c r="E22" i="117"/>
  <c r="F21" i="117"/>
  <c r="E21" i="117"/>
  <c r="F20" i="117"/>
  <c r="E20" i="117"/>
  <c r="F19" i="117"/>
  <c r="E19" i="117"/>
  <c r="F18" i="117"/>
  <c r="E18" i="117"/>
  <c r="F17" i="117"/>
  <c r="E17" i="117"/>
  <c r="F16" i="117"/>
  <c r="E16" i="117"/>
  <c r="F15" i="117"/>
  <c r="E15" i="117"/>
  <c r="F14" i="117"/>
  <c r="E14" i="117"/>
  <c r="F13" i="117"/>
  <c r="E13" i="117"/>
  <c r="F33" i="116"/>
  <c r="E33" i="116"/>
  <c r="F32" i="116"/>
  <c r="E32" i="116"/>
  <c r="F31" i="116"/>
  <c r="E31" i="116"/>
  <c r="F30" i="116"/>
  <c r="E30" i="116"/>
  <c r="F29" i="116"/>
  <c r="E29" i="116"/>
  <c r="F28" i="116"/>
  <c r="E28" i="116"/>
  <c r="F27" i="116"/>
  <c r="E27" i="116"/>
  <c r="F26" i="116"/>
  <c r="E26" i="116"/>
  <c r="F25" i="116"/>
  <c r="E25" i="116"/>
  <c r="F24" i="116"/>
  <c r="E24" i="116"/>
  <c r="F23" i="116"/>
  <c r="E23" i="116"/>
  <c r="F22" i="116"/>
  <c r="E22" i="116"/>
  <c r="F21" i="116"/>
  <c r="E21" i="116"/>
  <c r="F20" i="116"/>
  <c r="E20" i="116"/>
  <c r="F19" i="116"/>
  <c r="E19" i="116"/>
  <c r="F18" i="116"/>
  <c r="E18" i="116"/>
  <c r="F17" i="116"/>
  <c r="E17" i="116"/>
  <c r="F16" i="116"/>
  <c r="E16" i="116"/>
  <c r="F15" i="116"/>
  <c r="E15" i="116"/>
  <c r="F14" i="116"/>
  <c r="E14" i="116"/>
  <c r="F13" i="116"/>
  <c r="E13" i="116"/>
  <c r="F33" i="115"/>
  <c r="E33" i="115"/>
  <c r="F32" i="115"/>
  <c r="E32" i="115"/>
  <c r="F31" i="115"/>
  <c r="E31" i="115"/>
  <c r="F30" i="115"/>
  <c r="E30" i="115"/>
  <c r="F29" i="115"/>
  <c r="E29" i="115"/>
  <c r="F28" i="115"/>
  <c r="E28" i="115"/>
  <c r="F27" i="115"/>
  <c r="E27" i="115"/>
  <c r="F26" i="115"/>
  <c r="E26" i="115"/>
  <c r="F25" i="115"/>
  <c r="E25" i="115"/>
  <c r="F24" i="115"/>
  <c r="E24" i="115"/>
  <c r="F23" i="115"/>
  <c r="E23" i="115"/>
  <c r="F22" i="115"/>
  <c r="E22" i="115"/>
  <c r="F21" i="115"/>
  <c r="E21" i="115"/>
  <c r="F20" i="115"/>
  <c r="E20" i="115"/>
  <c r="F19" i="115"/>
  <c r="E19" i="115"/>
  <c r="F18" i="115"/>
  <c r="E18" i="115"/>
  <c r="F17" i="115"/>
  <c r="E17" i="115"/>
  <c r="F16" i="115"/>
  <c r="E16" i="115"/>
  <c r="F15" i="115"/>
  <c r="E15" i="115"/>
  <c r="F14" i="115"/>
  <c r="E14" i="115"/>
  <c r="F13" i="115"/>
  <c r="E13" i="115"/>
  <c r="F33" i="114"/>
  <c r="E33" i="114"/>
  <c r="F32" i="114"/>
  <c r="E32" i="114"/>
  <c r="F31" i="114"/>
  <c r="E31" i="114"/>
  <c r="F30" i="114"/>
  <c r="E30" i="114"/>
  <c r="F29" i="114"/>
  <c r="E29" i="114"/>
  <c r="F28" i="114"/>
  <c r="E28" i="114"/>
  <c r="F27" i="114"/>
  <c r="E27" i="114"/>
  <c r="F26" i="114"/>
  <c r="E26" i="114"/>
  <c r="F25" i="114"/>
  <c r="E25" i="114"/>
  <c r="F24" i="114"/>
  <c r="E24" i="114"/>
  <c r="F23" i="114"/>
  <c r="E23" i="114"/>
  <c r="F22" i="114"/>
  <c r="E22" i="114"/>
  <c r="F21" i="114"/>
  <c r="E21" i="114"/>
  <c r="F20" i="114"/>
  <c r="E20" i="114"/>
  <c r="F19" i="114"/>
  <c r="E19" i="114"/>
  <c r="F18" i="114"/>
  <c r="E18" i="114"/>
  <c r="F17" i="114"/>
  <c r="E17" i="114"/>
  <c r="F16" i="114"/>
  <c r="E16" i="114"/>
  <c r="F15" i="114"/>
  <c r="E15" i="114"/>
  <c r="F14" i="114"/>
  <c r="E14" i="114"/>
  <c r="F13" i="114"/>
  <c r="E13" i="114"/>
  <c r="D33" i="117"/>
  <c r="C33" i="117"/>
  <c r="D32" i="117"/>
  <c r="C32" i="117"/>
  <c r="D31" i="117"/>
  <c r="C31" i="117"/>
  <c r="D30" i="117"/>
  <c r="C30" i="117"/>
  <c r="D29" i="117"/>
  <c r="C29" i="117"/>
  <c r="D28" i="117"/>
  <c r="C28" i="117"/>
  <c r="D27" i="117"/>
  <c r="C27" i="117"/>
  <c r="D26" i="117"/>
  <c r="C26" i="117"/>
  <c r="D25" i="117"/>
  <c r="C25" i="117"/>
  <c r="D24" i="117"/>
  <c r="C24" i="117"/>
  <c r="D23" i="117"/>
  <c r="C23" i="117"/>
  <c r="D22" i="117"/>
  <c r="C22" i="117"/>
  <c r="D21" i="117"/>
  <c r="C21" i="117"/>
  <c r="D20" i="117"/>
  <c r="C20" i="117"/>
  <c r="D19" i="117"/>
  <c r="C19" i="117"/>
  <c r="D18" i="117"/>
  <c r="C18" i="117"/>
  <c r="D17" i="117"/>
  <c r="C17" i="117"/>
  <c r="D16" i="117"/>
  <c r="C16" i="117"/>
  <c r="D15" i="117"/>
  <c r="C15" i="117"/>
  <c r="D14" i="117"/>
  <c r="C14" i="117"/>
  <c r="D13" i="117"/>
  <c r="C13" i="117"/>
  <c r="D33" i="116"/>
  <c r="C33" i="116"/>
  <c r="D32" i="116"/>
  <c r="C32" i="116"/>
  <c r="D31" i="116"/>
  <c r="C31" i="116"/>
  <c r="D30" i="116"/>
  <c r="C30" i="116"/>
  <c r="D29" i="116"/>
  <c r="C29" i="116"/>
  <c r="D28" i="116"/>
  <c r="C28" i="116"/>
  <c r="D27" i="116"/>
  <c r="C27" i="116"/>
  <c r="D26" i="116"/>
  <c r="C26" i="116"/>
  <c r="D25" i="116"/>
  <c r="C25" i="116"/>
  <c r="D24" i="116"/>
  <c r="C24" i="116"/>
  <c r="D23" i="116"/>
  <c r="C23" i="116"/>
  <c r="D22" i="116"/>
  <c r="C22" i="116"/>
  <c r="D21" i="116"/>
  <c r="C21" i="116"/>
  <c r="D20" i="116"/>
  <c r="C20" i="116"/>
  <c r="D19" i="116"/>
  <c r="C19" i="116"/>
  <c r="D18" i="116"/>
  <c r="C18" i="116"/>
  <c r="D17" i="116"/>
  <c r="C17" i="116"/>
  <c r="D16" i="116"/>
  <c r="C16" i="116"/>
  <c r="D15" i="116"/>
  <c r="C15" i="116"/>
  <c r="D14" i="116"/>
  <c r="C14" i="116"/>
  <c r="D13" i="116"/>
  <c r="C13" i="116"/>
  <c r="D33" i="115"/>
  <c r="C33" i="115"/>
  <c r="D32" i="115"/>
  <c r="C32" i="115"/>
  <c r="D31" i="115"/>
  <c r="C31" i="115"/>
  <c r="D30" i="115"/>
  <c r="C30" i="115"/>
  <c r="D29" i="115"/>
  <c r="C29" i="115"/>
  <c r="D28" i="115"/>
  <c r="C28" i="115"/>
  <c r="D27" i="115"/>
  <c r="C27" i="115"/>
  <c r="D26" i="115"/>
  <c r="C26" i="115"/>
  <c r="D25" i="115"/>
  <c r="C25" i="115"/>
  <c r="D24" i="115"/>
  <c r="C24" i="115"/>
  <c r="D23" i="115"/>
  <c r="C23" i="115"/>
  <c r="D22" i="115"/>
  <c r="C22" i="115"/>
  <c r="D21" i="115"/>
  <c r="C21" i="115"/>
  <c r="D20" i="115"/>
  <c r="C20" i="115"/>
  <c r="D19" i="115"/>
  <c r="C19" i="115"/>
  <c r="D18" i="115"/>
  <c r="C18" i="115"/>
  <c r="D17" i="115"/>
  <c r="C17" i="115"/>
  <c r="D16" i="115"/>
  <c r="C16" i="115"/>
  <c r="D15" i="115"/>
  <c r="C15" i="115"/>
  <c r="D14" i="115"/>
  <c r="C14" i="115"/>
  <c r="D13" i="115"/>
  <c r="C13" i="115"/>
  <c r="D33" i="114"/>
  <c r="C33" i="114"/>
  <c r="D32" i="114"/>
  <c r="C32" i="114"/>
  <c r="D31" i="114"/>
  <c r="C31" i="114"/>
  <c r="D30" i="114"/>
  <c r="C30" i="114"/>
  <c r="D29" i="114"/>
  <c r="C29" i="114"/>
  <c r="D28" i="114"/>
  <c r="C28" i="114"/>
  <c r="D27" i="114"/>
  <c r="C27" i="114"/>
  <c r="D26" i="114"/>
  <c r="C26" i="114"/>
  <c r="D25" i="114"/>
  <c r="C25" i="114"/>
  <c r="D24" i="114"/>
  <c r="C24" i="114"/>
  <c r="D23" i="114"/>
  <c r="C23" i="114"/>
  <c r="D22" i="114"/>
  <c r="C22" i="114"/>
  <c r="D21" i="114"/>
  <c r="C21" i="114"/>
  <c r="D20" i="114"/>
  <c r="C20" i="114"/>
  <c r="D19" i="114"/>
  <c r="C19" i="114"/>
  <c r="D18" i="114"/>
  <c r="C18" i="114"/>
  <c r="D17" i="114"/>
  <c r="C17" i="114"/>
  <c r="D16" i="114"/>
  <c r="C16" i="114"/>
  <c r="D15" i="114"/>
  <c r="C15" i="114"/>
  <c r="D14" i="114"/>
  <c r="C14" i="114"/>
  <c r="D13" i="114"/>
  <c r="C13" i="114"/>
  <c r="J33" i="117"/>
  <c r="I33" i="117"/>
  <c r="J32" i="117"/>
  <c r="I32" i="117"/>
  <c r="J31" i="117"/>
  <c r="I31" i="117"/>
  <c r="J30" i="117"/>
  <c r="I30" i="117"/>
  <c r="J29" i="117"/>
  <c r="I29" i="117"/>
  <c r="J28" i="117"/>
  <c r="I28" i="117"/>
  <c r="J27" i="117"/>
  <c r="I27" i="117"/>
  <c r="J26" i="117"/>
  <c r="I26" i="117"/>
  <c r="J25" i="117"/>
  <c r="I25" i="117"/>
  <c r="J24" i="117"/>
  <c r="I24" i="117"/>
  <c r="J23" i="117"/>
  <c r="I23" i="117"/>
  <c r="J22" i="117"/>
  <c r="I22" i="117"/>
  <c r="J21" i="117"/>
  <c r="I21" i="117"/>
  <c r="J20" i="117"/>
  <c r="I20" i="117"/>
  <c r="J19" i="117"/>
  <c r="I19" i="117"/>
  <c r="J18" i="117"/>
  <c r="I18" i="117"/>
  <c r="J17" i="117"/>
  <c r="I17" i="117"/>
  <c r="J16" i="117"/>
  <c r="I16" i="117"/>
  <c r="J15" i="117"/>
  <c r="I15" i="117"/>
  <c r="J14" i="117"/>
  <c r="I14" i="117"/>
  <c r="J13" i="117"/>
  <c r="I13" i="117"/>
  <c r="J33" i="116"/>
  <c r="I33" i="116"/>
  <c r="J32" i="116"/>
  <c r="I32" i="116"/>
  <c r="J31" i="116"/>
  <c r="I31" i="116"/>
  <c r="J30" i="116"/>
  <c r="I30" i="116"/>
  <c r="J29" i="116"/>
  <c r="I29" i="116"/>
  <c r="J28" i="116"/>
  <c r="I28" i="116"/>
  <c r="J27" i="116"/>
  <c r="I27" i="116"/>
  <c r="J26" i="116"/>
  <c r="I26" i="116"/>
  <c r="J25" i="116"/>
  <c r="I25" i="116"/>
  <c r="J24" i="116"/>
  <c r="I24" i="116"/>
  <c r="J23" i="116"/>
  <c r="I23" i="116"/>
  <c r="J22" i="116"/>
  <c r="I22" i="116"/>
  <c r="J21" i="116"/>
  <c r="I21" i="116"/>
  <c r="J20" i="116"/>
  <c r="I20" i="116"/>
  <c r="J19" i="116"/>
  <c r="I19" i="116"/>
  <c r="J18" i="116"/>
  <c r="I18" i="116"/>
  <c r="J17" i="116"/>
  <c r="I17" i="116"/>
  <c r="J16" i="116"/>
  <c r="I16" i="116"/>
  <c r="J15" i="116"/>
  <c r="I15" i="116"/>
  <c r="J14" i="116"/>
  <c r="I14" i="116"/>
  <c r="J13" i="116"/>
  <c r="I13" i="116"/>
  <c r="J33" i="115"/>
  <c r="I33" i="115"/>
  <c r="J32" i="115"/>
  <c r="I32" i="115"/>
  <c r="J31" i="115"/>
  <c r="I31" i="115"/>
  <c r="J30" i="115"/>
  <c r="I30" i="115"/>
  <c r="J29" i="115"/>
  <c r="I29" i="115"/>
  <c r="J28" i="115"/>
  <c r="I28" i="115"/>
  <c r="J27" i="115"/>
  <c r="I27" i="115"/>
  <c r="J26" i="115"/>
  <c r="I26" i="115"/>
  <c r="J25" i="115"/>
  <c r="I25" i="115"/>
  <c r="J24" i="115"/>
  <c r="I24" i="115"/>
  <c r="J23" i="115"/>
  <c r="I23" i="115"/>
  <c r="J22" i="115"/>
  <c r="I22" i="115"/>
  <c r="J21" i="115"/>
  <c r="I21" i="115"/>
  <c r="J20" i="115"/>
  <c r="I20" i="115"/>
  <c r="J19" i="115"/>
  <c r="I19" i="115"/>
  <c r="J18" i="115"/>
  <c r="I18" i="115"/>
  <c r="J17" i="115"/>
  <c r="I17" i="115"/>
  <c r="J16" i="115"/>
  <c r="I16" i="115"/>
  <c r="J15" i="115"/>
  <c r="I15" i="115"/>
  <c r="J14" i="115"/>
  <c r="I14" i="115"/>
  <c r="J13" i="115"/>
  <c r="I13" i="115"/>
  <c r="J33" i="114"/>
  <c r="I33" i="114"/>
  <c r="J32" i="114"/>
  <c r="I32" i="114"/>
  <c r="J31" i="114"/>
  <c r="I31" i="114"/>
  <c r="J30" i="114"/>
  <c r="I30" i="114"/>
  <c r="J29" i="114"/>
  <c r="I29" i="114"/>
  <c r="J28" i="114"/>
  <c r="I28" i="114"/>
  <c r="J27" i="114"/>
  <c r="I27" i="114"/>
  <c r="J26" i="114"/>
  <c r="I26" i="114"/>
  <c r="J25" i="114"/>
  <c r="I25" i="114"/>
  <c r="J24" i="114"/>
  <c r="I24" i="114"/>
  <c r="J23" i="114"/>
  <c r="I23" i="114"/>
  <c r="J22" i="114"/>
  <c r="I22" i="114"/>
  <c r="J21" i="114"/>
  <c r="I21" i="114"/>
  <c r="J20" i="114"/>
  <c r="I20" i="114"/>
  <c r="J19" i="114"/>
  <c r="I19" i="114"/>
  <c r="J18" i="114"/>
  <c r="I18" i="114"/>
  <c r="J17" i="114"/>
  <c r="I17" i="114"/>
  <c r="J16" i="114"/>
  <c r="I16" i="114"/>
  <c r="J15" i="114"/>
  <c r="I15" i="114"/>
  <c r="J14" i="114"/>
  <c r="I14" i="114"/>
  <c r="J13" i="114"/>
  <c r="I13" i="114"/>
  <c r="I39" i="110"/>
  <c r="H39" i="110"/>
  <c r="G39" i="110"/>
  <c r="F39" i="110"/>
  <c r="E39" i="110"/>
  <c r="D39" i="110"/>
  <c r="C39" i="110"/>
  <c r="I38" i="110"/>
  <c r="H38" i="110"/>
  <c r="G38" i="110"/>
  <c r="F38" i="110"/>
  <c r="E38" i="110"/>
  <c r="D38" i="110"/>
  <c r="C38" i="110"/>
  <c r="I37" i="110"/>
  <c r="H37" i="110"/>
  <c r="G37" i="110"/>
  <c r="F37" i="110"/>
  <c r="E37" i="110"/>
  <c r="D37" i="110"/>
  <c r="C37" i="110"/>
  <c r="I36" i="110"/>
  <c r="H36" i="110"/>
  <c r="G36" i="110"/>
  <c r="F36" i="110"/>
  <c r="E36" i="110"/>
  <c r="D36" i="110"/>
  <c r="C36" i="110"/>
  <c r="I35" i="110"/>
  <c r="H35" i="110"/>
  <c r="G35" i="110"/>
  <c r="F35" i="110"/>
  <c r="E35" i="110"/>
  <c r="D35" i="110"/>
  <c r="C35" i="110"/>
  <c r="I34" i="110"/>
  <c r="H34" i="110"/>
  <c r="G34" i="110"/>
  <c r="F34" i="110"/>
  <c r="E34" i="110"/>
  <c r="D34" i="110"/>
  <c r="C34" i="110"/>
  <c r="I33" i="110"/>
  <c r="H33" i="110"/>
  <c r="G33" i="110"/>
  <c r="F33" i="110"/>
  <c r="E33" i="110"/>
  <c r="D33" i="110"/>
  <c r="C33" i="110"/>
  <c r="I32" i="110"/>
  <c r="H32" i="110"/>
  <c r="G32" i="110"/>
  <c r="F32" i="110"/>
  <c r="E32" i="110"/>
  <c r="D32" i="110"/>
  <c r="C32" i="110"/>
  <c r="I31" i="110"/>
  <c r="H31" i="110"/>
  <c r="G31" i="110"/>
  <c r="F31" i="110"/>
  <c r="E31" i="110"/>
  <c r="D31" i="110"/>
  <c r="C31" i="110"/>
  <c r="Q39" i="77"/>
  <c r="P39" i="77"/>
  <c r="O39" i="77"/>
  <c r="N39" i="77"/>
  <c r="M39" i="77"/>
  <c r="L39" i="77"/>
  <c r="K39" i="77"/>
  <c r="J39" i="77"/>
  <c r="I39" i="77"/>
  <c r="H39" i="77"/>
  <c r="G39" i="77"/>
  <c r="F39" i="77"/>
  <c r="E39" i="77"/>
  <c r="D39" i="77"/>
  <c r="C39" i="77"/>
  <c r="Q39" i="78"/>
  <c r="P39" i="78"/>
  <c r="O39" i="78"/>
  <c r="N39" i="78"/>
  <c r="M39" i="78"/>
  <c r="L39" i="78"/>
  <c r="K39" i="78"/>
  <c r="J39" i="78"/>
  <c r="I39" i="78"/>
  <c r="H39" i="78"/>
  <c r="G39" i="78"/>
  <c r="F39" i="78"/>
  <c r="E39" i="78"/>
  <c r="D39" i="78"/>
  <c r="C39" i="78"/>
  <c r="O39" i="74"/>
  <c r="N39" i="74"/>
  <c r="M39" i="74"/>
  <c r="L39" i="74"/>
  <c r="K39" i="74"/>
  <c r="J39" i="74"/>
  <c r="I39" i="74"/>
  <c r="H39" i="74"/>
  <c r="G39" i="74"/>
  <c r="F39" i="74"/>
  <c r="E39" i="74"/>
  <c r="D39" i="74"/>
  <c r="C39" i="74"/>
  <c r="O39" i="75"/>
  <c r="N39" i="75"/>
  <c r="M39" i="75"/>
  <c r="L39" i="75"/>
  <c r="K39" i="75"/>
  <c r="J39" i="75"/>
  <c r="I39" i="75"/>
  <c r="H39" i="75"/>
  <c r="G39" i="75"/>
  <c r="F39" i="75"/>
  <c r="E39" i="75"/>
  <c r="D39" i="75"/>
  <c r="C39" i="75"/>
  <c r="Q38" i="77"/>
  <c r="P38" i="77"/>
  <c r="O38" i="77"/>
  <c r="N38" i="77"/>
  <c r="M38" i="77"/>
  <c r="L38" i="77"/>
  <c r="K38" i="77"/>
  <c r="J38" i="77"/>
  <c r="I38" i="77"/>
  <c r="H38" i="77"/>
  <c r="G38" i="77"/>
  <c r="F38" i="77"/>
  <c r="E38" i="77"/>
  <c r="D38" i="77"/>
  <c r="C38" i="77"/>
  <c r="Q38" i="78"/>
  <c r="P38" i="78"/>
  <c r="O38" i="78"/>
  <c r="N38" i="78"/>
  <c r="M38" i="78"/>
  <c r="L38" i="78"/>
  <c r="K38" i="78"/>
  <c r="J38" i="78"/>
  <c r="I38" i="78"/>
  <c r="H38" i="78"/>
  <c r="G38" i="78"/>
  <c r="F38" i="78"/>
  <c r="E38" i="78"/>
  <c r="D38" i="78"/>
  <c r="C38" i="78"/>
  <c r="O38" i="74"/>
  <c r="N38" i="74"/>
  <c r="M38" i="74"/>
  <c r="L38" i="74"/>
  <c r="K38" i="74"/>
  <c r="J38" i="74"/>
  <c r="I38" i="74"/>
  <c r="H38" i="74"/>
  <c r="G38" i="74"/>
  <c r="F38" i="74"/>
  <c r="E38" i="74"/>
  <c r="D38" i="74"/>
  <c r="C38" i="74"/>
  <c r="O38" i="75"/>
  <c r="N38" i="75"/>
  <c r="M38" i="75"/>
  <c r="L38" i="75"/>
  <c r="K38" i="75"/>
  <c r="J38" i="75"/>
  <c r="I38" i="75"/>
  <c r="H38" i="75"/>
  <c r="G38" i="75"/>
  <c r="F38" i="75"/>
  <c r="E38" i="75"/>
  <c r="D38" i="75"/>
  <c r="C38" i="75"/>
  <c r="Q37" i="77"/>
  <c r="P37" i="77"/>
  <c r="O37" i="77"/>
  <c r="N37" i="77"/>
  <c r="M37" i="77"/>
  <c r="L37" i="77"/>
  <c r="K37" i="77"/>
  <c r="J37" i="77"/>
  <c r="I37" i="77"/>
  <c r="H37" i="77"/>
  <c r="G37" i="77"/>
  <c r="F37" i="77"/>
  <c r="E37" i="77"/>
  <c r="D37" i="77"/>
  <c r="C37" i="77"/>
  <c r="Q37" i="78"/>
  <c r="P37" i="78"/>
  <c r="O37" i="78"/>
  <c r="N37" i="78"/>
  <c r="M37" i="78"/>
  <c r="L37" i="78"/>
  <c r="K37" i="78"/>
  <c r="J37" i="78"/>
  <c r="I37" i="78"/>
  <c r="H37" i="78"/>
  <c r="G37" i="78"/>
  <c r="F37" i="78"/>
  <c r="E37" i="78"/>
  <c r="D37" i="78"/>
  <c r="C37" i="78"/>
  <c r="O37" i="74"/>
  <c r="N37" i="74"/>
  <c r="M37" i="74"/>
  <c r="L37" i="74"/>
  <c r="K37" i="74"/>
  <c r="J37" i="74"/>
  <c r="I37" i="74"/>
  <c r="H37" i="74"/>
  <c r="G37" i="74"/>
  <c r="F37" i="74"/>
  <c r="E37" i="74"/>
  <c r="D37" i="74"/>
  <c r="C37" i="74"/>
  <c r="O37" i="75"/>
  <c r="N37" i="75"/>
  <c r="M37" i="75"/>
  <c r="L37" i="75"/>
  <c r="K37" i="75"/>
  <c r="J37" i="75"/>
  <c r="I37" i="75"/>
  <c r="H37" i="75"/>
  <c r="G37" i="75"/>
  <c r="F37" i="75"/>
  <c r="E37" i="75"/>
  <c r="D37" i="75"/>
  <c r="C37" i="75"/>
  <c r="Q36" i="77"/>
  <c r="P36" i="77"/>
  <c r="O36" i="77"/>
  <c r="N36" i="77"/>
  <c r="M36" i="77"/>
  <c r="L36" i="77"/>
  <c r="K36" i="77"/>
  <c r="J36" i="77"/>
  <c r="I36" i="77"/>
  <c r="H36" i="77"/>
  <c r="G36" i="77"/>
  <c r="F36" i="77"/>
  <c r="E36" i="77"/>
  <c r="D36" i="77"/>
  <c r="C36" i="77"/>
  <c r="Q36" i="78"/>
  <c r="P36" i="78"/>
  <c r="O36" i="78"/>
  <c r="N36" i="78"/>
  <c r="M36" i="78"/>
  <c r="L36" i="78"/>
  <c r="K36" i="78"/>
  <c r="J36" i="78"/>
  <c r="I36" i="78"/>
  <c r="H36" i="78"/>
  <c r="G36" i="78"/>
  <c r="F36" i="78"/>
  <c r="E36" i="78"/>
  <c r="D36" i="78"/>
  <c r="C36" i="78"/>
  <c r="O36" i="74"/>
  <c r="N36" i="74"/>
  <c r="M36" i="74"/>
  <c r="L36" i="74"/>
  <c r="K36" i="74"/>
  <c r="J36" i="74"/>
  <c r="I36" i="74"/>
  <c r="H36" i="74"/>
  <c r="G36" i="74"/>
  <c r="F36" i="74"/>
  <c r="E36" i="74"/>
  <c r="D36" i="74"/>
  <c r="C36" i="74"/>
  <c r="O36" i="75"/>
  <c r="N36" i="75"/>
  <c r="M36" i="75"/>
  <c r="L36" i="75"/>
  <c r="K36" i="75"/>
  <c r="J36" i="75"/>
  <c r="I36" i="75"/>
  <c r="H36" i="75"/>
  <c r="G36" i="75"/>
  <c r="F36" i="75"/>
  <c r="E36" i="75"/>
  <c r="D36" i="75"/>
  <c r="C36" i="75"/>
  <c r="Q35" i="77"/>
  <c r="P35" i="77"/>
  <c r="O35" i="77"/>
  <c r="N35" i="77"/>
  <c r="M35" i="77"/>
  <c r="L35" i="77"/>
  <c r="K35" i="77"/>
  <c r="J35" i="77"/>
  <c r="I35" i="77"/>
  <c r="H35" i="77"/>
  <c r="G35" i="77"/>
  <c r="F35" i="77"/>
  <c r="E35" i="77"/>
  <c r="D35" i="77"/>
  <c r="C35" i="77"/>
  <c r="Q35" i="78"/>
  <c r="P35" i="78"/>
  <c r="O35" i="78"/>
  <c r="N35" i="78"/>
  <c r="M35" i="78"/>
  <c r="L35" i="78"/>
  <c r="K35" i="78"/>
  <c r="J35" i="78"/>
  <c r="I35" i="78"/>
  <c r="H35" i="78"/>
  <c r="G35" i="78"/>
  <c r="F35" i="78"/>
  <c r="E35" i="78"/>
  <c r="D35" i="78"/>
  <c r="C35" i="78"/>
  <c r="O35" i="74"/>
  <c r="N35" i="74"/>
  <c r="M35" i="74"/>
  <c r="L35" i="74"/>
  <c r="K35" i="74"/>
  <c r="J35" i="74"/>
  <c r="I35" i="74"/>
  <c r="H35" i="74"/>
  <c r="G35" i="74"/>
  <c r="F35" i="74"/>
  <c r="E35" i="74"/>
  <c r="D35" i="74"/>
  <c r="C35" i="74"/>
  <c r="O35" i="75"/>
  <c r="N35" i="75"/>
  <c r="M35" i="75"/>
  <c r="L35" i="75"/>
  <c r="K35" i="75"/>
  <c r="J35" i="75"/>
  <c r="I35" i="75"/>
  <c r="H35" i="75"/>
  <c r="G35" i="75"/>
  <c r="F35" i="75"/>
  <c r="E35" i="75"/>
  <c r="D35" i="75"/>
  <c r="C35" i="75"/>
  <c r="Q34" i="77"/>
  <c r="P34" i="77"/>
  <c r="O34" i="77"/>
  <c r="N34" i="77"/>
  <c r="M34" i="77"/>
  <c r="L34" i="77"/>
  <c r="K34" i="77"/>
  <c r="J34" i="77"/>
  <c r="I34" i="77"/>
  <c r="H34" i="77"/>
  <c r="G34" i="77"/>
  <c r="F34" i="77"/>
  <c r="E34" i="77"/>
  <c r="D34" i="77"/>
  <c r="C34" i="77"/>
  <c r="Q34" i="78"/>
  <c r="P34" i="78"/>
  <c r="O34" i="78"/>
  <c r="N34" i="78"/>
  <c r="M34" i="78"/>
  <c r="L34" i="78"/>
  <c r="K34" i="78"/>
  <c r="J34" i="78"/>
  <c r="I34" i="78"/>
  <c r="H34" i="78"/>
  <c r="G34" i="78"/>
  <c r="F34" i="78"/>
  <c r="E34" i="78"/>
  <c r="D34" i="78"/>
  <c r="C34" i="78"/>
  <c r="O34" i="74"/>
  <c r="N34" i="74"/>
  <c r="M34" i="74"/>
  <c r="L34" i="74"/>
  <c r="K34" i="74"/>
  <c r="J34" i="74"/>
  <c r="I34" i="74"/>
  <c r="H34" i="74"/>
  <c r="G34" i="74"/>
  <c r="F34" i="74"/>
  <c r="E34" i="74"/>
  <c r="D34" i="74"/>
  <c r="C34" i="74"/>
  <c r="O34" i="75"/>
  <c r="N34" i="75"/>
  <c r="M34" i="75"/>
  <c r="L34" i="75"/>
  <c r="K34" i="75"/>
  <c r="J34" i="75"/>
  <c r="I34" i="75"/>
  <c r="H34" i="75"/>
  <c r="G34" i="75"/>
  <c r="F34" i="75"/>
  <c r="E34" i="75"/>
  <c r="D34" i="75"/>
  <c r="C34" i="75"/>
  <c r="Q33" i="77"/>
  <c r="P33" i="77"/>
  <c r="O33" i="77"/>
  <c r="N33" i="77"/>
  <c r="M33" i="77"/>
  <c r="L33" i="77"/>
  <c r="K33" i="77"/>
  <c r="J33" i="77"/>
  <c r="I33" i="77"/>
  <c r="H33" i="77"/>
  <c r="G33" i="77"/>
  <c r="F33" i="77"/>
  <c r="E33" i="77"/>
  <c r="D33" i="77"/>
  <c r="C33" i="77"/>
  <c r="Q33" i="78"/>
  <c r="P33" i="78"/>
  <c r="O33" i="78"/>
  <c r="N33" i="78"/>
  <c r="M33" i="78"/>
  <c r="L33" i="78"/>
  <c r="K33" i="78"/>
  <c r="J33" i="78"/>
  <c r="I33" i="78"/>
  <c r="H33" i="78"/>
  <c r="G33" i="78"/>
  <c r="F33" i="78"/>
  <c r="E33" i="78"/>
  <c r="D33" i="78"/>
  <c r="C33" i="78"/>
  <c r="O33" i="74"/>
  <c r="N33" i="74"/>
  <c r="M33" i="74"/>
  <c r="L33" i="74"/>
  <c r="K33" i="74"/>
  <c r="J33" i="74"/>
  <c r="I33" i="74"/>
  <c r="H33" i="74"/>
  <c r="G33" i="74"/>
  <c r="F33" i="74"/>
  <c r="E33" i="74"/>
  <c r="D33" i="74"/>
  <c r="C33" i="74"/>
  <c r="O33" i="75"/>
  <c r="N33" i="75"/>
  <c r="M33" i="75"/>
  <c r="L33" i="75"/>
  <c r="K33" i="75"/>
  <c r="J33" i="75"/>
  <c r="I33" i="75"/>
  <c r="H33" i="75"/>
  <c r="G33" i="75"/>
  <c r="F33" i="75"/>
  <c r="E33" i="75"/>
  <c r="D33" i="75"/>
  <c r="C33" i="75"/>
  <c r="Q32" i="77"/>
  <c r="P32" i="77"/>
  <c r="O32" i="77"/>
  <c r="N32" i="77"/>
  <c r="M32" i="77"/>
  <c r="L32" i="77"/>
  <c r="K32" i="77"/>
  <c r="J32" i="77"/>
  <c r="I32" i="77"/>
  <c r="H32" i="77"/>
  <c r="G32" i="77"/>
  <c r="F32" i="77"/>
  <c r="E32" i="77"/>
  <c r="D32" i="77"/>
  <c r="C32" i="77"/>
  <c r="Q32" i="78"/>
  <c r="P32" i="78"/>
  <c r="O32" i="78"/>
  <c r="N32" i="78"/>
  <c r="M32" i="78"/>
  <c r="L32" i="78"/>
  <c r="K32" i="78"/>
  <c r="J32" i="78"/>
  <c r="I32" i="78"/>
  <c r="H32" i="78"/>
  <c r="G32" i="78"/>
  <c r="F32" i="78"/>
  <c r="E32" i="78"/>
  <c r="D32" i="78"/>
  <c r="C32" i="78"/>
  <c r="O32" i="74"/>
  <c r="N32" i="74"/>
  <c r="M32" i="74"/>
  <c r="L32" i="74"/>
  <c r="K32" i="74"/>
  <c r="J32" i="74"/>
  <c r="I32" i="74"/>
  <c r="H32" i="74"/>
  <c r="G32" i="74"/>
  <c r="F32" i="74"/>
  <c r="E32" i="74"/>
  <c r="D32" i="74"/>
  <c r="C32" i="74"/>
  <c r="O32" i="75"/>
  <c r="N32" i="75"/>
  <c r="M32" i="75"/>
  <c r="L32" i="75"/>
  <c r="K32" i="75"/>
  <c r="J32" i="75"/>
  <c r="I32" i="75"/>
  <c r="H32" i="75"/>
  <c r="G32" i="75"/>
  <c r="F32" i="75"/>
  <c r="E32" i="75"/>
  <c r="D32" i="75"/>
  <c r="C32" i="75"/>
  <c r="Q31" i="77"/>
  <c r="P31" i="77"/>
  <c r="O31" i="77"/>
  <c r="N31" i="77"/>
  <c r="M31" i="77"/>
  <c r="L31" i="77"/>
  <c r="K31" i="77"/>
  <c r="J31" i="77"/>
  <c r="I31" i="77"/>
  <c r="H31" i="77"/>
  <c r="G31" i="77"/>
  <c r="F31" i="77"/>
  <c r="E31" i="77"/>
  <c r="D31" i="77"/>
  <c r="C31" i="77"/>
  <c r="Q31" i="78"/>
  <c r="P31" i="78"/>
  <c r="O31" i="78"/>
  <c r="N31" i="78"/>
  <c r="M31" i="78"/>
  <c r="L31" i="78"/>
  <c r="K31" i="78"/>
  <c r="J31" i="78"/>
  <c r="I31" i="78"/>
  <c r="H31" i="78"/>
  <c r="G31" i="78"/>
  <c r="F31" i="78"/>
  <c r="E31" i="78"/>
  <c r="D31" i="78"/>
  <c r="C31" i="78"/>
  <c r="O31" i="74"/>
  <c r="N31" i="74"/>
  <c r="M31" i="74"/>
  <c r="L31" i="74"/>
  <c r="K31" i="74"/>
  <c r="J31" i="74"/>
  <c r="I31" i="74"/>
  <c r="H31" i="74"/>
  <c r="G31" i="74"/>
  <c r="F31" i="74"/>
  <c r="E31" i="74"/>
  <c r="D31" i="74"/>
  <c r="C31" i="74"/>
  <c r="O31" i="75"/>
  <c r="N31" i="75"/>
  <c r="M31" i="75"/>
  <c r="L31" i="75"/>
  <c r="K31" i="75"/>
  <c r="J31" i="75"/>
  <c r="I31" i="75"/>
  <c r="H31" i="75"/>
  <c r="G31" i="75"/>
  <c r="F31" i="75"/>
  <c r="E31" i="75"/>
  <c r="D31" i="75"/>
  <c r="C31" i="75"/>
  <c r="Q39" i="72"/>
  <c r="P39" i="72"/>
  <c r="O39" i="72"/>
  <c r="N39" i="72"/>
  <c r="M39" i="72"/>
  <c r="L39" i="72"/>
  <c r="K39" i="72"/>
  <c r="J39" i="72"/>
  <c r="I39" i="72"/>
  <c r="H39" i="72"/>
  <c r="G39" i="72"/>
  <c r="F39" i="72"/>
  <c r="E39" i="72"/>
  <c r="D39" i="72"/>
  <c r="C39" i="72"/>
  <c r="Q39" i="73"/>
  <c r="P39" i="73"/>
  <c r="O39" i="73"/>
  <c r="N39" i="73"/>
  <c r="M39" i="73"/>
  <c r="L39" i="73"/>
  <c r="K39" i="73"/>
  <c r="J39" i="73"/>
  <c r="I39" i="73"/>
  <c r="H39" i="73"/>
  <c r="G39" i="73"/>
  <c r="F39" i="73"/>
  <c r="E39" i="73"/>
  <c r="D39" i="73"/>
  <c r="C39" i="73"/>
  <c r="O39" i="18"/>
  <c r="N39" i="18"/>
  <c r="M39" i="18"/>
  <c r="L39" i="18"/>
  <c r="K39" i="18"/>
  <c r="J39" i="18"/>
  <c r="I39" i="18"/>
  <c r="H39" i="18"/>
  <c r="G39" i="18"/>
  <c r="F39" i="18"/>
  <c r="E39" i="18"/>
  <c r="D39" i="18"/>
  <c r="C39" i="18"/>
  <c r="O39" i="17"/>
  <c r="N39" i="17"/>
  <c r="M39" i="17"/>
  <c r="L39" i="17"/>
  <c r="K39" i="17"/>
  <c r="J39" i="17"/>
  <c r="I39" i="17"/>
  <c r="H39" i="17"/>
  <c r="G39" i="17"/>
  <c r="F39" i="17"/>
  <c r="E39" i="17"/>
  <c r="D39" i="17"/>
  <c r="C39" i="17"/>
  <c r="Q38" i="72"/>
  <c r="P38" i="72"/>
  <c r="O38" i="72"/>
  <c r="N38" i="72"/>
  <c r="M38" i="72"/>
  <c r="L38" i="72"/>
  <c r="K38" i="72"/>
  <c r="J38" i="72"/>
  <c r="I38" i="72"/>
  <c r="H38" i="72"/>
  <c r="G38" i="72"/>
  <c r="F38" i="72"/>
  <c r="E38" i="72"/>
  <c r="D38" i="72"/>
  <c r="C38" i="72"/>
  <c r="Q38" i="73"/>
  <c r="P38" i="73"/>
  <c r="O38" i="73"/>
  <c r="N38" i="73"/>
  <c r="M38" i="73"/>
  <c r="L38" i="73"/>
  <c r="K38" i="73"/>
  <c r="J38" i="73"/>
  <c r="I38" i="73"/>
  <c r="H38" i="73"/>
  <c r="G38" i="73"/>
  <c r="F38" i="73"/>
  <c r="E38" i="73"/>
  <c r="D38" i="73"/>
  <c r="C38" i="73"/>
  <c r="O38" i="18"/>
  <c r="N38" i="18"/>
  <c r="M38" i="18"/>
  <c r="L38" i="18"/>
  <c r="K38" i="18"/>
  <c r="J38" i="18"/>
  <c r="I38" i="18"/>
  <c r="H38" i="18"/>
  <c r="G38" i="18"/>
  <c r="F38" i="18"/>
  <c r="E38" i="18"/>
  <c r="D38" i="18"/>
  <c r="C38" i="18"/>
  <c r="O38" i="17"/>
  <c r="N38" i="17"/>
  <c r="M38" i="17"/>
  <c r="L38" i="17"/>
  <c r="K38" i="17"/>
  <c r="J38" i="17"/>
  <c r="I38" i="17"/>
  <c r="H38" i="17"/>
  <c r="G38" i="17"/>
  <c r="F38" i="17"/>
  <c r="E38" i="17"/>
  <c r="D38" i="17"/>
  <c r="C38" i="17"/>
  <c r="Q37" i="72"/>
  <c r="P37" i="72"/>
  <c r="O37" i="72"/>
  <c r="N37" i="72"/>
  <c r="M37" i="72"/>
  <c r="L37" i="72"/>
  <c r="K37" i="72"/>
  <c r="J37" i="72"/>
  <c r="I37" i="72"/>
  <c r="H37" i="72"/>
  <c r="G37" i="72"/>
  <c r="F37" i="72"/>
  <c r="E37" i="72"/>
  <c r="D37" i="72"/>
  <c r="C37" i="72"/>
  <c r="Q37" i="73"/>
  <c r="P37" i="73"/>
  <c r="O37" i="73"/>
  <c r="N37" i="73"/>
  <c r="M37" i="73"/>
  <c r="L37" i="73"/>
  <c r="K37" i="73"/>
  <c r="J37" i="73"/>
  <c r="I37" i="73"/>
  <c r="H37" i="73"/>
  <c r="G37" i="73"/>
  <c r="F37" i="73"/>
  <c r="E37" i="73"/>
  <c r="D37" i="73"/>
  <c r="C37" i="73"/>
  <c r="O37" i="18"/>
  <c r="N37" i="18"/>
  <c r="M37" i="18"/>
  <c r="L37" i="18"/>
  <c r="K37" i="18"/>
  <c r="J37" i="18"/>
  <c r="I37" i="18"/>
  <c r="H37" i="18"/>
  <c r="G37" i="18"/>
  <c r="F37" i="18"/>
  <c r="E37" i="18"/>
  <c r="D37" i="18"/>
  <c r="C37" i="18"/>
  <c r="O37" i="17"/>
  <c r="N37" i="17"/>
  <c r="M37" i="17"/>
  <c r="L37" i="17"/>
  <c r="K37" i="17"/>
  <c r="J37" i="17"/>
  <c r="I37" i="17"/>
  <c r="H37" i="17"/>
  <c r="G37" i="17"/>
  <c r="F37" i="17"/>
  <c r="E37" i="17"/>
  <c r="D37" i="17"/>
  <c r="C37" i="17"/>
  <c r="Q36" i="72"/>
  <c r="P36" i="72"/>
  <c r="O36" i="72"/>
  <c r="N36" i="72"/>
  <c r="M36" i="72"/>
  <c r="L36" i="72"/>
  <c r="K36" i="72"/>
  <c r="J36" i="72"/>
  <c r="I36" i="72"/>
  <c r="H36" i="72"/>
  <c r="G36" i="72"/>
  <c r="F36" i="72"/>
  <c r="E36" i="72"/>
  <c r="D36" i="72"/>
  <c r="C36" i="72"/>
  <c r="Q36" i="73"/>
  <c r="P36" i="73"/>
  <c r="O36" i="73"/>
  <c r="N36" i="73"/>
  <c r="M36" i="73"/>
  <c r="L36" i="73"/>
  <c r="K36" i="73"/>
  <c r="J36" i="73"/>
  <c r="I36" i="73"/>
  <c r="H36" i="73"/>
  <c r="G36" i="73"/>
  <c r="F36" i="73"/>
  <c r="E36" i="73"/>
  <c r="D36" i="73"/>
  <c r="C36" i="73"/>
  <c r="O36" i="18"/>
  <c r="N36" i="18"/>
  <c r="M36" i="18"/>
  <c r="L36" i="18"/>
  <c r="K36" i="18"/>
  <c r="J36" i="18"/>
  <c r="I36" i="18"/>
  <c r="H36" i="18"/>
  <c r="G36" i="18"/>
  <c r="F36" i="18"/>
  <c r="E36" i="18"/>
  <c r="D36" i="18"/>
  <c r="C36" i="18"/>
  <c r="O36" i="17"/>
  <c r="N36" i="17"/>
  <c r="M36" i="17"/>
  <c r="L36" i="17"/>
  <c r="K36" i="17"/>
  <c r="J36" i="17"/>
  <c r="I36" i="17"/>
  <c r="H36" i="17"/>
  <c r="G36" i="17"/>
  <c r="F36" i="17"/>
  <c r="E36" i="17"/>
  <c r="D36" i="17"/>
  <c r="C36" i="17"/>
  <c r="Q35" i="72"/>
  <c r="P35" i="72"/>
  <c r="O35" i="72"/>
  <c r="N35" i="72"/>
  <c r="M35" i="72"/>
  <c r="L35" i="72"/>
  <c r="K35" i="72"/>
  <c r="J35" i="72"/>
  <c r="I35" i="72"/>
  <c r="H35" i="72"/>
  <c r="G35" i="72"/>
  <c r="F35" i="72"/>
  <c r="E35" i="72"/>
  <c r="D35" i="72"/>
  <c r="C35" i="72"/>
  <c r="Q35" i="73"/>
  <c r="P35" i="73"/>
  <c r="O35" i="73"/>
  <c r="N35" i="73"/>
  <c r="M35" i="73"/>
  <c r="L35" i="73"/>
  <c r="K35" i="73"/>
  <c r="J35" i="73"/>
  <c r="I35" i="73"/>
  <c r="H35" i="73"/>
  <c r="G35" i="73"/>
  <c r="F35" i="73"/>
  <c r="E35" i="73"/>
  <c r="D35" i="73"/>
  <c r="C35" i="73"/>
  <c r="O35" i="18"/>
  <c r="N35" i="18"/>
  <c r="M35" i="18"/>
  <c r="L35" i="18"/>
  <c r="K35" i="18"/>
  <c r="J35" i="18"/>
  <c r="I35" i="18"/>
  <c r="H35" i="18"/>
  <c r="G35" i="18"/>
  <c r="F35" i="18"/>
  <c r="E35" i="18"/>
  <c r="D35" i="18"/>
  <c r="C35" i="18"/>
  <c r="O35" i="17"/>
  <c r="N35" i="17"/>
  <c r="M35" i="17"/>
  <c r="L35" i="17"/>
  <c r="K35" i="17"/>
  <c r="J35" i="17"/>
  <c r="I35" i="17"/>
  <c r="H35" i="17"/>
  <c r="G35" i="17"/>
  <c r="F35" i="17"/>
  <c r="E35" i="17"/>
  <c r="D35" i="17"/>
  <c r="C35" i="17"/>
  <c r="Q34" i="72"/>
  <c r="P34" i="72"/>
  <c r="O34" i="72"/>
  <c r="N34" i="72"/>
  <c r="M34" i="72"/>
  <c r="L34" i="72"/>
  <c r="K34" i="72"/>
  <c r="J34" i="72"/>
  <c r="I34" i="72"/>
  <c r="H34" i="72"/>
  <c r="G34" i="72"/>
  <c r="F34" i="72"/>
  <c r="E34" i="72"/>
  <c r="D34" i="72"/>
  <c r="C34" i="72"/>
  <c r="Q34" i="73"/>
  <c r="P34" i="73"/>
  <c r="O34" i="73"/>
  <c r="N34" i="73"/>
  <c r="M34" i="73"/>
  <c r="L34" i="73"/>
  <c r="K34" i="73"/>
  <c r="J34" i="73"/>
  <c r="I34" i="73"/>
  <c r="H34" i="73"/>
  <c r="G34" i="73"/>
  <c r="F34" i="73"/>
  <c r="E34" i="73"/>
  <c r="D34" i="73"/>
  <c r="C34" i="73"/>
  <c r="O34" i="18"/>
  <c r="N34" i="18"/>
  <c r="M34" i="18"/>
  <c r="L34" i="18"/>
  <c r="K34" i="18"/>
  <c r="J34" i="18"/>
  <c r="I34" i="18"/>
  <c r="H34" i="18"/>
  <c r="G34" i="18"/>
  <c r="F34" i="18"/>
  <c r="E34" i="18"/>
  <c r="D34" i="18"/>
  <c r="C34" i="18"/>
  <c r="O34" i="17"/>
  <c r="N34" i="17"/>
  <c r="M34" i="17"/>
  <c r="L34" i="17"/>
  <c r="K34" i="17"/>
  <c r="J34" i="17"/>
  <c r="I34" i="17"/>
  <c r="H34" i="17"/>
  <c r="G34" i="17"/>
  <c r="F34" i="17"/>
  <c r="E34" i="17"/>
  <c r="D34" i="17"/>
  <c r="C34" i="17"/>
  <c r="Q33" i="72"/>
  <c r="P33" i="72"/>
  <c r="O33" i="72"/>
  <c r="N33" i="72"/>
  <c r="M33" i="72"/>
  <c r="L33" i="72"/>
  <c r="K33" i="72"/>
  <c r="J33" i="72"/>
  <c r="I33" i="72"/>
  <c r="H33" i="72"/>
  <c r="G33" i="72"/>
  <c r="F33" i="72"/>
  <c r="E33" i="72"/>
  <c r="D33" i="72"/>
  <c r="C33" i="72"/>
  <c r="Q33" i="73"/>
  <c r="P33" i="73"/>
  <c r="O33" i="73"/>
  <c r="N33" i="73"/>
  <c r="M33" i="73"/>
  <c r="L33" i="73"/>
  <c r="K33" i="73"/>
  <c r="J33" i="73"/>
  <c r="I33" i="73"/>
  <c r="H33" i="73"/>
  <c r="G33" i="73"/>
  <c r="F33" i="73"/>
  <c r="E33" i="73"/>
  <c r="D33" i="73"/>
  <c r="C33" i="73"/>
  <c r="O33" i="18"/>
  <c r="N33" i="18"/>
  <c r="M33" i="18"/>
  <c r="L33" i="18"/>
  <c r="K33" i="18"/>
  <c r="J33" i="18"/>
  <c r="I33" i="18"/>
  <c r="H33" i="18"/>
  <c r="G33" i="18"/>
  <c r="F33" i="18"/>
  <c r="E33" i="18"/>
  <c r="D33" i="18"/>
  <c r="C33" i="18"/>
  <c r="O33" i="17"/>
  <c r="N33" i="17"/>
  <c r="M33" i="17"/>
  <c r="L33" i="17"/>
  <c r="K33" i="17"/>
  <c r="J33" i="17"/>
  <c r="I33" i="17"/>
  <c r="H33" i="17"/>
  <c r="G33" i="17"/>
  <c r="F33" i="17"/>
  <c r="E33" i="17"/>
  <c r="D33" i="17"/>
  <c r="C33" i="17"/>
  <c r="Q31" i="72"/>
  <c r="P31" i="72"/>
  <c r="O31" i="72"/>
  <c r="N31" i="72"/>
  <c r="M31" i="72"/>
  <c r="L31" i="72"/>
  <c r="K31" i="72"/>
  <c r="J31" i="72"/>
  <c r="I31" i="72"/>
  <c r="H31" i="72"/>
  <c r="G31" i="72"/>
  <c r="F31" i="72"/>
  <c r="E31" i="72"/>
  <c r="D31" i="72"/>
  <c r="C31" i="72"/>
  <c r="Q31" i="73"/>
  <c r="P31" i="73"/>
  <c r="O31" i="73"/>
  <c r="N31" i="73"/>
  <c r="M31" i="73"/>
  <c r="L31" i="73"/>
  <c r="K31" i="73"/>
  <c r="J31" i="73"/>
  <c r="I31" i="73"/>
  <c r="H31" i="73"/>
  <c r="G31" i="73"/>
  <c r="F31" i="73"/>
  <c r="E31" i="73"/>
  <c r="D31" i="73"/>
  <c r="C31" i="73"/>
  <c r="O31" i="18"/>
  <c r="N31" i="18"/>
  <c r="M31" i="18"/>
  <c r="L31" i="18"/>
  <c r="K31" i="18"/>
  <c r="J31" i="18"/>
  <c r="I31" i="18"/>
  <c r="H31" i="18"/>
  <c r="G31" i="18"/>
  <c r="F31" i="18"/>
  <c r="E31" i="18"/>
  <c r="D31" i="18"/>
  <c r="C31" i="18"/>
  <c r="O31" i="17"/>
  <c r="N31" i="17"/>
  <c r="M31" i="17"/>
  <c r="L31" i="17"/>
  <c r="K31" i="17"/>
  <c r="J31" i="17"/>
  <c r="I31" i="17"/>
  <c r="H31" i="17"/>
  <c r="G31" i="17"/>
  <c r="F31" i="17"/>
  <c r="E31" i="17"/>
  <c r="D31" i="17"/>
  <c r="C31" i="17"/>
  <c r="N30" i="11" l="1"/>
  <c r="K30" i="12"/>
  <c r="L30" i="12"/>
  <c r="S30" i="106"/>
  <c r="Q30" i="17"/>
  <c r="S30" i="105"/>
  <c r="R30" i="18"/>
  <c r="S30" i="75"/>
  <c r="P30" i="14"/>
  <c r="Q30" i="74"/>
  <c r="O30" i="13"/>
  <c r="R30" i="64"/>
  <c r="S30" i="64"/>
  <c r="R30" i="105"/>
  <c r="R30" i="17"/>
  <c r="Q30" i="18"/>
  <c r="R30" i="75"/>
  <c r="R30" i="74"/>
  <c r="N30" i="10"/>
  <c r="O30" i="10"/>
  <c r="M30" i="11"/>
  <c r="P30" i="13"/>
  <c r="V30" i="102"/>
  <c r="R30" i="65"/>
  <c r="S30" i="65"/>
  <c r="Q30" i="106"/>
  <c r="P30" i="17"/>
  <c r="R30" i="72"/>
  <c r="S30" i="77"/>
  <c r="R30" i="77"/>
  <c r="O30" i="14"/>
  <c r="Q30" i="105"/>
  <c r="R30" i="106"/>
  <c r="P30" i="18"/>
  <c r="R30" i="73"/>
  <c r="S30" i="73"/>
  <c r="S30" i="72"/>
  <c r="Q30" i="75"/>
  <c r="S30" i="74"/>
  <c r="R30" i="78"/>
  <c r="S30" i="78"/>
  <c r="E41" i="6"/>
  <c r="J41" i="9"/>
  <c r="H31" i="7"/>
  <c r="H35" i="7"/>
  <c r="K41" i="9"/>
  <c r="H39" i="7"/>
  <c r="H34" i="7"/>
  <c r="H38" i="7"/>
  <c r="H33" i="7"/>
  <c r="H37" i="7"/>
  <c r="H41" i="7"/>
  <c r="J42" i="8" s="1"/>
  <c r="H32" i="7"/>
  <c r="O40" i="10"/>
  <c r="H36" i="7"/>
  <c r="N40" i="10"/>
  <c r="H40" i="7"/>
  <c r="C41" i="9"/>
  <c r="H41" i="9"/>
  <c r="G41" i="9"/>
  <c r="R40" i="83"/>
  <c r="J41" i="5"/>
  <c r="H41" i="5"/>
  <c r="J41" i="6"/>
  <c r="C41" i="7"/>
  <c r="E42" i="8" s="1"/>
  <c r="E41" i="9"/>
  <c r="O41" i="10"/>
  <c r="F41" i="7"/>
  <c r="H42" i="8" s="1"/>
  <c r="D41" i="9"/>
  <c r="O41" i="9"/>
  <c r="M41" i="11"/>
  <c r="L41" i="9"/>
  <c r="L41" i="12"/>
  <c r="J41" i="12"/>
  <c r="D41" i="7" s="1"/>
  <c r="F42" i="8" s="1"/>
  <c r="K41" i="12"/>
  <c r="P41" i="13"/>
  <c r="O41" i="13"/>
  <c r="P41" i="14"/>
  <c r="O41" i="14"/>
  <c r="D41" i="6"/>
  <c r="F41" i="6"/>
  <c r="V41" i="102"/>
  <c r="S41" i="64"/>
  <c r="S41" i="105"/>
  <c r="R41" i="105"/>
  <c r="Q41" i="105"/>
  <c r="R41" i="106"/>
  <c r="Q41" i="106"/>
  <c r="R41" i="17"/>
  <c r="P41" i="17"/>
  <c r="R41" i="18"/>
  <c r="Q41" i="18"/>
  <c r="P41" i="18"/>
  <c r="S41" i="73"/>
  <c r="S41" i="72"/>
  <c r="R41" i="72"/>
  <c r="S41" i="75"/>
  <c r="R41" i="75"/>
  <c r="Q41" i="75"/>
  <c r="S41" i="74"/>
  <c r="R41" i="74"/>
  <c r="Q41" i="74"/>
  <c r="S41" i="78"/>
  <c r="S41" i="77"/>
  <c r="N41" i="91"/>
  <c r="M41" i="91"/>
  <c r="J41" i="92"/>
  <c r="H41" i="4"/>
  <c r="P41" i="4" s="1"/>
  <c r="G42" i="8" l="1"/>
  <c r="J41" i="8"/>
  <c r="S41" i="106"/>
  <c r="M41" i="5"/>
  <c r="P41" i="9"/>
  <c r="E41" i="7"/>
  <c r="R41" i="77"/>
  <c r="R41" i="65"/>
  <c r="N41" i="11"/>
  <c r="N41" i="10"/>
  <c r="R41" i="78"/>
  <c r="R41" i="73"/>
  <c r="Q41" i="17"/>
  <c r="R41" i="64"/>
  <c r="S41" i="65"/>
  <c r="N41" i="9"/>
  <c r="Q41" i="9" s="1"/>
  <c r="R41" i="9"/>
  <c r="K41" i="5"/>
  <c r="L41" i="5" s="1"/>
  <c r="C41" i="6" s="1"/>
  <c r="G41" i="7"/>
  <c r="I42" i="8" s="1"/>
  <c r="K42" i="8" s="1"/>
  <c r="D36" i="98"/>
  <c r="S41" i="9" l="1"/>
  <c r="I41" i="7"/>
  <c r="K41" i="6"/>
  <c r="G41" i="6"/>
  <c r="H41" i="6" s="1"/>
  <c r="I41" i="6" s="1"/>
  <c r="D43" i="94"/>
  <c r="C43" i="94"/>
  <c r="J41" i="7" l="1"/>
  <c r="C41" i="8"/>
  <c r="D42" i="8" s="1"/>
  <c r="E43" i="94"/>
  <c r="G45" i="97"/>
  <c r="I45" i="97" s="1"/>
  <c r="N45" i="97"/>
  <c r="E78" i="63" l="1"/>
  <c r="I40" i="9"/>
  <c r="D40" i="6"/>
  <c r="L40" i="9"/>
  <c r="J40" i="5"/>
  <c r="H40" i="5"/>
  <c r="J40" i="6"/>
  <c r="C40" i="7"/>
  <c r="K40" i="79"/>
  <c r="F40" i="9"/>
  <c r="K40" i="9"/>
  <c r="N40" i="91"/>
  <c r="M40" i="91"/>
  <c r="J40" i="92"/>
  <c r="H40" i="4"/>
  <c r="E41" i="8" l="1"/>
  <c r="M30" i="5"/>
  <c r="P40" i="4"/>
  <c r="P30" i="4"/>
  <c r="C40" i="9"/>
  <c r="G40" i="9"/>
  <c r="K40" i="12"/>
  <c r="H40" i="9"/>
  <c r="V40" i="102"/>
  <c r="Q40" i="75"/>
  <c r="J40" i="9"/>
  <c r="P40" i="18"/>
  <c r="R40" i="106"/>
  <c r="S40" i="106"/>
  <c r="Q40" i="105"/>
  <c r="R40" i="64"/>
  <c r="O40" i="14"/>
  <c r="P40" i="13"/>
  <c r="R40" i="72"/>
  <c r="M40" i="9"/>
  <c r="L40" i="12"/>
  <c r="P40" i="14"/>
  <c r="Q40" i="18"/>
  <c r="S40" i="64"/>
  <c r="O40" i="13"/>
  <c r="J40" i="12"/>
  <c r="S40" i="74"/>
  <c r="R40" i="77"/>
  <c r="E40" i="9"/>
  <c r="S40" i="75"/>
  <c r="P40" i="17"/>
  <c r="S40" i="105"/>
  <c r="F40" i="6"/>
  <c r="R40" i="17"/>
  <c r="S40" i="78"/>
  <c r="R40" i="74"/>
  <c r="Q40" i="74"/>
  <c r="S40" i="72"/>
  <c r="S40" i="73"/>
  <c r="O40" i="9"/>
  <c r="R40" i="18"/>
  <c r="Q40" i="106"/>
  <c r="E40" i="6"/>
  <c r="M40" i="11"/>
  <c r="M40" i="5"/>
  <c r="R40" i="75"/>
  <c r="R40" i="105"/>
  <c r="D40" i="9"/>
  <c r="F40" i="7"/>
  <c r="N40" i="11"/>
  <c r="S40" i="77"/>
  <c r="R40" i="78"/>
  <c r="R40" i="73"/>
  <c r="Q40" i="17"/>
  <c r="S40" i="65"/>
  <c r="N40" i="9"/>
  <c r="K40" i="5"/>
  <c r="G40" i="7"/>
  <c r="R40" i="65"/>
  <c r="K47" i="108"/>
  <c r="K44" i="108"/>
  <c r="K41" i="108"/>
  <c r="K38" i="108"/>
  <c r="K35" i="108"/>
  <c r="K31" i="108"/>
  <c r="K28" i="108"/>
  <c r="K17" i="108"/>
  <c r="K14" i="108"/>
  <c r="K11" i="108"/>
  <c r="K14" i="109"/>
  <c r="K9" i="109"/>
  <c r="Q30" i="9" l="1"/>
  <c r="R40" i="9"/>
  <c r="R30" i="9"/>
  <c r="S30" i="9"/>
  <c r="L40" i="5"/>
  <c r="H41" i="8"/>
  <c r="I41" i="8"/>
  <c r="D40" i="7"/>
  <c r="P30" i="9"/>
  <c r="K8" i="109"/>
  <c r="K10" i="108"/>
  <c r="K9" i="108" s="1"/>
  <c r="I40" i="7"/>
  <c r="Q40" i="9"/>
  <c r="P40" i="9"/>
  <c r="S40" i="9"/>
  <c r="K40" i="108"/>
  <c r="K37" i="108" s="1"/>
  <c r="K51" i="108" s="1"/>
  <c r="K41" i="8" l="1"/>
  <c r="F41" i="8"/>
  <c r="G41" i="8" s="1"/>
  <c r="E40" i="7"/>
  <c r="C40" i="6"/>
  <c r="K40" i="6" l="1"/>
  <c r="G40" i="6"/>
  <c r="H40" i="6" l="1"/>
  <c r="D19" i="93"/>
  <c r="E19" i="93"/>
  <c r="C19" i="93"/>
  <c r="I40" i="6" l="1"/>
  <c r="F19" i="93"/>
  <c r="C40" i="8" l="1"/>
  <c r="J40" i="7"/>
  <c r="L29" i="91"/>
  <c r="K29" i="91"/>
  <c r="J29" i="91"/>
  <c r="I29" i="91"/>
  <c r="H29" i="91"/>
  <c r="G29" i="91"/>
  <c r="F29" i="91"/>
  <c r="E29" i="91"/>
  <c r="D29" i="91"/>
  <c r="C29" i="91"/>
  <c r="I29" i="90"/>
  <c r="H29" i="90"/>
  <c r="E29" i="90"/>
  <c r="F29" i="90"/>
  <c r="D29" i="90"/>
  <c r="D22" i="90" s="1"/>
  <c r="D41" i="8" l="1"/>
  <c r="N29" i="91"/>
  <c r="N29" i="83" l="1"/>
  <c r="M29" i="83"/>
  <c r="K29" i="83"/>
  <c r="J29" i="83"/>
  <c r="G29" i="83"/>
  <c r="F29" i="83"/>
  <c r="D29" i="83"/>
  <c r="C29" i="83"/>
  <c r="R38" i="83" l="1"/>
  <c r="R39" i="83"/>
  <c r="F35" i="93" l="1"/>
  <c r="M29" i="77"/>
  <c r="M22" i="77" s="1"/>
  <c r="F29" i="77"/>
  <c r="F22" i="77" s="1"/>
  <c r="K29" i="78"/>
  <c r="K22" i="78" s="1"/>
  <c r="J29" i="78"/>
  <c r="J22" i="78" s="1"/>
  <c r="C29" i="78"/>
  <c r="C22" i="78" s="1"/>
  <c r="H29" i="74"/>
  <c r="H22" i="74" s="1"/>
  <c r="G29" i="75"/>
  <c r="G22" i="75" s="1"/>
  <c r="L29" i="72"/>
  <c r="L22" i="72" s="1"/>
  <c r="K29" i="72"/>
  <c r="K22" i="72" s="1"/>
  <c r="J29" i="72"/>
  <c r="J22" i="72" s="1"/>
  <c r="H29" i="72"/>
  <c r="H22" i="72" s="1"/>
  <c r="J29" i="73"/>
  <c r="J22" i="73" s="1"/>
  <c r="G29" i="73"/>
  <c r="G22" i="73" s="1"/>
  <c r="C29" i="18"/>
  <c r="C22" i="18" s="1"/>
  <c r="M29" i="17"/>
  <c r="M22" i="17" s="1"/>
  <c r="L29" i="17"/>
  <c r="L22" i="17" s="1"/>
  <c r="D29" i="15"/>
  <c r="D22" i="15" s="1"/>
  <c r="G29" i="15"/>
  <c r="G22" i="15" s="1"/>
  <c r="H29" i="15"/>
  <c r="H22" i="15" s="1"/>
  <c r="K39" i="5"/>
  <c r="K29" i="5" s="1"/>
  <c r="K22" i="5" s="1"/>
  <c r="E29" i="15"/>
  <c r="E22" i="15" s="1"/>
  <c r="F29" i="15"/>
  <c r="F22" i="15" s="1"/>
  <c r="N29" i="105"/>
  <c r="N22" i="105" s="1"/>
  <c r="M29" i="64"/>
  <c r="M22" i="64" s="1"/>
  <c r="L29" i="64"/>
  <c r="L22" i="64" s="1"/>
  <c r="J29" i="64"/>
  <c r="J22" i="64" s="1"/>
  <c r="I29" i="64"/>
  <c r="I22" i="64" s="1"/>
  <c r="F29" i="64"/>
  <c r="F22" i="64" s="1"/>
  <c r="P29" i="65"/>
  <c r="P22" i="65" s="1"/>
  <c r="J29" i="65"/>
  <c r="O29" i="15"/>
  <c r="O22" i="15" s="1"/>
  <c r="L29" i="14"/>
  <c r="E29" i="14"/>
  <c r="E22" i="14" s="1"/>
  <c r="N29" i="13"/>
  <c r="I29" i="12"/>
  <c r="I29" i="10"/>
  <c r="I22" i="10" s="1"/>
  <c r="M29" i="18"/>
  <c r="G29" i="18"/>
  <c r="G22" i="18" s="1"/>
  <c r="E21" i="63"/>
  <c r="E22" i="63" s="1"/>
  <c r="K29" i="10"/>
  <c r="K22" i="10" s="1"/>
  <c r="E29" i="10"/>
  <c r="E22" i="10" s="1"/>
  <c r="E103" i="63"/>
  <c r="E102" i="63"/>
  <c r="E99" i="63"/>
  <c r="E98" i="63"/>
  <c r="E97" i="63"/>
  <c r="E85" i="63"/>
  <c r="E84" i="63"/>
  <c r="E83" i="63"/>
  <c r="E82" i="63"/>
  <c r="E80" i="63"/>
  <c r="E81" i="63" s="1"/>
  <c r="E55" i="63"/>
  <c r="E54" i="63"/>
  <c r="E53" i="63"/>
  <c r="G29" i="17"/>
  <c r="G22" i="17" s="1"/>
  <c r="E25" i="63"/>
  <c r="E26" i="63" s="1"/>
  <c r="D103" i="63"/>
  <c r="D105" i="63" s="1"/>
  <c r="L28" i="15"/>
  <c r="C28" i="15"/>
  <c r="D28" i="15"/>
  <c r="G28" i="15"/>
  <c r="H28" i="15"/>
  <c r="I28" i="15"/>
  <c r="K36" i="5"/>
  <c r="E28" i="15"/>
  <c r="F28" i="15"/>
  <c r="K39" i="79"/>
  <c r="E100" i="63" s="1"/>
  <c r="D29" i="11"/>
  <c r="D22" i="11" s="1"/>
  <c r="H29" i="11"/>
  <c r="H22" i="11" s="1"/>
  <c r="H29" i="10"/>
  <c r="H22" i="10" s="1"/>
  <c r="G39" i="7"/>
  <c r="I40" i="8" s="1"/>
  <c r="G38" i="7"/>
  <c r="H28" i="10"/>
  <c r="G36" i="7"/>
  <c r="G28" i="7" s="1"/>
  <c r="D28" i="10"/>
  <c r="E28" i="10"/>
  <c r="I28" i="10"/>
  <c r="C28" i="11"/>
  <c r="D28" i="11"/>
  <c r="G28" i="11"/>
  <c r="H28" i="11"/>
  <c r="L29" i="79"/>
  <c r="K29" i="79"/>
  <c r="K22" i="79" s="1"/>
  <c r="J29" i="79"/>
  <c r="J22" i="79" s="1"/>
  <c r="I29" i="79"/>
  <c r="I22" i="79" s="1"/>
  <c r="H29" i="79"/>
  <c r="H22" i="79" s="1"/>
  <c r="G29" i="79"/>
  <c r="G22" i="79" s="1"/>
  <c r="F29" i="79"/>
  <c r="E29" i="79"/>
  <c r="D29" i="79"/>
  <c r="D22" i="79" s="1"/>
  <c r="C29" i="79"/>
  <c r="C22" i="79" s="1"/>
  <c r="R29" i="80"/>
  <c r="R22" i="80" s="1"/>
  <c r="P29" i="80"/>
  <c r="P22" i="80" s="1"/>
  <c r="O29" i="80"/>
  <c r="O22" i="80" s="1"/>
  <c r="N29" i="80"/>
  <c r="N22" i="80" s="1"/>
  <c r="M29" i="80"/>
  <c r="M22" i="80" s="1"/>
  <c r="L29" i="80"/>
  <c r="L22" i="80" s="1"/>
  <c r="K29" i="80"/>
  <c r="K22" i="80" s="1"/>
  <c r="I29" i="80"/>
  <c r="I22" i="80" s="1"/>
  <c r="H29" i="80"/>
  <c r="H22" i="80" s="1"/>
  <c r="G29" i="80"/>
  <c r="G22" i="80" s="1"/>
  <c r="F29" i="80"/>
  <c r="F22" i="80" s="1"/>
  <c r="D29" i="80"/>
  <c r="D22" i="80" s="1"/>
  <c r="C29" i="80"/>
  <c r="C22" i="80" s="1"/>
  <c r="F29" i="18"/>
  <c r="F22" i="18" s="1"/>
  <c r="E29" i="18"/>
  <c r="F29" i="17"/>
  <c r="F22" i="17" s="1"/>
  <c r="E29" i="17"/>
  <c r="E22" i="17" s="1"/>
  <c r="D29" i="17"/>
  <c r="D22" i="17" s="1"/>
  <c r="M29" i="10"/>
  <c r="M22" i="10" s="1"/>
  <c r="L29" i="11"/>
  <c r="L22" i="11" s="1"/>
  <c r="H29" i="12"/>
  <c r="H22" i="12" s="1"/>
  <c r="G29" i="12"/>
  <c r="G22" i="12" s="1"/>
  <c r="F29" i="12"/>
  <c r="F22" i="12" s="1"/>
  <c r="D29" i="12"/>
  <c r="D22" i="12" s="1"/>
  <c r="C29" i="12"/>
  <c r="C22" i="12" s="1"/>
  <c r="M29" i="13"/>
  <c r="M22" i="13" s="1"/>
  <c r="L29" i="13"/>
  <c r="L22" i="13" s="1"/>
  <c r="K29" i="13"/>
  <c r="K22" i="13" s="1"/>
  <c r="J29" i="13"/>
  <c r="J22" i="13" s="1"/>
  <c r="I29" i="13"/>
  <c r="I22" i="13" s="1"/>
  <c r="H29" i="13"/>
  <c r="H22" i="13" s="1"/>
  <c r="G29" i="13"/>
  <c r="G22" i="13" s="1"/>
  <c r="F29" i="13"/>
  <c r="F22" i="13" s="1"/>
  <c r="E29" i="13"/>
  <c r="E22" i="13" s="1"/>
  <c r="D29" i="13"/>
  <c r="D22" i="13" s="1"/>
  <c r="C29" i="13"/>
  <c r="N29" i="14"/>
  <c r="N22" i="14" s="1"/>
  <c r="M29" i="14"/>
  <c r="K29" i="14"/>
  <c r="K22" i="14" s="1"/>
  <c r="J29" i="14"/>
  <c r="J22" i="14" s="1"/>
  <c r="I29" i="14"/>
  <c r="I22" i="14" s="1"/>
  <c r="H29" i="14"/>
  <c r="H22" i="14" s="1"/>
  <c r="G29" i="14"/>
  <c r="G22" i="14" s="1"/>
  <c r="F29" i="14"/>
  <c r="F22" i="14" s="1"/>
  <c r="D29" i="14"/>
  <c r="D22" i="14" s="1"/>
  <c r="C29" i="14"/>
  <c r="C22" i="14" s="1"/>
  <c r="Q29" i="15"/>
  <c r="Q22" i="15" s="1"/>
  <c r="P29" i="15"/>
  <c r="P22" i="15" s="1"/>
  <c r="N29" i="15"/>
  <c r="N22" i="15" s="1"/>
  <c r="M29" i="15"/>
  <c r="M22" i="15" s="1"/>
  <c r="L29" i="15"/>
  <c r="K29" i="15"/>
  <c r="I29" i="15"/>
  <c r="I22" i="15" s="1"/>
  <c r="C29" i="15"/>
  <c r="C22" i="15" s="1"/>
  <c r="T29" i="102"/>
  <c r="T22" i="102" s="1"/>
  <c r="S29" i="102"/>
  <c r="S22" i="102" s="1"/>
  <c r="R29" i="102"/>
  <c r="R22" i="102" s="1"/>
  <c r="Q29" i="102"/>
  <c r="Q22" i="102" s="1"/>
  <c r="P29" i="102"/>
  <c r="P22" i="102" s="1"/>
  <c r="O29" i="102"/>
  <c r="O22" i="102" s="1"/>
  <c r="N29" i="102"/>
  <c r="N22" i="102" s="1"/>
  <c r="M29" i="102"/>
  <c r="M22" i="102" s="1"/>
  <c r="L29" i="102"/>
  <c r="L22" i="102" s="1"/>
  <c r="K29" i="102"/>
  <c r="K22" i="102" s="1"/>
  <c r="J29" i="102"/>
  <c r="J22" i="102" s="1"/>
  <c r="I29" i="102"/>
  <c r="I22" i="102" s="1"/>
  <c r="H29" i="102"/>
  <c r="H22" i="102" s="1"/>
  <c r="G29" i="102"/>
  <c r="G22" i="102" s="1"/>
  <c r="F29" i="102"/>
  <c r="F22" i="102" s="1"/>
  <c r="E29" i="102"/>
  <c r="E22" i="102" s="1"/>
  <c r="D29" i="102"/>
  <c r="D22" i="102" s="1"/>
  <c r="C29" i="102"/>
  <c r="C22" i="102" s="1"/>
  <c r="Q29" i="65"/>
  <c r="Q22" i="65" s="1"/>
  <c r="O29" i="65"/>
  <c r="O22" i="65" s="1"/>
  <c r="N29" i="65"/>
  <c r="N22" i="65" s="1"/>
  <c r="M29" i="65"/>
  <c r="M22" i="65" s="1"/>
  <c r="L29" i="65"/>
  <c r="L22" i="65" s="1"/>
  <c r="K29" i="65"/>
  <c r="I29" i="65"/>
  <c r="I22" i="65" s="1"/>
  <c r="H29" i="65"/>
  <c r="H22" i="65" s="1"/>
  <c r="G29" i="65"/>
  <c r="G22" i="65" s="1"/>
  <c r="F29" i="65"/>
  <c r="F22" i="65" s="1"/>
  <c r="E29" i="65"/>
  <c r="E22" i="65" s="1"/>
  <c r="D29" i="65"/>
  <c r="D22" i="65" s="1"/>
  <c r="C29" i="65"/>
  <c r="C22" i="65" s="1"/>
  <c r="Q29" i="64"/>
  <c r="P29" i="64"/>
  <c r="P22" i="64" s="1"/>
  <c r="O29" i="64"/>
  <c r="O22" i="64" s="1"/>
  <c r="N29" i="64"/>
  <c r="N22" i="64" s="1"/>
  <c r="K29" i="64"/>
  <c r="K22" i="64" s="1"/>
  <c r="H29" i="64"/>
  <c r="H22" i="64" s="1"/>
  <c r="G29" i="64"/>
  <c r="G22" i="64" s="1"/>
  <c r="E29" i="64"/>
  <c r="E22" i="64" s="1"/>
  <c r="D29" i="64"/>
  <c r="C29" i="64"/>
  <c r="C22" i="64" s="1"/>
  <c r="K29" i="61"/>
  <c r="K22" i="61" s="1"/>
  <c r="J29" i="61"/>
  <c r="J22" i="61" s="1"/>
  <c r="I29" i="61"/>
  <c r="I22" i="61" s="1"/>
  <c r="H29" i="61"/>
  <c r="H22" i="61" s="1"/>
  <c r="G29" i="61"/>
  <c r="G22" i="61" s="1"/>
  <c r="F29" i="61"/>
  <c r="F22" i="61" s="1"/>
  <c r="E29" i="61"/>
  <c r="E22" i="61" s="1"/>
  <c r="D29" i="61"/>
  <c r="D22" i="61" s="1"/>
  <c r="C29" i="61"/>
  <c r="C22" i="61" s="1"/>
  <c r="P29" i="105"/>
  <c r="P22" i="105" s="1"/>
  <c r="O29" i="105"/>
  <c r="M29" i="105"/>
  <c r="M22" i="105" s="1"/>
  <c r="L29" i="105"/>
  <c r="L22" i="105" s="1"/>
  <c r="K29" i="105"/>
  <c r="K22" i="105" s="1"/>
  <c r="J29" i="105"/>
  <c r="J22" i="105" s="1"/>
  <c r="I29" i="105"/>
  <c r="H29" i="105"/>
  <c r="H22" i="105" s="1"/>
  <c r="G29" i="105"/>
  <c r="G22" i="105" s="1"/>
  <c r="F29" i="105"/>
  <c r="F22" i="105" s="1"/>
  <c r="E29" i="105"/>
  <c r="D29" i="105"/>
  <c r="D22" i="105" s="1"/>
  <c r="C29" i="105"/>
  <c r="C22" i="105" s="1"/>
  <c r="P29" i="106"/>
  <c r="P22" i="106" s="1"/>
  <c r="O29" i="106"/>
  <c r="O22" i="106" s="1"/>
  <c r="N29" i="106"/>
  <c r="N22" i="106" s="1"/>
  <c r="M29" i="106"/>
  <c r="M22" i="106" s="1"/>
  <c r="L29" i="106"/>
  <c r="L22" i="106" s="1"/>
  <c r="K29" i="106"/>
  <c r="K22" i="106" s="1"/>
  <c r="J29" i="106"/>
  <c r="J22" i="106" s="1"/>
  <c r="I29" i="106"/>
  <c r="I22" i="106" s="1"/>
  <c r="H29" i="106"/>
  <c r="G29" i="106"/>
  <c r="G22" i="106" s="1"/>
  <c r="F29" i="106"/>
  <c r="F22" i="106" s="1"/>
  <c r="E29" i="106"/>
  <c r="E22" i="106" s="1"/>
  <c r="D29" i="106"/>
  <c r="D22" i="106" s="1"/>
  <c r="C29" i="106"/>
  <c r="C22" i="106" s="1"/>
  <c r="O29" i="17"/>
  <c r="O22" i="17" s="1"/>
  <c r="K29" i="17"/>
  <c r="K22" i="17" s="1"/>
  <c r="J29" i="17"/>
  <c r="J22" i="17" s="1"/>
  <c r="I29" i="17"/>
  <c r="I22" i="17" s="1"/>
  <c r="H29" i="17"/>
  <c r="O29" i="18"/>
  <c r="O22" i="18" s="1"/>
  <c r="N29" i="18"/>
  <c r="N22" i="18" s="1"/>
  <c r="L29" i="18"/>
  <c r="L22" i="18" s="1"/>
  <c r="K29" i="18"/>
  <c r="K22" i="18" s="1"/>
  <c r="J29" i="18"/>
  <c r="I29" i="18"/>
  <c r="I22" i="18" s="1"/>
  <c r="H29" i="18"/>
  <c r="H22" i="18" s="1"/>
  <c r="D29" i="18"/>
  <c r="D22" i="18" s="1"/>
  <c r="Q29" i="73"/>
  <c r="Q22" i="73" s="1"/>
  <c r="P29" i="73"/>
  <c r="P22" i="73" s="1"/>
  <c r="O29" i="73"/>
  <c r="O22" i="73" s="1"/>
  <c r="N29" i="73"/>
  <c r="N22" i="73" s="1"/>
  <c r="M29" i="73"/>
  <c r="M22" i="73" s="1"/>
  <c r="L29" i="73"/>
  <c r="K29" i="73"/>
  <c r="K22" i="73" s="1"/>
  <c r="I29" i="73"/>
  <c r="I22" i="73" s="1"/>
  <c r="H29" i="73"/>
  <c r="H22" i="73" s="1"/>
  <c r="F29" i="73"/>
  <c r="F22" i="73" s="1"/>
  <c r="E29" i="73"/>
  <c r="E22" i="73" s="1"/>
  <c r="D29" i="73"/>
  <c r="D22" i="73" s="1"/>
  <c r="C29" i="73"/>
  <c r="Q29" i="72"/>
  <c r="Q22" i="72" s="1"/>
  <c r="P29" i="72"/>
  <c r="P22" i="72" s="1"/>
  <c r="O29" i="72"/>
  <c r="O22" i="72" s="1"/>
  <c r="N29" i="72"/>
  <c r="N22" i="72" s="1"/>
  <c r="M29" i="72"/>
  <c r="I29" i="72"/>
  <c r="I22" i="72" s="1"/>
  <c r="G29" i="72"/>
  <c r="G22" i="72" s="1"/>
  <c r="F29" i="72"/>
  <c r="F22" i="72" s="1"/>
  <c r="E29" i="72"/>
  <c r="E22" i="72" s="1"/>
  <c r="D29" i="72"/>
  <c r="C29" i="72"/>
  <c r="C22" i="72" s="1"/>
  <c r="N29" i="75"/>
  <c r="M29" i="75"/>
  <c r="M22" i="75" s="1"/>
  <c r="L29" i="75"/>
  <c r="L22" i="75" s="1"/>
  <c r="K29" i="75"/>
  <c r="K22" i="75" s="1"/>
  <c r="J29" i="75"/>
  <c r="J22" i="75" s="1"/>
  <c r="I29" i="75"/>
  <c r="I22" i="75" s="1"/>
  <c r="H29" i="75"/>
  <c r="H22" i="75" s="1"/>
  <c r="F29" i="75"/>
  <c r="F22" i="75" s="1"/>
  <c r="E29" i="75"/>
  <c r="E22" i="75" s="1"/>
  <c r="D29" i="75"/>
  <c r="D22" i="75" s="1"/>
  <c r="C29" i="75"/>
  <c r="O29" i="74"/>
  <c r="O22" i="74" s="1"/>
  <c r="N29" i="74"/>
  <c r="M29" i="74"/>
  <c r="M22" i="74" s="1"/>
  <c r="L29" i="74"/>
  <c r="K29" i="74"/>
  <c r="K22" i="74" s="1"/>
  <c r="J29" i="74"/>
  <c r="J22" i="74" s="1"/>
  <c r="I29" i="74"/>
  <c r="I22" i="74" s="1"/>
  <c r="G29" i="74"/>
  <c r="G22" i="74" s="1"/>
  <c r="F29" i="74"/>
  <c r="F22" i="74" s="1"/>
  <c r="E29" i="74"/>
  <c r="D29" i="74"/>
  <c r="D22" i="74" s="1"/>
  <c r="C29" i="74"/>
  <c r="C22" i="74" s="1"/>
  <c r="Q29" i="78"/>
  <c r="Q22" i="78" s="1"/>
  <c r="P29" i="78"/>
  <c r="P22" i="78" s="1"/>
  <c r="O29" i="78"/>
  <c r="O22" i="78" s="1"/>
  <c r="N29" i="78"/>
  <c r="N22" i="78" s="1"/>
  <c r="M29" i="78"/>
  <c r="L29" i="78"/>
  <c r="L22" i="78" s="1"/>
  <c r="I29" i="78"/>
  <c r="I22" i="78" s="1"/>
  <c r="H29" i="78"/>
  <c r="H22" i="78" s="1"/>
  <c r="G29" i="78"/>
  <c r="G22" i="78" s="1"/>
  <c r="F29" i="78"/>
  <c r="F22" i="78" s="1"/>
  <c r="E29" i="78"/>
  <c r="E22" i="78" s="1"/>
  <c r="D29" i="78"/>
  <c r="Q29" i="77"/>
  <c r="Q22" i="77" s="1"/>
  <c r="P29" i="77"/>
  <c r="P22" i="77" s="1"/>
  <c r="O29" i="77"/>
  <c r="O22" i="77" s="1"/>
  <c r="N29" i="77"/>
  <c r="N22" i="77" s="1"/>
  <c r="L29" i="77"/>
  <c r="L22" i="77" s="1"/>
  <c r="K29" i="77"/>
  <c r="K22" i="77" s="1"/>
  <c r="J29" i="77"/>
  <c r="I29" i="77"/>
  <c r="I22" i="77" s="1"/>
  <c r="H29" i="77"/>
  <c r="H22" i="77" s="1"/>
  <c r="G29" i="77"/>
  <c r="G22" i="77" s="1"/>
  <c r="E29" i="77"/>
  <c r="E22" i="77" s="1"/>
  <c r="D29" i="77"/>
  <c r="D22" i="77" s="1"/>
  <c r="C29" i="77"/>
  <c r="C22" i="77" s="1"/>
  <c r="I29" i="110"/>
  <c r="I22" i="110" s="1"/>
  <c r="O29" i="4"/>
  <c r="O22" i="4" s="1"/>
  <c r="N29" i="4"/>
  <c r="N22" i="4" s="1"/>
  <c r="M29" i="4"/>
  <c r="M22" i="4" s="1"/>
  <c r="L29" i="4"/>
  <c r="L22" i="4" s="1"/>
  <c r="K29" i="4"/>
  <c r="K22" i="4" s="1"/>
  <c r="J22" i="6" s="1"/>
  <c r="J29" i="4"/>
  <c r="J22" i="4" s="1"/>
  <c r="I29" i="4"/>
  <c r="I22" i="4" s="1"/>
  <c r="G29" i="4"/>
  <c r="G22" i="4" s="1"/>
  <c r="F29" i="4"/>
  <c r="F22" i="4" s="1"/>
  <c r="E29" i="4"/>
  <c r="E22" i="4" s="1"/>
  <c r="D29" i="4"/>
  <c r="D22" i="4" s="1"/>
  <c r="C29" i="4"/>
  <c r="C22" i="4" s="1"/>
  <c r="I29" i="5"/>
  <c r="I22" i="5" s="1"/>
  <c r="G29" i="5"/>
  <c r="G22" i="5" s="1"/>
  <c r="F29" i="5"/>
  <c r="F22" i="5" s="1"/>
  <c r="E29" i="5"/>
  <c r="E22" i="5" s="1"/>
  <c r="D29" i="5"/>
  <c r="D22" i="5" s="1"/>
  <c r="C29" i="5"/>
  <c r="C22" i="5" s="1"/>
  <c r="L22" i="79"/>
  <c r="F22" i="79"/>
  <c r="E22" i="79"/>
  <c r="K22" i="65"/>
  <c r="H22" i="106"/>
  <c r="P22" i="74"/>
  <c r="P22" i="75"/>
  <c r="M29" i="91"/>
  <c r="H39" i="4"/>
  <c r="P39" i="4" s="1"/>
  <c r="J39" i="5"/>
  <c r="J29" i="5" s="1"/>
  <c r="H39" i="5"/>
  <c r="H29" i="5" s="1"/>
  <c r="H22" i="5" s="1"/>
  <c r="J39" i="6"/>
  <c r="J29" i="6" s="1"/>
  <c r="C39" i="7"/>
  <c r="N39" i="91"/>
  <c r="M39" i="91"/>
  <c r="J39" i="92"/>
  <c r="I28" i="110"/>
  <c r="I27" i="110"/>
  <c r="G38" i="9"/>
  <c r="D39" i="94"/>
  <c r="C39" i="94"/>
  <c r="N38" i="9"/>
  <c r="K38" i="79"/>
  <c r="H38" i="9"/>
  <c r="K38" i="5"/>
  <c r="J38" i="5"/>
  <c r="H38" i="5"/>
  <c r="J38" i="6"/>
  <c r="C38" i="7"/>
  <c r="N38" i="91"/>
  <c r="M38" i="91"/>
  <c r="J38" i="92"/>
  <c r="H38" i="4"/>
  <c r="P38" i="4" s="1"/>
  <c r="D35" i="98"/>
  <c r="L43" i="101"/>
  <c r="M43" i="101" s="1"/>
  <c r="G43" i="101"/>
  <c r="H43" i="101" s="1"/>
  <c r="G44" i="97"/>
  <c r="I44" i="97" s="1"/>
  <c r="N44" i="97"/>
  <c r="R37" i="83"/>
  <c r="R36" i="83"/>
  <c r="K37" i="5"/>
  <c r="J37" i="5"/>
  <c r="H37" i="5"/>
  <c r="J37" i="6"/>
  <c r="C37" i="7"/>
  <c r="K37" i="79"/>
  <c r="N37" i="91"/>
  <c r="M37" i="91"/>
  <c r="J37" i="92"/>
  <c r="H37" i="4"/>
  <c r="P37" i="4" s="1"/>
  <c r="Q28" i="77"/>
  <c r="E28" i="77"/>
  <c r="O28" i="78"/>
  <c r="P28" i="78"/>
  <c r="C28" i="78"/>
  <c r="J28" i="77"/>
  <c r="D28" i="75"/>
  <c r="H28" i="75"/>
  <c r="O28" i="75"/>
  <c r="I28" i="72"/>
  <c r="D28" i="72"/>
  <c r="J28" i="72"/>
  <c r="H28" i="73"/>
  <c r="N28" i="73"/>
  <c r="J28" i="73"/>
  <c r="J28" i="17"/>
  <c r="K28" i="17"/>
  <c r="O28" i="64"/>
  <c r="I28" i="64"/>
  <c r="C28" i="64"/>
  <c r="J28" i="64"/>
  <c r="L28" i="65"/>
  <c r="F28" i="65"/>
  <c r="C28" i="65"/>
  <c r="T28" i="102"/>
  <c r="K28" i="15"/>
  <c r="G28" i="14"/>
  <c r="C28" i="14"/>
  <c r="K28" i="13"/>
  <c r="G28" i="13"/>
  <c r="H28" i="12"/>
  <c r="E28" i="12"/>
  <c r="J28" i="14"/>
  <c r="D28" i="14"/>
  <c r="G28" i="12"/>
  <c r="D28" i="12"/>
  <c r="K28" i="10"/>
  <c r="N28" i="83"/>
  <c r="M28" i="83"/>
  <c r="K28" i="83"/>
  <c r="J28" i="83"/>
  <c r="G28" i="83"/>
  <c r="F28" i="83"/>
  <c r="D28" i="83"/>
  <c r="C28" i="83"/>
  <c r="E28" i="90"/>
  <c r="E22" i="90" s="1"/>
  <c r="D28" i="91"/>
  <c r="D22" i="91" s="1"/>
  <c r="E28" i="91"/>
  <c r="E22" i="91" s="1"/>
  <c r="F28" i="91"/>
  <c r="F22" i="91" s="1"/>
  <c r="G28" i="91"/>
  <c r="G22" i="91" s="1"/>
  <c r="H28" i="91"/>
  <c r="H22" i="91" s="1"/>
  <c r="I28" i="91"/>
  <c r="I22" i="91" s="1"/>
  <c r="J28" i="91"/>
  <c r="J22" i="91" s="1"/>
  <c r="K28" i="91"/>
  <c r="K22" i="91" s="1"/>
  <c r="L28" i="91"/>
  <c r="C28" i="91"/>
  <c r="C22" i="91" s="1"/>
  <c r="F28" i="90"/>
  <c r="F22" i="90" s="1"/>
  <c r="C17" i="109"/>
  <c r="C16" i="109"/>
  <c r="C15" i="109"/>
  <c r="J14" i="109"/>
  <c r="I14" i="109"/>
  <c r="C14" i="109"/>
  <c r="F14" i="109"/>
  <c r="E14" i="109"/>
  <c r="D14" i="109"/>
  <c r="B14" i="109"/>
  <c r="C13" i="109"/>
  <c r="C12" i="109"/>
  <c r="C11" i="109"/>
  <c r="C10" i="109"/>
  <c r="J9" i="109"/>
  <c r="I9" i="109"/>
  <c r="C8" i="109"/>
  <c r="F9" i="109"/>
  <c r="E9" i="109"/>
  <c r="D9" i="109"/>
  <c r="C9" i="109"/>
  <c r="B9" i="109"/>
  <c r="B8" i="109" s="1"/>
  <c r="I47" i="108"/>
  <c r="J47" i="108"/>
  <c r="F47" i="108"/>
  <c r="E47" i="108"/>
  <c r="D47" i="108"/>
  <c r="B47" i="108"/>
  <c r="J44" i="108"/>
  <c r="I44" i="108"/>
  <c r="F44" i="108"/>
  <c r="E44" i="108"/>
  <c r="D44" i="108"/>
  <c r="B44" i="108"/>
  <c r="I41" i="108"/>
  <c r="J41" i="108"/>
  <c r="F41" i="108"/>
  <c r="E41" i="108"/>
  <c r="E40" i="108" s="1"/>
  <c r="D41" i="108"/>
  <c r="B41" i="108"/>
  <c r="J38" i="108"/>
  <c r="I38" i="108"/>
  <c r="F38" i="108"/>
  <c r="E38" i="108"/>
  <c r="D38" i="108"/>
  <c r="B38" i="108"/>
  <c r="J35" i="108"/>
  <c r="I35" i="108"/>
  <c r="F35" i="108"/>
  <c r="E35" i="108"/>
  <c r="D35" i="108"/>
  <c r="B35" i="108"/>
  <c r="J31" i="108"/>
  <c r="I31" i="108"/>
  <c r="F31" i="108"/>
  <c r="E31" i="108"/>
  <c r="D31" i="108"/>
  <c r="B31" i="108"/>
  <c r="J28" i="108"/>
  <c r="I28" i="108"/>
  <c r="F28" i="108"/>
  <c r="E28" i="108"/>
  <c r="D28" i="108"/>
  <c r="B28" i="108"/>
  <c r="J17" i="108"/>
  <c r="I17" i="108"/>
  <c r="F17" i="108"/>
  <c r="E17" i="108"/>
  <c r="D17" i="108"/>
  <c r="B17" i="108"/>
  <c r="J14" i="108"/>
  <c r="I14" i="108"/>
  <c r="F14" i="108"/>
  <c r="F10" i="108" s="1"/>
  <c r="F9" i="108" s="1"/>
  <c r="E14" i="108"/>
  <c r="D14" i="108"/>
  <c r="B14" i="108"/>
  <c r="J11" i="108"/>
  <c r="I11" i="108"/>
  <c r="F11" i="108"/>
  <c r="E11" i="108"/>
  <c r="D11" i="108"/>
  <c r="B11" i="108"/>
  <c r="D102" i="63"/>
  <c r="D99" i="63"/>
  <c r="D98" i="63"/>
  <c r="D97" i="63"/>
  <c r="D85" i="63"/>
  <c r="D84" i="63"/>
  <c r="D83" i="63"/>
  <c r="D82" i="63"/>
  <c r="D80" i="63"/>
  <c r="D81" i="63" s="1"/>
  <c r="F34" i="93"/>
  <c r="Q28" i="78"/>
  <c r="L28" i="78"/>
  <c r="E28" i="78"/>
  <c r="D28" i="78"/>
  <c r="O28" i="74"/>
  <c r="E28" i="75"/>
  <c r="Q28" i="72"/>
  <c r="N28" i="72"/>
  <c r="F28" i="72"/>
  <c r="Q28" i="73"/>
  <c r="O28" i="73"/>
  <c r="K28" i="73"/>
  <c r="D28" i="73"/>
  <c r="C28" i="73"/>
  <c r="E28" i="18"/>
  <c r="M28" i="17"/>
  <c r="E28" i="17"/>
  <c r="D28" i="106"/>
  <c r="I28" i="105"/>
  <c r="I28" i="65"/>
  <c r="R28" i="102"/>
  <c r="K28" i="14"/>
  <c r="I28" i="14"/>
  <c r="C28" i="13"/>
  <c r="J28" i="11"/>
  <c r="J28" i="10"/>
  <c r="O28" i="4"/>
  <c r="N28" i="4"/>
  <c r="M28" i="4"/>
  <c r="L28" i="4"/>
  <c r="K28" i="4"/>
  <c r="J28" i="6" s="1"/>
  <c r="J28" i="4"/>
  <c r="I28" i="4"/>
  <c r="G28" i="4"/>
  <c r="F28" i="4"/>
  <c r="E28" i="4"/>
  <c r="D28" i="4"/>
  <c r="C28" i="4"/>
  <c r="I28" i="5"/>
  <c r="G28" i="5"/>
  <c r="F28" i="5"/>
  <c r="E28" i="5"/>
  <c r="D28" i="5"/>
  <c r="C28" i="5"/>
  <c r="L28" i="79"/>
  <c r="J28" i="79"/>
  <c r="I28" i="79"/>
  <c r="H28" i="79"/>
  <c r="G28" i="79"/>
  <c r="F28" i="79"/>
  <c r="E28" i="79"/>
  <c r="D28" i="79"/>
  <c r="C28" i="79"/>
  <c r="R28" i="80"/>
  <c r="D53" i="63"/>
  <c r="P28" i="80"/>
  <c r="O28" i="80"/>
  <c r="N28" i="80"/>
  <c r="M28" i="80"/>
  <c r="L28" i="80"/>
  <c r="K28" i="80"/>
  <c r="J28" i="80"/>
  <c r="I28" i="80"/>
  <c r="H28" i="80"/>
  <c r="G28" i="80"/>
  <c r="F28" i="80"/>
  <c r="D28" i="80"/>
  <c r="C28" i="80"/>
  <c r="M28" i="10"/>
  <c r="G28" i="10"/>
  <c r="L28" i="11"/>
  <c r="I28" i="11"/>
  <c r="E28" i="11"/>
  <c r="F28" i="12"/>
  <c r="N28" i="13"/>
  <c r="M28" i="13"/>
  <c r="L28" i="13"/>
  <c r="J28" i="13"/>
  <c r="H28" i="13"/>
  <c r="F28" i="13"/>
  <c r="E28" i="13"/>
  <c r="D28" i="13"/>
  <c r="M28" i="14"/>
  <c r="L28" i="14"/>
  <c r="H28" i="14"/>
  <c r="F28" i="14"/>
  <c r="Q28" i="15"/>
  <c r="P28" i="15"/>
  <c r="O28" i="15"/>
  <c r="N28" i="15"/>
  <c r="M28" i="15"/>
  <c r="J28" i="15"/>
  <c r="C35" i="98"/>
  <c r="E35" i="98" s="1"/>
  <c r="S28" i="102"/>
  <c r="Q28" i="102"/>
  <c r="P28" i="102"/>
  <c r="O28" i="102"/>
  <c r="N28" i="102"/>
  <c r="L28" i="102"/>
  <c r="K28" i="102"/>
  <c r="J28" i="102"/>
  <c r="I28" i="102"/>
  <c r="H28" i="102"/>
  <c r="G28" i="102"/>
  <c r="F28" i="102"/>
  <c r="E28" i="102"/>
  <c r="D28" i="102"/>
  <c r="C28" i="102"/>
  <c r="Q28" i="65"/>
  <c r="P28" i="65"/>
  <c r="O28" i="65"/>
  <c r="N28" i="65"/>
  <c r="M28" i="65"/>
  <c r="K28" i="65"/>
  <c r="J28" i="65"/>
  <c r="H28" i="65"/>
  <c r="G28" i="65"/>
  <c r="E28" i="65"/>
  <c r="D28" i="65"/>
  <c r="Q28" i="64"/>
  <c r="P28" i="64"/>
  <c r="N28" i="64"/>
  <c r="M28" i="64"/>
  <c r="L28" i="64"/>
  <c r="K28" i="64"/>
  <c r="H28" i="64"/>
  <c r="G28" i="64"/>
  <c r="F28" i="64"/>
  <c r="E28" i="64"/>
  <c r="K28" i="61"/>
  <c r="J28" i="61"/>
  <c r="I28" i="61"/>
  <c r="H28" i="61"/>
  <c r="G28" i="61"/>
  <c r="F28" i="61"/>
  <c r="E28" i="61"/>
  <c r="D28" i="61"/>
  <c r="C28" i="61"/>
  <c r="P28" i="105"/>
  <c r="O28" i="105"/>
  <c r="N28" i="105"/>
  <c r="M28" i="105"/>
  <c r="L28" i="105"/>
  <c r="K28" i="105"/>
  <c r="J28" i="105"/>
  <c r="H28" i="105"/>
  <c r="G28" i="105"/>
  <c r="F28" i="105"/>
  <c r="E28" i="105"/>
  <c r="D28" i="105"/>
  <c r="C28" i="105"/>
  <c r="P28" i="106"/>
  <c r="O28" i="106"/>
  <c r="N28" i="106"/>
  <c r="M28" i="106"/>
  <c r="L28" i="106"/>
  <c r="K28" i="106"/>
  <c r="J28" i="106"/>
  <c r="I28" i="106"/>
  <c r="H28" i="106"/>
  <c r="G28" i="106"/>
  <c r="F28" i="106"/>
  <c r="E28" i="106"/>
  <c r="C28" i="106"/>
  <c r="O28" i="17"/>
  <c r="L28" i="17"/>
  <c r="I28" i="17"/>
  <c r="H28" i="17"/>
  <c r="F28" i="17"/>
  <c r="D28" i="17"/>
  <c r="C28" i="17"/>
  <c r="O28" i="18"/>
  <c r="N28" i="18"/>
  <c r="L28" i="18"/>
  <c r="K28" i="18"/>
  <c r="J28" i="18"/>
  <c r="I28" i="18"/>
  <c r="H28" i="18"/>
  <c r="F28" i="18"/>
  <c r="D28" i="18"/>
  <c r="P28" i="73"/>
  <c r="M28" i="73"/>
  <c r="L28" i="73"/>
  <c r="I28" i="73"/>
  <c r="G28" i="73"/>
  <c r="F28" i="73"/>
  <c r="E28" i="73"/>
  <c r="P28" i="72"/>
  <c r="M28" i="72"/>
  <c r="L28" i="72"/>
  <c r="K28" i="72"/>
  <c r="H28" i="72"/>
  <c r="G28" i="72"/>
  <c r="E28" i="72"/>
  <c r="C28" i="72"/>
  <c r="N28" i="75"/>
  <c r="M28" i="75"/>
  <c r="L28" i="75"/>
  <c r="J28" i="75"/>
  <c r="I28" i="75"/>
  <c r="G28" i="75"/>
  <c r="F28" i="75"/>
  <c r="C28" i="75"/>
  <c r="N28" i="74"/>
  <c r="M28" i="74"/>
  <c r="L28" i="74"/>
  <c r="K28" i="74"/>
  <c r="J28" i="74"/>
  <c r="I28" i="74"/>
  <c r="G28" i="74"/>
  <c r="F28" i="74"/>
  <c r="E28" i="74"/>
  <c r="D28" i="74"/>
  <c r="C28" i="74"/>
  <c r="N28" i="78"/>
  <c r="M28" i="78"/>
  <c r="K28" i="78"/>
  <c r="I28" i="78"/>
  <c r="H28" i="78"/>
  <c r="G28" i="78"/>
  <c r="F28" i="78"/>
  <c r="P28" i="77"/>
  <c r="O28" i="77"/>
  <c r="N28" i="77"/>
  <c r="M28" i="77"/>
  <c r="L28" i="77"/>
  <c r="I28" i="77"/>
  <c r="H28" i="77"/>
  <c r="G28" i="77"/>
  <c r="F28" i="77"/>
  <c r="D28" i="77"/>
  <c r="C28" i="77"/>
  <c r="J36" i="5"/>
  <c r="J28" i="5" s="1"/>
  <c r="H36" i="5"/>
  <c r="H28" i="5" s="1"/>
  <c r="J36" i="6"/>
  <c r="C36" i="7"/>
  <c r="C28" i="7" s="1"/>
  <c r="K36" i="79"/>
  <c r="K28" i="79" s="1"/>
  <c r="N36" i="91"/>
  <c r="M36" i="91"/>
  <c r="J36" i="92"/>
  <c r="H36" i="4"/>
  <c r="H28" i="4" s="1"/>
  <c r="D34" i="98"/>
  <c r="D33" i="98"/>
  <c r="L42" i="101"/>
  <c r="M42" i="101" s="1"/>
  <c r="G42" i="101"/>
  <c r="H42" i="101" s="1"/>
  <c r="D31" i="94"/>
  <c r="C31" i="94"/>
  <c r="Q27" i="77"/>
  <c r="J27" i="78"/>
  <c r="L27" i="74"/>
  <c r="H27" i="74"/>
  <c r="O27" i="74"/>
  <c r="G43" i="97"/>
  <c r="I43" i="97" s="1"/>
  <c r="N43" i="97"/>
  <c r="F33" i="93"/>
  <c r="R35" i="83"/>
  <c r="G35" i="7"/>
  <c r="K35" i="5"/>
  <c r="J35" i="5"/>
  <c r="H35" i="5"/>
  <c r="J35" i="6"/>
  <c r="C35" i="7"/>
  <c r="K35" i="79"/>
  <c r="N35" i="91"/>
  <c r="M35" i="91"/>
  <c r="J35" i="92"/>
  <c r="H35" i="4"/>
  <c r="P35" i="4" s="1"/>
  <c r="J34" i="6"/>
  <c r="J33" i="6"/>
  <c r="J32" i="6"/>
  <c r="J31" i="6"/>
  <c r="J23" i="6"/>
  <c r="K23" i="6" s="1"/>
  <c r="J19" i="6"/>
  <c r="K19" i="6" s="1"/>
  <c r="J18" i="6"/>
  <c r="K18" i="6" s="1"/>
  <c r="J17" i="6"/>
  <c r="K17" i="6" s="1"/>
  <c r="J16" i="6"/>
  <c r="K16" i="6" s="1"/>
  <c r="J15" i="6"/>
  <c r="K15" i="6" s="1"/>
  <c r="J14" i="6"/>
  <c r="K14" i="6" s="1"/>
  <c r="J13" i="6"/>
  <c r="K13" i="6" s="1"/>
  <c r="N34" i="91"/>
  <c r="C27" i="10"/>
  <c r="G27" i="15"/>
  <c r="H27" i="15"/>
  <c r="I27" i="15"/>
  <c r="J27" i="15"/>
  <c r="C27" i="15"/>
  <c r="D27" i="15"/>
  <c r="C27" i="65"/>
  <c r="J27" i="14"/>
  <c r="L27" i="14"/>
  <c r="F27" i="14"/>
  <c r="H27" i="14"/>
  <c r="C27" i="13"/>
  <c r="I27" i="13"/>
  <c r="H33" i="91"/>
  <c r="N33" i="91" s="1"/>
  <c r="K34" i="5"/>
  <c r="R34" i="83"/>
  <c r="R33" i="83"/>
  <c r="F34" i="6"/>
  <c r="R34" i="17"/>
  <c r="J34" i="5"/>
  <c r="H34" i="5"/>
  <c r="C34" i="7"/>
  <c r="H27" i="10"/>
  <c r="F27" i="10"/>
  <c r="E27" i="10"/>
  <c r="I27" i="10"/>
  <c r="C27" i="11"/>
  <c r="D27" i="11"/>
  <c r="G27" i="11"/>
  <c r="H27" i="11"/>
  <c r="E27" i="12"/>
  <c r="K34" i="79"/>
  <c r="M34" i="91"/>
  <c r="J34" i="92"/>
  <c r="H34" i="4"/>
  <c r="P34" i="4" s="1"/>
  <c r="M27" i="78"/>
  <c r="K27" i="78"/>
  <c r="I27" i="78"/>
  <c r="E27" i="78"/>
  <c r="C27" i="78"/>
  <c r="C80" i="63"/>
  <c r="C81" i="63" s="1"/>
  <c r="D21" i="15"/>
  <c r="E21" i="15"/>
  <c r="F21" i="15"/>
  <c r="G21" i="15"/>
  <c r="H21" i="15"/>
  <c r="I21" i="15"/>
  <c r="J21" i="15"/>
  <c r="J21" i="11"/>
  <c r="G27" i="17"/>
  <c r="O21" i="75"/>
  <c r="L21" i="10"/>
  <c r="J33" i="5"/>
  <c r="J27" i="5" s="1"/>
  <c r="N27" i="73"/>
  <c r="K27" i="73"/>
  <c r="D27" i="73"/>
  <c r="C27" i="73"/>
  <c r="R27" i="80"/>
  <c r="C53" i="63"/>
  <c r="P27" i="80"/>
  <c r="O27" i="80"/>
  <c r="N27" i="80"/>
  <c r="M27" i="80"/>
  <c r="L27" i="80"/>
  <c r="K27" i="80"/>
  <c r="C54" i="63"/>
  <c r="I27" i="80"/>
  <c r="H27" i="80"/>
  <c r="G27" i="80"/>
  <c r="F27" i="80"/>
  <c r="D27" i="80"/>
  <c r="D27" i="12"/>
  <c r="K27" i="10"/>
  <c r="C27" i="18"/>
  <c r="F27" i="18"/>
  <c r="C27" i="17"/>
  <c r="M27" i="77"/>
  <c r="O27" i="77"/>
  <c r="K27" i="77"/>
  <c r="J27" i="77"/>
  <c r="Q27" i="78"/>
  <c r="P27" i="78"/>
  <c r="N27" i="74"/>
  <c r="I27" i="74"/>
  <c r="G27" i="74"/>
  <c r="F27" i="74"/>
  <c r="J27" i="75"/>
  <c r="C27" i="75"/>
  <c r="P27" i="73"/>
  <c r="H27" i="73"/>
  <c r="J27" i="73"/>
  <c r="N27" i="18"/>
  <c r="H27" i="17"/>
  <c r="I27" i="18"/>
  <c r="H27" i="72"/>
  <c r="M27" i="105"/>
  <c r="G27" i="105"/>
  <c r="H27" i="65"/>
  <c r="D27" i="65"/>
  <c r="K27" i="65"/>
  <c r="J27" i="65"/>
  <c r="S27" i="102"/>
  <c r="D27" i="102"/>
  <c r="K27" i="15"/>
  <c r="N27" i="14"/>
  <c r="C27" i="14"/>
  <c r="H27" i="12"/>
  <c r="M27" i="74"/>
  <c r="K27" i="74"/>
  <c r="J27" i="74"/>
  <c r="E27" i="74"/>
  <c r="D27" i="74"/>
  <c r="C27" i="74"/>
  <c r="O27" i="78"/>
  <c r="N27" i="78"/>
  <c r="H27" i="78"/>
  <c r="G27" i="78"/>
  <c r="D27" i="78"/>
  <c r="P27" i="77"/>
  <c r="L27" i="77"/>
  <c r="I27" i="77"/>
  <c r="H27" i="77"/>
  <c r="G27" i="77"/>
  <c r="F27" i="77"/>
  <c r="E27" i="77"/>
  <c r="D27" i="77"/>
  <c r="N27" i="75"/>
  <c r="M27" i="75"/>
  <c r="L27" i="75"/>
  <c r="K27" i="75"/>
  <c r="I27" i="75"/>
  <c r="H27" i="75"/>
  <c r="F27" i="75"/>
  <c r="E27" i="75"/>
  <c r="D27" i="75"/>
  <c r="O27" i="18"/>
  <c r="K27" i="18"/>
  <c r="J27" i="18"/>
  <c r="H27" i="18"/>
  <c r="E27" i="18"/>
  <c r="D27" i="18"/>
  <c r="Q27" i="73"/>
  <c r="O27" i="73"/>
  <c r="M27" i="73"/>
  <c r="L27" i="73"/>
  <c r="I27" i="73"/>
  <c r="G27" i="73"/>
  <c r="F27" i="73"/>
  <c r="E27" i="73"/>
  <c r="Q27" i="72"/>
  <c r="P27" i="72"/>
  <c r="O27" i="72"/>
  <c r="N27" i="72"/>
  <c r="M27" i="72"/>
  <c r="L27" i="72"/>
  <c r="K27" i="72"/>
  <c r="I27" i="72"/>
  <c r="G27" i="72"/>
  <c r="F27" i="72"/>
  <c r="E27" i="72"/>
  <c r="D27" i="72"/>
  <c r="C27" i="72"/>
  <c r="O27" i="17"/>
  <c r="L27" i="17"/>
  <c r="K27" i="17"/>
  <c r="J27" i="17"/>
  <c r="I27" i="17"/>
  <c r="E27" i="17"/>
  <c r="C27" i="80"/>
  <c r="P27" i="106"/>
  <c r="O27" i="106"/>
  <c r="M27" i="106"/>
  <c r="L27" i="106"/>
  <c r="K27" i="106"/>
  <c r="J27" i="106"/>
  <c r="I27" i="106"/>
  <c r="H27" i="106"/>
  <c r="G27" i="106"/>
  <c r="F27" i="106"/>
  <c r="E27" i="106"/>
  <c r="D27" i="106"/>
  <c r="C27" i="106"/>
  <c r="P27" i="105"/>
  <c r="O27" i="105"/>
  <c r="N27" i="105"/>
  <c r="L27" i="105"/>
  <c r="K27" i="105"/>
  <c r="J27" i="105"/>
  <c r="I27" i="105"/>
  <c r="H27" i="105"/>
  <c r="F27" i="105"/>
  <c r="E27" i="105"/>
  <c r="D27" i="105"/>
  <c r="Q27" i="64"/>
  <c r="P27" i="64"/>
  <c r="O27" i="64"/>
  <c r="N27" i="64"/>
  <c r="M27" i="64"/>
  <c r="L27" i="64"/>
  <c r="K27" i="64"/>
  <c r="J27" i="64"/>
  <c r="I27" i="64"/>
  <c r="H27" i="64"/>
  <c r="G27" i="64"/>
  <c r="F27" i="64"/>
  <c r="E27" i="64"/>
  <c r="D27" i="64"/>
  <c r="C27" i="64"/>
  <c r="K27" i="61"/>
  <c r="J27" i="61"/>
  <c r="I27" i="61"/>
  <c r="H27" i="61"/>
  <c r="G27" i="61"/>
  <c r="F27" i="61"/>
  <c r="E27" i="61"/>
  <c r="D27" i="61"/>
  <c r="C27" i="61"/>
  <c r="Q27" i="65"/>
  <c r="P27" i="65"/>
  <c r="O27" i="65"/>
  <c r="N27" i="65"/>
  <c r="M27" i="65"/>
  <c r="L27" i="65"/>
  <c r="I27" i="65"/>
  <c r="G27" i="65"/>
  <c r="F27" i="65"/>
  <c r="E27" i="65"/>
  <c r="L27" i="11"/>
  <c r="K27" i="11"/>
  <c r="E27" i="11"/>
  <c r="G27" i="12"/>
  <c r="F27" i="12"/>
  <c r="C27" i="12"/>
  <c r="N27" i="13"/>
  <c r="M27" i="13"/>
  <c r="L27" i="13"/>
  <c r="K27" i="13"/>
  <c r="J27" i="13"/>
  <c r="H27" i="13"/>
  <c r="G27" i="13"/>
  <c r="F27" i="13"/>
  <c r="E27" i="13"/>
  <c r="D27" i="13"/>
  <c r="M27" i="14"/>
  <c r="K27" i="14"/>
  <c r="I27" i="14"/>
  <c r="G27" i="14"/>
  <c r="E27" i="14"/>
  <c r="Q27" i="15"/>
  <c r="P27" i="15"/>
  <c r="O27" i="15"/>
  <c r="N27" i="15"/>
  <c r="M27" i="15"/>
  <c r="L27" i="15"/>
  <c r="T27" i="102"/>
  <c r="R27" i="102"/>
  <c r="Q27" i="102"/>
  <c r="P27" i="102"/>
  <c r="O27" i="102"/>
  <c r="N27" i="102"/>
  <c r="M27" i="102"/>
  <c r="L27" i="102"/>
  <c r="K27" i="102"/>
  <c r="J27" i="102"/>
  <c r="I27" i="102"/>
  <c r="H27" i="102"/>
  <c r="G27" i="102"/>
  <c r="F27" i="102"/>
  <c r="E27" i="102"/>
  <c r="C27" i="102"/>
  <c r="M27" i="10"/>
  <c r="C27" i="77"/>
  <c r="R32" i="83"/>
  <c r="C103" i="63"/>
  <c r="C102" i="63"/>
  <c r="K33" i="79"/>
  <c r="C100" i="63" s="1"/>
  <c r="C99" i="63"/>
  <c r="C98" i="63"/>
  <c r="C97" i="63"/>
  <c r="C85" i="63"/>
  <c r="C84" i="63"/>
  <c r="C83" i="63"/>
  <c r="C82" i="63"/>
  <c r="H33" i="4"/>
  <c r="P33" i="4" s="1"/>
  <c r="I27" i="5"/>
  <c r="G27" i="5"/>
  <c r="F27" i="5"/>
  <c r="E27" i="5"/>
  <c r="D27" i="5"/>
  <c r="C27" i="5"/>
  <c r="L27" i="79"/>
  <c r="J27" i="79"/>
  <c r="I27" i="79"/>
  <c r="H27" i="79"/>
  <c r="G27" i="79"/>
  <c r="F27" i="79"/>
  <c r="E27" i="79"/>
  <c r="D27" i="79"/>
  <c r="C27" i="79"/>
  <c r="O27" i="4"/>
  <c r="N27" i="4"/>
  <c r="M27" i="4"/>
  <c r="L27" i="4"/>
  <c r="K27" i="4"/>
  <c r="J27" i="6" s="1"/>
  <c r="J27" i="4"/>
  <c r="I27" i="4"/>
  <c r="G27" i="4"/>
  <c r="F27" i="4"/>
  <c r="E27" i="4"/>
  <c r="D27" i="4"/>
  <c r="C27" i="4"/>
  <c r="H33" i="5"/>
  <c r="H27" i="5" s="1"/>
  <c r="C33" i="7"/>
  <c r="M33" i="91"/>
  <c r="J33" i="92"/>
  <c r="N42" i="97"/>
  <c r="G42" i="97"/>
  <c r="I42" i="97" s="1"/>
  <c r="L32" i="91"/>
  <c r="N32" i="91" s="1"/>
  <c r="D27" i="94"/>
  <c r="C27" i="94"/>
  <c r="L41" i="101"/>
  <c r="M41" i="101" s="1"/>
  <c r="G41" i="101"/>
  <c r="H41" i="101" s="1"/>
  <c r="G32" i="7"/>
  <c r="K32" i="5"/>
  <c r="J32" i="5"/>
  <c r="H32" i="5"/>
  <c r="C32" i="7"/>
  <c r="K32" i="79"/>
  <c r="J32" i="92"/>
  <c r="H32" i="4"/>
  <c r="P32" i="4" s="1"/>
  <c r="F31" i="6"/>
  <c r="F31" i="9"/>
  <c r="G31" i="7"/>
  <c r="K31" i="5"/>
  <c r="J31" i="5"/>
  <c r="H31" i="5"/>
  <c r="C31" i="7"/>
  <c r="K31" i="79"/>
  <c r="L31" i="91"/>
  <c r="N31" i="91" s="1"/>
  <c r="J31" i="92"/>
  <c r="H31" i="4"/>
  <c r="P31" i="4" s="1"/>
  <c r="D23" i="94"/>
  <c r="C23" i="94"/>
  <c r="E23" i="94" s="1"/>
  <c r="M40" i="101"/>
  <c r="H40" i="101"/>
  <c r="D32" i="98"/>
  <c r="E32" i="98" s="1"/>
  <c r="L41" i="97"/>
  <c r="N41" i="97" s="1"/>
  <c r="G41" i="97"/>
  <c r="I41" i="97" s="1"/>
  <c r="M21" i="77"/>
  <c r="Q21" i="78"/>
  <c r="D21" i="78"/>
  <c r="K21" i="78"/>
  <c r="C21" i="78"/>
  <c r="K21" i="74"/>
  <c r="G21" i="74"/>
  <c r="H21" i="75"/>
  <c r="N21" i="72"/>
  <c r="I21" i="72"/>
  <c r="E21" i="73"/>
  <c r="J21" i="17"/>
  <c r="E21" i="17"/>
  <c r="E21" i="105"/>
  <c r="D21" i="64"/>
  <c r="L21" i="65"/>
  <c r="K21" i="65"/>
  <c r="C21" i="65"/>
  <c r="T21" i="102"/>
  <c r="N21" i="102"/>
  <c r="Q21" i="102"/>
  <c r="P21" i="102"/>
  <c r="M21" i="102"/>
  <c r="I21" i="14"/>
  <c r="D21" i="14"/>
  <c r="H21" i="14"/>
  <c r="C21" i="12"/>
  <c r="L21" i="91"/>
  <c r="N21" i="77"/>
  <c r="I21" i="77"/>
  <c r="I21" i="78"/>
  <c r="H21" i="78"/>
  <c r="G21" i="78"/>
  <c r="F21" i="78"/>
  <c r="H21" i="74"/>
  <c r="K21" i="72"/>
  <c r="J21" i="73"/>
  <c r="N21" i="18"/>
  <c r="K21" i="17"/>
  <c r="O21" i="105"/>
  <c r="K21" i="64"/>
  <c r="I21" i="64"/>
  <c r="I21" i="65"/>
  <c r="F21" i="65"/>
  <c r="H21" i="102"/>
  <c r="M21" i="13"/>
  <c r="I21" i="13"/>
  <c r="E21" i="13"/>
  <c r="D21" i="13"/>
  <c r="I21" i="10"/>
  <c r="G21" i="10"/>
  <c r="E21" i="10"/>
  <c r="G20" i="84"/>
  <c r="I20" i="84"/>
  <c r="H20" i="84"/>
  <c r="D20" i="84"/>
  <c r="R21" i="80"/>
  <c r="P21" i="80"/>
  <c r="O21" i="80"/>
  <c r="N21" i="80"/>
  <c r="M21" i="80"/>
  <c r="L21" i="80"/>
  <c r="K21" i="80"/>
  <c r="I21" i="80"/>
  <c r="H21" i="80"/>
  <c r="G21" i="80"/>
  <c r="F21" i="80"/>
  <c r="D21" i="80"/>
  <c r="C21" i="80"/>
  <c r="M21" i="10"/>
  <c r="K21" i="10"/>
  <c r="H21" i="10"/>
  <c r="F21" i="10"/>
  <c r="L21" i="11"/>
  <c r="H21" i="11"/>
  <c r="F21" i="11"/>
  <c r="E21" i="11"/>
  <c r="C21" i="11"/>
  <c r="F21" i="12"/>
  <c r="E21" i="12"/>
  <c r="L21" i="13"/>
  <c r="J21" i="13"/>
  <c r="H21" i="13"/>
  <c r="F21" i="13"/>
  <c r="C21" i="13"/>
  <c r="M21" i="14"/>
  <c r="L21" i="14"/>
  <c r="K21" i="14"/>
  <c r="J21" i="14"/>
  <c r="G21" i="14"/>
  <c r="F21" i="14"/>
  <c r="E21" i="14"/>
  <c r="Q21" i="15"/>
  <c r="P21" i="15"/>
  <c r="O21" i="15"/>
  <c r="N21" i="15"/>
  <c r="M21" i="15"/>
  <c r="S21" i="102"/>
  <c r="R21" i="102"/>
  <c r="O21" i="102"/>
  <c r="K21" i="102"/>
  <c r="J21" i="102"/>
  <c r="I21" i="102"/>
  <c r="F21" i="102"/>
  <c r="E21" i="102"/>
  <c r="D21" i="102"/>
  <c r="C21" i="102"/>
  <c r="Q21" i="65"/>
  <c r="P21" i="65"/>
  <c r="M21" i="65"/>
  <c r="J21" i="65"/>
  <c r="H21" i="65"/>
  <c r="G21" i="65"/>
  <c r="D21" i="65"/>
  <c r="Q21" i="64"/>
  <c r="P21" i="64"/>
  <c r="O21" i="64"/>
  <c r="N21" i="64"/>
  <c r="M21" i="64"/>
  <c r="L21" i="64"/>
  <c r="H21" i="64"/>
  <c r="G21" i="64"/>
  <c r="F21" i="64"/>
  <c r="E21" i="64"/>
  <c r="K21" i="61"/>
  <c r="J21" i="61"/>
  <c r="I21" i="61"/>
  <c r="H21" i="61"/>
  <c r="G21" i="61"/>
  <c r="E21" i="61"/>
  <c r="D21" i="61"/>
  <c r="C21" i="61"/>
  <c r="P21" i="105"/>
  <c r="M21" i="105"/>
  <c r="L21" i="105"/>
  <c r="J21" i="105"/>
  <c r="H21" i="105"/>
  <c r="F21" i="105"/>
  <c r="D21" i="105"/>
  <c r="C21" i="105"/>
  <c r="P21" i="106"/>
  <c r="N21" i="106"/>
  <c r="M21" i="106"/>
  <c r="L21" i="106"/>
  <c r="K21" i="106"/>
  <c r="J21" i="106"/>
  <c r="H21" i="106"/>
  <c r="G21" i="106"/>
  <c r="F21" i="106"/>
  <c r="E21" i="106"/>
  <c r="D21" i="106"/>
  <c r="O21" i="17"/>
  <c r="N21" i="17"/>
  <c r="L21" i="17"/>
  <c r="I21" i="17"/>
  <c r="H21" i="17"/>
  <c r="O21" i="18"/>
  <c r="L21" i="18"/>
  <c r="J21" i="18"/>
  <c r="I21" i="18"/>
  <c r="H21" i="18"/>
  <c r="F21" i="18"/>
  <c r="C21" i="18"/>
  <c r="Q21" i="73"/>
  <c r="N21" i="73"/>
  <c r="L21" i="73"/>
  <c r="I21" i="73"/>
  <c r="G21" i="73"/>
  <c r="D21" i="73"/>
  <c r="C21" i="73"/>
  <c r="Q21" i="72"/>
  <c r="P21" i="72"/>
  <c r="O21" i="72"/>
  <c r="L21" i="72"/>
  <c r="F21" i="72"/>
  <c r="E21" i="72"/>
  <c r="D21" i="72"/>
  <c r="C21" i="72"/>
  <c r="M21" i="75"/>
  <c r="L21" i="75"/>
  <c r="K21" i="75"/>
  <c r="J21" i="75"/>
  <c r="F21" i="75"/>
  <c r="O21" i="74"/>
  <c r="M21" i="74"/>
  <c r="L21" i="74"/>
  <c r="I21" i="74"/>
  <c r="F21" i="74"/>
  <c r="C21" i="74"/>
  <c r="N21" i="78"/>
  <c r="L21" i="78"/>
  <c r="E21" i="78"/>
  <c r="Q21" i="77"/>
  <c r="K21" i="77"/>
  <c r="J21" i="77"/>
  <c r="H21" i="77"/>
  <c r="G21" i="77"/>
  <c r="F21" i="77"/>
  <c r="E21" i="77"/>
  <c r="D21" i="77"/>
  <c r="G21" i="5"/>
  <c r="F21" i="5"/>
  <c r="E21" i="5"/>
  <c r="D21" i="5"/>
  <c r="C21" i="5"/>
  <c r="L21" i="79"/>
  <c r="J21" i="79"/>
  <c r="I21" i="79"/>
  <c r="H21" i="79"/>
  <c r="G21" i="79"/>
  <c r="F21" i="79"/>
  <c r="E21" i="79"/>
  <c r="D21" i="79"/>
  <c r="C21" i="79"/>
  <c r="O21" i="4"/>
  <c r="N21" i="4"/>
  <c r="M21" i="4"/>
  <c r="L21" i="4"/>
  <c r="J21" i="4"/>
  <c r="I21" i="4"/>
  <c r="G21" i="4"/>
  <c r="F21" i="4"/>
  <c r="E21" i="4"/>
  <c r="D21" i="4"/>
  <c r="C21" i="4"/>
  <c r="P21" i="75"/>
  <c r="P21" i="74"/>
  <c r="J21" i="5"/>
  <c r="D19" i="94"/>
  <c r="C19" i="94"/>
  <c r="E18" i="94"/>
  <c r="E17" i="94"/>
  <c r="E16" i="94"/>
  <c r="G40" i="97"/>
  <c r="I40" i="97" s="1"/>
  <c r="N40" i="97"/>
  <c r="E21" i="74"/>
  <c r="D31" i="98"/>
  <c r="E31" i="98" s="1"/>
  <c r="O21" i="77"/>
  <c r="O21" i="78"/>
  <c r="H21" i="72"/>
  <c r="K21" i="105"/>
  <c r="G21" i="102"/>
  <c r="O21" i="65"/>
  <c r="F21" i="61"/>
  <c r="D21" i="18"/>
  <c r="P21" i="73"/>
  <c r="O21" i="73"/>
  <c r="K21" i="73"/>
  <c r="F21" i="73"/>
  <c r="G21" i="75"/>
  <c r="C21" i="75"/>
  <c r="J21" i="74"/>
  <c r="D21" i="74"/>
  <c r="P21" i="78"/>
  <c r="L21" i="77"/>
  <c r="H21" i="5"/>
  <c r="M21" i="78"/>
  <c r="G39" i="97"/>
  <c r="I39" i="97" s="1"/>
  <c r="N39" i="97"/>
  <c r="D15" i="94"/>
  <c r="C15" i="94"/>
  <c r="E15" i="94" s="1"/>
  <c r="H23" i="107"/>
  <c r="F23" i="107"/>
  <c r="H19" i="107"/>
  <c r="F19" i="107"/>
  <c r="H18" i="107"/>
  <c r="F18" i="107"/>
  <c r="H17" i="107"/>
  <c r="F17" i="107"/>
  <c r="H16" i="107"/>
  <c r="F16" i="107"/>
  <c r="H15" i="107"/>
  <c r="F15" i="107"/>
  <c r="M38" i="101"/>
  <c r="H38" i="101"/>
  <c r="O38" i="101" s="1"/>
  <c r="D30" i="98"/>
  <c r="E30" i="98" s="1"/>
  <c r="L23" i="91"/>
  <c r="P23" i="14"/>
  <c r="R23" i="18"/>
  <c r="S23" i="106"/>
  <c r="R23" i="75"/>
  <c r="R23" i="17"/>
  <c r="R23" i="105"/>
  <c r="S23" i="64"/>
  <c r="R23" i="106"/>
  <c r="Q23" i="105"/>
  <c r="Q23" i="75"/>
  <c r="S23" i="75"/>
  <c r="P23" i="18"/>
  <c r="Q23" i="18"/>
  <c r="Q23" i="17"/>
  <c r="S23" i="105"/>
  <c r="V23" i="102"/>
  <c r="R23" i="74"/>
  <c r="Q23" i="106"/>
  <c r="R23" i="64"/>
  <c r="S23" i="77"/>
  <c r="R23" i="77"/>
  <c r="S23" i="78"/>
  <c r="R23" i="78"/>
  <c r="S23" i="74"/>
  <c r="Q23" i="74"/>
  <c r="S23" i="72"/>
  <c r="R23" i="72"/>
  <c r="S23" i="73"/>
  <c r="R23" i="73"/>
  <c r="P23" i="17"/>
  <c r="L23" i="12"/>
  <c r="K23" i="12"/>
  <c r="O23" i="13"/>
  <c r="P23" i="13"/>
  <c r="M23" i="5"/>
  <c r="P23" i="4"/>
  <c r="L37" i="101"/>
  <c r="M37" i="101" s="1"/>
  <c r="G37" i="101"/>
  <c r="H37" i="101" s="1"/>
  <c r="O37" i="101" s="1"/>
  <c r="N23" i="11"/>
  <c r="O23" i="10"/>
  <c r="M23" i="11"/>
  <c r="N23" i="10"/>
  <c r="S23" i="65"/>
  <c r="R23" i="65"/>
  <c r="D11" i="94"/>
  <c r="C11" i="94"/>
  <c r="E11" i="94" s="1"/>
  <c r="G38" i="97"/>
  <c r="I38" i="97" s="1"/>
  <c r="N38" i="97"/>
  <c r="D29" i="98"/>
  <c r="F28" i="93"/>
  <c r="G37" i="97"/>
  <c r="I37" i="97" s="1"/>
  <c r="N37" i="97"/>
  <c r="D28" i="98"/>
  <c r="G19" i="84"/>
  <c r="I19" i="84"/>
  <c r="H19" i="84"/>
  <c r="D19" i="84"/>
  <c r="S16" i="105"/>
  <c r="S16" i="106"/>
  <c r="S18" i="106"/>
  <c r="S18" i="105"/>
  <c r="S17" i="105"/>
  <c r="S19" i="105"/>
  <c r="S17" i="106"/>
  <c r="Q19" i="105"/>
  <c r="Q16" i="105"/>
  <c r="R17" i="105"/>
  <c r="Q18" i="105"/>
  <c r="R19" i="105"/>
  <c r="R16" i="106"/>
  <c r="R18" i="106"/>
  <c r="Q17" i="105"/>
  <c r="Q17" i="106"/>
  <c r="R16" i="105"/>
  <c r="R18" i="105"/>
  <c r="Q16" i="106"/>
  <c r="R17" i="106"/>
  <c r="Q18" i="106"/>
  <c r="R19" i="106"/>
  <c r="Q19" i="106"/>
  <c r="S19" i="106"/>
  <c r="F17" i="93"/>
  <c r="F27" i="93"/>
  <c r="D35" i="94"/>
  <c r="C35" i="94"/>
  <c r="G36" i="97"/>
  <c r="I36" i="97" s="1"/>
  <c r="N36" i="97"/>
  <c r="D27" i="98"/>
  <c r="D26" i="98"/>
  <c r="D25" i="98"/>
  <c r="D24" i="98"/>
  <c r="D23" i="98"/>
  <c r="D22" i="98"/>
  <c r="D21" i="98"/>
  <c r="D20" i="98"/>
  <c r="D19" i="98"/>
  <c r="D18" i="98"/>
  <c r="D17" i="98"/>
  <c r="D16" i="98"/>
  <c r="D15" i="98"/>
  <c r="D14" i="98"/>
  <c r="D13" i="98"/>
  <c r="D12" i="98"/>
  <c r="D11" i="98"/>
  <c r="D10" i="98"/>
  <c r="D9" i="98"/>
  <c r="K18" i="15"/>
  <c r="K16" i="15"/>
  <c r="L15" i="15"/>
  <c r="K14" i="15"/>
  <c r="L13" i="15"/>
  <c r="L18" i="15"/>
  <c r="L17" i="15"/>
  <c r="K17" i="15"/>
  <c r="L16" i="15"/>
  <c r="K15" i="15"/>
  <c r="L14" i="15"/>
  <c r="K13" i="15"/>
  <c r="N35" i="97"/>
  <c r="G35" i="97"/>
  <c r="I35" i="97" s="1"/>
  <c r="Q35" i="97" s="1"/>
  <c r="O34" i="101"/>
  <c r="V18" i="102"/>
  <c r="V13" i="102"/>
  <c r="V17" i="102"/>
  <c r="V14" i="102"/>
  <c r="V16" i="102"/>
  <c r="V15" i="102"/>
  <c r="L33" i="101"/>
  <c r="M33" i="101" s="1"/>
  <c r="H33" i="101"/>
  <c r="N34" i="97"/>
  <c r="G34" i="97"/>
  <c r="I34" i="97" s="1"/>
  <c r="Q34" i="97" s="1"/>
  <c r="H10" i="95"/>
  <c r="F22" i="93"/>
  <c r="F21" i="93"/>
  <c r="L19" i="91"/>
  <c r="L14" i="91"/>
  <c r="I18" i="84"/>
  <c r="H18" i="84"/>
  <c r="G18" i="84"/>
  <c r="D18" i="84"/>
  <c r="I17" i="84"/>
  <c r="H17" i="84"/>
  <c r="G17" i="84"/>
  <c r="D17" i="84"/>
  <c r="I16" i="84"/>
  <c r="H16" i="84"/>
  <c r="G16" i="84"/>
  <c r="D16" i="84"/>
  <c r="I15" i="84"/>
  <c r="H15" i="84"/>
  <c r="G15" i="84"/>
  <c r="D15" i="84"/>
  <c r="I14" i="84"/>
  <c r="H14" i="84"/>
  <c r="G14" i="84"/>
  <c r="D14" i="84"/>
  <c r="I13" i="84"/>
  <c r="H13" i="84"/>
  <c r="G13" i="84"/>
  <c r="D13" i="84"/>
  <c r="I12" i="84"/>
  <c r="H12" i="84"/>
  <c r="G12" i="84"/>
  <c r="D12" i="84"/>
  <c r="I11" i="84"/>
  <c r="H11" i="84"/>
  <c r="G11" i="84"/>
  <c r="D11" i="84"/>
  <c r="I10" i="84"/>
  <c r="H10" i="84"/>
  <c r="G10" i="84"/>
  <c r="D10" i="84"/>
  <c r="I9" i="84"/>
  <c r="H9" i="84"/>
  <c r="G9" i="84"/>
  <c r="D9" i="84"/>
  <c r="N33" i="97"/>
  <c r="G33" i="97"/>
  <c r="I33" i="97" s="1"/>
  <c r="N32" i="97"/>
  <c r="G32" i="97"/>
  <c r="I32" i="97" s="1"/>
  <c r="N31" i="97"/>
  <c r="G31" i="97"/>
  <c r="I31" i="97" s="1"/>
  <c r="Q31" i="97" s="1"/>
  <c r="N30" i="97"/>
  <c r="G30" i="97"/>
  <c r="I30" i="97" s="1"/>
  <c r="N29" i="97"/>
  <c r="G29" i="97"/>
  <c r="I29" i="97" s="1"/>
  <c r="Q29" i="97" s="1"/>
  <c r="N28" i="97"/>
  <c r="G28" i="97"/>
  <c r="I28" i="97" s="1"/>
  <c r="N27" i="97"/>
  <c r="G27" i="97"/>
  <c r="I27" i="97" s="1"/>
  <c r="Q27" i="97" s="1"/>
  <c r="N26" i="97"/>
  <c r="G26" i="97"/>
  <c r="I26" i="97" s="1"/>
  <c r="N24" i="97"/>
  <c r="G24" i="97"/>
  <c r="I24" i="97" s="1"/>
  <c r="N23" i="97"/>
  <c r="G23" i="97"/>
  <c r="I23" i="97" s="1"/>
  <c r="N22" i="97"/>
  <c r="G22" i="97"/>
  <c r="I22" i="97"/>
  <c r="Q22" i="97" s="1"/>
  <c r="N21" i="97"/>
  <c r="G21" i="97"/>
  <c r="I21" i="97" s="1"/>
  <c r="N20" i="97"/>
  <c r="G20" i="97"/>
  <c r="I20" i="97" s="1"/>
  <c r="Q20" i="97" s="1"/>
  <c r="N19" i="97"/>
  <c r="G19" i="97"/>
  <c r="I19" i="97"/>
  <c r="N18" i="97"/>
  <c r="G18" i="97"/>
  <c r="I18" i="97" s="1"/>
  <c r="N17" i="97"/>
  <c r="G17" i="97"/>
  <c r="I17" i="97" s="1"/>
  <c r="Q17" i="97" s="1"/>
  <c r="N16" i="97"/>
  <c r="G16" i="97"/>
  <c r="I16" i="97" s="1"/>
  <c r="N15" i="97"/>
  <c r="G15" i="97"/>
  <c r="I15" i="97" s="1"/>
  <c r="Q15" i="97" s="1"/>
  <c r="N14" i="97"/>
  <c r="G14" i="97"/>
  <c r="I14" i="97" s="1"/>
  <c r="N13" i="97"/>
  <c r="G13" i="97"/>
  <c r="I13" i="97" s="1"/>
  <c r="Q13" i="97" s="1"/>
  <c r="N12" i="97"/>
  <c r="G12" i="97"/>
  <c r="I12" i="97" s="1"/>
  <c r="Q12" i="97" s="1"/>
  <c r="N11" i="97"/>
  <c r="G11" i="97"/>
  <c r="I11" i="97" s="1"/>
  <c r="L32" i="101"/>
  <c r="M32" i="101" s="1"/>
  <c r="H32" i="101"/>
  <c r="L31" i="101"/>
  <c r="M31" i="101" s="1"/>
  <c r="H31" i="101"/>
  <c r="L30" i="101"/>
  <c r="M30" i="101" s="1"/>
  <c r="G30" i="101"/>
  <c r="H30" i="101" s="1"/>
  <c r="L29" i="101"/>
  <c r="M29" i="101" s="1"/>
  <c r="G29" i="101"/>
  <c r="H29" i="101" s="1"/>
  <c r="L28" i="101"/>
  <c r="M28" i="101" s="1"/>
  <c r="G28" i="101"/>
  <c r="H28" i="101" s="1"/>
  <c r="L27" i="101"/>
  <c r="M27" i="101" s="1"/>
  <c r="G27" i="101"/>
  <c r="H27" i="101" s="1"/>
  <c r="L26" i="101"/>
  <c r="M26" i="101" s="1"/>
  <c r="G26" i="101"/>
  <c r="H26" i="101" s="1"/>
  <c r="L25" i="101"/>
  <c r="M25" i="101" s="1"/>
  <c r="G25" i="101"/>
  <c r="H25" i="101" s="1"/>
  <c r="L24" i="101"/>
  <c r="M24" i="101" s="1"/>
  <c r="G24" i="101"/>
  <c r="H24" i="101" s="1"/>
  <c r="L23" i="101"/>
  <c r="M23" i="101" s="1"/>
  <c r="G23" i="101"/>
  <c r="H23" i="101" s="1"/>
  <c r="L22" i="101"/>
  <c r="M22" i="101" s="1"/>
  <c r="G22" i="101"/>
  <c r="H22" i="101" s="1"/>
  <c r="L21" i="101"/>
  <c r="M21" i="101" s="1"/>
  <c r="G21" i="101"/>
  <c r="H21" i="101" s="1"/>
  <c r="L20" i="101"/>
  <c r="M20" i="101" s="1"/>
  <c r="G20" i="101"/>
  <c r="H20" i="101" s="1"/>
  <c r="L19" i="101"/>
  <c r="M19" i="101" s="1"/>
  <c r="G19" i="101"/>
  <c r="H19" i="101" s="1"/>
  <c r="L18" i="101"/>
  <c r="M18" i="101" s="1"/>
  <c r="G18" i="101"/>
  <c r="H18" i="101" s="1"/>
  <c r="L17" i="101"/>
  <c r="M17" i="101" s="1"/>
  <c r="G17" i="101"/>
  <c r="H17" i="101" s="1"/>
  <c r="L16" i="101"/>
  <c r="M16" i="101" s="1"/>
  <c r="G16" i="101"/>
  <c r="H16" i="101" s="1"/>
  <c r="L15" i="101"/>
  <c r="M15" i="101" s="1"/>
  <c r="G15" i="101"/>
  <c r="H15" i="101" s="1"/>
  <c r="L14" i="101"/>
  <c r="M14" i="101" s="1"/>
  <c r="G14" i="101"/>
  <c r="H14" i="101" s="1"/>
  <c r="L13" i="101"/>
  <c r="M13" i="101" s="1"/>
  <c r="G13" i="101"/>
  <c r="H13" i="101" s="1"/>
  <c r="L12" i="101"/>
  <c r="M12" i="101" s="1"/>
  <c r="G12" i="101"/>
  <c r="H12" i="101" s="1"/>
  <c r="L11" i="101"/>
  <c r="M11" i="101" s="1"/>
  <c r="G11" i="101"/>
  <c r="H11" i="101" s="1"/>
  <c r="S13" i="77"/>
  <c r="R13" i="77"/>
  <c r="S13" i="78"/>
  <c r="R13" i="78"/>
  <c r="S13" i="74"/>
  <c r="R13" i="74"/>
  <c r="Q13" i="74"/>
  <c r="S13" i="75"/>
  <c r="R13" i="75"/>
  <c r="Q13" i="75"/>
  <c r="S13" i="72"/>
  <c r="R13" i="72"/>
  <c r="S13" i="73"/>
  <c r="R13" i="73"/>
  <c r="R13" i="18"/>
  <c r="Q13" i="18"/>
  <c r="P13" i="18"/>
  <c r="R13" i="17"/>
  <c r="Q13" i="17"/>
  <c r="P13" i="17"/>
  <c r="S13" i="64"/>
  <c r="R13" i="64"/>
  <c r="S13" i="65"/>
  <c r="R13" i="65"/>
  <c r="E23" i="98"/>
  <c r="A50" i="14"/>
  <c r="A49" i="14"/>
  <c r="P15" i="14"/>
  <c r="O15" i="14"/>
  <c r="P14" i="14"/>
  <c r="O14" i="14"/>
  <c r="P13" i="14"/>
  <c r="O13" i="14"/>
  <c r="A51" i="13"/>
  <c r="A50" i="13"/>
  <c r="P15" i="13"/>
  <c r="O15" i="13"/>
  <c r="P13" i="13"/>
  <c r="O13" i="13"/>
  <c r="C54" i="12"/>
  <c r="A53" i="12"/>
  <c r="L13" i="12"/>
  <c r="K13" i="12"/>
  <c r="A53" i="11"/>
  <c r="A52" i="11"/>
  <c r="N15" i="11"/>
  <c r="M15" i="11"/>
  <c r="N13" i="11"/>
  <c r="M13" i="11"/>
  <c r="A51" i="10"/>
  <c r="A50" i="10"/>
  <c r="O15" i="10"/>
  <c r="N15" i="10"/>
  <c r="O14" i="10"/>
  <c r="N14" i="10"/>
  <c r="O13" i="10"/>
  <c r="N13" i="10"/>
  <c r="S13" i="9"/>
  <c r="R13" i="9"/>
  <c r="Q13" i="9"/>
  <c r="P13" i="9"/>
  <c r="H11" i="95"/>
  <c r="G11" i="95"/>
  <c r="F11" i="95"/>
  <c r="E11" i="95"/>
  <c r="D11" i="95"/>
  <c r="C11" i="95"/>
  <c r="B11" i="95"/>
  <c r="M15" i="5"/>
  <c r="M13" i="5"/>
  <c r="P13" i="4"/>
  <c r="C38" i="63"/>
  <c r="C39" i="63" s="1"/>
  <c r="H21" i="4"/>
  <c r="C34" i="98"/>
  <c r="E34" i="98" s="1"/>
  <c r="Q21" i="80"/>
  <c r="E21" i="80"/>
  <c r="K21" i="79"/>
  <c r="C21" i="10"/>
  <c r="H21" i="9"/>
  <c r="N21" i="75"/>
  <c r="E19" i="94"/>
  <c r="G21" i="18"/>
  <c r="F21" i="17"/>
  <c r="F21" i="9"/>
  <c r="M21" i="18"/>
  <c r="F21" i="6"/>
  <c r="C21" i="15"/>
  <c r="U21" i="102"/>
  <c r="E21" i="6"/>
  <c r="I21" i="75"/>
  <c r="D21" i="12"/>
  <c r="P21" i="77"/>
  <c r="E21" i="9"/>
  <c r="O23" i="14"/>
  <c r="I21" i="5"/>
  <c r="N21" i="105"/>
  <c r="G21" i="12"/>
  <c r="M21" i="72"/>
  <c r="C21" i="17"/>
  <c r="L21" i="102"/>
  <c r="K21" i="5"/>
  <c r="C21" i="7"/>
  <c r="E21" i="8" s="1"/>
  <c r="I21" i="12"/>
  <c r="J21" i="12"/>
  <c r="K21" i="13"/>
  <c r="E21" i="75"/>
  <c r="I21" i="105"/>
  <c r="J27" i="80"/>
  <c r="G34" i="7"/>
  <c r="J21" i="9"/>
  <c r="M21" i="9"/>
  <c r="G21" i="17"/>
  <c r="G21" i="105"/>
  <c r="K21" i="18"/>
  <c r="D21" i="75"/>
  <c r="G21" i="72"/>
  <c r="M21" i="73"/>
  <c r="C21" i="106"/>
  <c r="I21" i="106"/>
  <c r="J21" i="72"/>
  <c r="E21" i="65"/>
  <c r="D21" i="17"/>
  <c r="D21" i="9"/>
  <c r="L21" i="9"/>
  <c r="C21" i="14"/>
  <c r="G21" i="13"/>
  <c r="H21" i="12"/>
  <c r="K21" i="11"/>
  <c r="J21" i="78"/>
  <c r="D21" i="11"/>
  <c r="K21" i="4"/>
  <c r="J21" i="6" s="1"/>
  <c r="K21" i="9"/>
  <c r="G21" i="11"/>
  <c r="J21" i="80"/>
  <c r="F27" i="15"/>
  <c r="C21" i="63"/>
  <c r="C22" i="63" s="1"/>
  <c r="L27" i="10"/>
  <c r="M27" i="18"/>
  <c r="D21" i="6"/>
  <c r="G21" i="9"/>
  <c r="J21" i="10"/>
  <c r="G21" i="7"/>
  <c r="I21" i="8" s="1"/>
  <c r="H21" i="73"/>
  <c r="L21" i="5"/>
  <c r="J21" i="64"/>
  <c r="O21" i="9"/>
  <c r="C21" i="77"/>
  <c r="M21" i="17"/>
  <c r="I21" i="11"/>
  <c r="D21" i="10"/>
  <c r="N21" i="14"/>
  <c r="E21" i="18"/>
  <c r="O21" i="106"/>
  <c r="N21" i="13"/>
  <c r="C21" i="9"/>
  <c r="N21" i="74"/>
  <c r="C21" i="64"/>
  <c r="N21" i="65"/>
  <c r="I21" i="9"/>
  <c r="N21" i="9"/>
  <c r="D21" i="7"/>
  <c r="F21" i="8" s="1"/>
  <c r="I21" i="7"/>
  <c r="K21" i="8" s="1"/>
  <c r="G21" i="6"/>
  <c r="E21" i="7"/>
  <c r="G21" i="8" s="1"/>
  <c r="H21" i="7"/>
  <c r="J21" i="8" s="1"/>
  <c r="F21" i="7"/>
  <c r="H21" i="8" s="1"/>
  <c r="C21" i="6"/>
  <c r="H21" i="6"/>
  <c r="I21" i="6"/>
  <c r="J21" i="7"/>
  <c r="C21" i="8"/>
  <c r="D21" i="8" s="1"/>
  <c r="D8" i="109" l="1"/>
  <c r="Q16" i="97"/>
  <c r="E8" i="109"/>
  <c r="J8" i="109"/>
  <c r="Q14" i="97"/>
  <c r="Q21" i="97"/>
  <c r="J10" i="108"/>
  <c r="J9" i="108" s="1"/>
  <c r="J51" i="108" s="1"/>
  <c r="Q11" i="97"/>
  <c r="Q18" i="97"/>
  <c r="Q26" i="97"/>
  <c r="Q28" i="97"/>
  <c r="Q30" i="97"/>
  <c r="E10" i="108"/>
  <c r="E9" i="108" s="1"/>
  <c r="E37" i="108"/>
  <c r="F40" i="108"/>
  <c r="F37" i="108" s="1"/>
  <c r="F51" i="108" s="1"/>
  <c r="Q19" i="97"/>
  <c r="Q40" i="97"/>
  <c r="V27" i="102"/>
  <c r="I40" i="108"/>
  <c r="I37" i="108" s="1"/>
  <c r="J40" i="108"/>
  <c r="D104" i="63"/>
  <c r="E105" i="63"/>
  <c r="F104" i="63"/>
  <c r="M37" i="5"/>
  <c r="M33" i="5"/>
  <c r="O21" i="14"/>
  <c r="R21" i="18"/>
  <c r="E34" i="8"/>
  <c r="K21" i="15"/>
  <c r="O11" i="101"/>
  <c r="O13" i="101"/>
  <c r="O15" i="101"/>
  <c r="O17" i="101"/>
  <c r="O19" i="101"/>
  <c r="O21" i="101"/>
  <c r="O23" i="101"/>
  <c r="O25" i="101"/>
  <c r="O27" i="101"/>
  <c r="O29" i="101"/>
  <c r="Q23" i="97"/>
  <c r="Q33" i="97"/>
  <c r="J9" i="84"/>
  <c r="O40" i="101"/>
  <c r="Q42" i="97"/>
  <c r="B10" i="108"/>
  <c r="B9" i="108" s="1"/>
  <c r="B40" i="108"/>
  <c r="Q41" i="97"/>
  <c r="D40" i="108"/>
  <c r="K21" i="6"/>
  <c r="O12" i="101"/>
  <c r="O14" i="101"/>
  <c r="O16" i="101"/>
  <c r="O18" i="101"/>
  <c r="Q24" i="97"/>
  <c r="Q32" i="97"/>
  <c r="E39" i="8"/>
  <c r="E39" i="94"/>
  <c r="D78" i="63" s="1"/>
  <c r="L21" i="12"/>
  <c r="J10" i="84"/>
  <c r="Q37" i="97"/>
  <c r="Q39" i="97"/>
  <c r="Q43" i="97"/>
  <c r="E31" i="94"/>
  <c r="H41" i="108"/>
  <c r="H47" i="108"/>
  <c r="F8" i="109"/>
  <c r="P36" i="4"/>
  <c r="E35" i="94"/>
  <c r="C78" i="63" s="1"/>
  <c r="M32" i="91"/>
  <c r="D100" i="63"/>
  <c r="D10" i="108"/>
  <c r="D9" i="108" s="1"/>
  <c r="H17" i="108"/>
  <c r="H31" i="108"/>
  <c r="B37" i="108"/>
  <c r="B51" i="108" s="1"/>
  <c r="H38" i="108"/>
  <c r="I8" i="109"/>
  <c r="E28" i="83"/>
  <c r="E29" i="83" s="1"/>
  <c r="E30" i="83" s="1"/>
  <c r="Q36" i="97"/>
  <c r="D37" i="108"/>
  <c r="J37" i="108"/>
  <c r="J19" i="84"/>
  <c r="Q38" i="97"/>
  <c r="E27" i="94"/>
  <c r="O42" i="101"/>
  <c r="H14" i="108"/>
  <c r="H28" i="108"/>
  <c r="H35" i="108"/>
  <c r="H44" i="108"/>
  <c r="M28" i="91"/>
  <c r="O28" i="83"/>
  <c r="O29" i="83" s="1"/>
  <c r="O30" i="83" s="1"/>
  <c r="Q44" i="97"/>
  <c r="M38" i="5"/>
  <c r="I10" i="108"/>
  <c r="I9" i="108" s="1"/>
  <c r="H11" i="108"/>
  <c r="J11" i="84"/>
  <c r="J14" i="84"/>
  <c r="J15" i="84"/>
  <c r="J16" i="84"/>
  <c r="J17" i="84"/>
  <c r="J18" i="84"/>
  <c r="J12" i="84"/>
  <c r="J13" i="84"/>
  <c r="J20" i="84"/>
  <c r="O31" i="101"/>
  <c r="O33" i="101"/>
  <c r="P21" i="18"/>
  <c r="S21" i="105"/>
  <c r="R21" i="64"/>
  <c r="E33" i="8"/>
  <c r="E32" i="8"/>
  <c r="K32" i="9"/>
  <c r="C104" i="63"/>
  <c r="M35" i="5"/>
  <c r="C28" i="10"/>
  <c r="C27" i="7"/>
  <c r="E28" i="8" s="1"/>
  <c r="S21" i="75"/>
  <c r="L22" i="91"/>
  <c r="R21" i="9"/>
  <c r="C9" i="63"/>
  <c r="M31" i="5"/>
  <c r="G31" i="9"/>
  <c r="F32" i="9"/>
  <c r="F33" i="9"/>
  <c r="F27" i="9" s="1"/>
  <c r="L21" i="15"/>
  <c r="M34" i="5"/>
  <c r="H34" i="9"/>
  <c r="L28" i="83"/>
  <c r="L29" i="83" s="1"/>
  <c r="L30" i="83" s="1"/>
  <c r="P21" i="13"/>
  <c r="P21" i="14"/>
  <c r="R21" i="77"/>
  <c r="N21" i="10"/>
  <c r="S21" i="78"/>
  <c r="Q21" i="106"/>
  <c r="Q21" i="75"/>
  <c r="P21" i="4"/>
  <c r="H27" i="4"/>
  <c r="P27" i="4" s="1"/>
  <c r="S21" i="64"/>
  <c r="S21" i="65"/>
  <c r="S21" i="77"/>
  <c r="C29" i="7"/>
  <c r="E40" i="8"/>
  <c r="S21" i="9"/>
  <c r="R21" i="74"/>
  <c r="S21" i="106"/>
  <c r="F27" i="17"/>
  <c r="N21" i="11"/>
  <c r="C105" i="63"/>
  <c r="O21" i="10"/>
  <c r="P28" i="4"/>
  <c r="M28" i="5"/>
  <c r="E104" i="63"/>
  <c r="E38" i="63"/>
  <c r="E39" i="63" s="1"/>
  <c r="C36" i="98"/>
  <c r="E36" i="98" s="1"/>
  <c r="S21" i="72"/>
  <c r="S21" i="73"/>
  <c r="R21" i="106"/>
  <c r="Q21" i="17"/>
  <c r="V21" i="102"/>
  <c r="M34" i="11"/>
  <c r="M21" i="11"/>
  <c r="D33" i="9"/>
  <c r="D27" i="9" s="1"/>
  <c r="P21" i="9"/>
  <c r="R21" i="73"/>
  <c r="R21" i="105"/>
  <c r="R21" i="65"/>
  <c r="Q21" i="74"/>
  <c r="K21" i="12"/>
  <c r="P21" i="17"/>
  <c r="Q21" i="9"/>
  <c r="M21" i="5"/>
  <c r="Q21" i="18"/>
  <c r="R21" i="17"/>
  <c r="Q21" i="105"/>
  <c r="O21" i="13"/>
  <c r="K31" i="9"/>
  <c r="M32" i="5"/>
  <c r="E35" i="8"/>
  <c r="Q28" i="80"/>
  <c r="L36" i="9"/>
  <c r="L28" i="9" s="1"/>
  <c r="S31" i="106"/>
  <c r="N37" i="9"/>
  <c r="S33" i="105"/>
  <c r="Q27" i="80"/>
  <c r="O20" i="101"/>
  <c r="O22" i="101"/>
  <c r="O24" i="101"/>
  <c r="O26" i="101"/>
  <c r="O28" i="101"/>
  <c r="O30" i="101"/>
  <c r="O32" i="101"/>
  <c r="O41" i="101"/>
  <c r="O43" i="101"/>
  <c r="S27" i="74"/>
  <c r="R32" i="72"/>
  <c r="S32" i="105"/>
  <c r="D34" i="6"/>
  <c r="V32" i="102"/>
  <c r="H28" i="83"/>
  <c r="H29" i="83" s="1"/>
  <c r="H30" i="83" s="1"/>
  <c r="F31" i="7"/>
  <c r="R31" i="17"/>
  <c r="S31" i="74"/>
  <c r="S31" i="75"/>
  <c r="L34" i="5"/>
  <c r="C34" i="6" s="1"/>
  <c r="K34" i="6" s="1"/>
  <c r="L35" i="5"/>
  <c r="C35" i="6" s="1"/>
  <c r="K35" i="6" s="1"/>
  <c r="E37" i="8"/>
  <c r="M27" i="5"/>
  <c r="M31" i="91"/>
  <c r="R21" i="75"/>
  <c r="M36" i="5"/>
  <c r="D9" i="63"/>
  <c r="E38" i="8"/>
  <c r="L36" i="5"/>
  <c r="C36" i="6" s="1"/>
  <c r="C28" i="6" s="1"/>
  <c r="K28" i="6" s="1"/>
  <c r="R21" i="78"/>
  <c r="S21" i="74"/>
  <c r="R21" i="72"/>
  <c r="H32" i="9"/>
  <c r="L32" i="5"/>
  <c r="C32" i="6" s="1"/>
  <c r="K32" i="6" s="1"/>
  <c r="K27" i="79"/>
  <c r="L38" i="5"/>
  <c r="C38" i="6" s="1"/>
  <c r="K38" i="6" s="1"/>
  <c r="L31" i="5"/>
  <c r="C31" i="6" s="1"/>
  <c r="K31" i="6" s="1"/>
  <c r="J31" i="12"/>
  <c r="D31" i="7" s="1"/>
  <c r="E31" i="7" s="1"/>
  <c r="H31" i="9"/>
  <c r="O32" i="9"/>
  <c r="D32" i="9"/>
  <c r="M32" i="9"/>
  <c r="E36" i="8"/>
  <c r="F35" i="6"/>
  <c r="L37" i="5"/>
  <c r="C37" i="6" s="1"/>
  <c r="K37" i="6" s="1"/>
  <c r="M33" i="9"/>
  <c r="M27" i="9" s="1"/>
  <c r="F33" i="7"/>
  <c r="F27" i="7" s="1"/>
  <c r="F34" i="7"/>
  <c r="J34" i="12"/>
  <c r="D34" i="7" s="1"/>
  <c r="E34" i="7" s="1"/>
  <c r="D32" i="6"/>
  <c r="F32" i="6"/>
  <c r="N32" i="11"/>
  <c r="J40" i="8"/>
  <c r="F34" i="9"/>
  <c r="E10" i="98"/>
  <c r="E9" i="63"/>
  <c r="H29" i="4"/>
  <c r="E32" i="9"/>
  <c r="F32" i="7"/>
  <c r="L32" i="9"/>
  <c r="D21" i="63"/>
  <c r="D22" i="63" s="1"/>
  <c r="L28" i="10"/>
  <c r="O28" i="10" s="1"/>
  <c r="N32" i="9"/>
  <c r="K33" i="9"/>
  <c r="K27" i="9" s="1"/>
  <c r="L31" i="9"/>
  <c r="E31" i="9"/>
  <c r="O27" i="75"/>
  <c r="S27" i="75" s="1"/>
  <c r="C25" i="63"/>
  <c r="C26" i="63" s="1"/>
  <c r="J27" i="10"/>
  <c r="G33" i="9"/>
  <c r="G27" i="9" s="1"/>
  <c r="J27" i="11"/>
  <c r="O33" i="9"/>
  <c r="O27" i="9" s="1"/>
  <c r="G27" i="10"/>
  <c r="E33" i="9"/>
  <c r="E27" i="9" s="1"/>
  <c r="N34" i="9"/>
  <c r="O31" i="9"/>
  <c r="K28" i="5"/>
  <c r="E20" i="98"/>
  <c r="V31" i="102"/>
  <c r="D31" i="6"/>
  <c r="P31" i="13"/>
  <c r="N31" i="11"/>
  <c r="Q31" i="105"/>
  <c r="Q31" i="106"/>
  <c r="J31" i="9"/>
  <c r="R31" i="18"/>
  <c r="Q31" i="18"/>
  <c r="S31" i="78"/>
  <c r="Q31" i="74"/>
  <c r="R31" i="74"/>
  <c r="Q31" i="75"/>
  <c r="R31" i="75"/>
  <c r="R31" i="72"/>
  <c r="S31" i="72"/>
  <c r="R31" i="73"/>
  <c r="K31" i="12"/>
  <c r="O31" i="14"/>
  <c r="R32" i="78"/>
  <c r="S32" i="78"/>
  <c r="Q32" i="74"/>
  <c r="Q32" i="75"/>
  <c r="R32" i="75"/>
  <c r="S32" i="73"/>
  <c r="J32" i="9"/>
  <c r="Q32" i="17"/>
  <c r="I32" i="9"/>
  <c r="Q32" i="106"/>
  <c r="Q32" i="105"/>
  <c r="R32" i="105"/>
  <c r="R32" i="65"/>
  <c r="E32" i="6"/>
  <c r="O32" i="13"/>
  <c r="P32" i="13"/>
  <c r="C32" i="9"/>
  <c r="G32" i="9"/>
  <c r="K32" i="12"/>
  <c r="O32" i="14"/>
  <c r="S32" i="65"/>
  <c r="S32" i="106"/>
  <c r="S32" i="75"/>
  <c r="S32" i="74"/>
  <c r="S27" i="65"/>
  <c r="S33" i="106"/>
  <c r="P33" i="17"/>
  <c r="N33" i="11"/>
  <c r="I33" i="9"/>
  <c r="C19" i="63" s="1"/>
  <c r="C20" i="63" s="1"/>
  <c r="R34" i="77"/>
  <c r="R34" i="74"/>
  <c r="R34" i="75"/>
  <c r="L34" i="9"/>
  <c r="Q34" i="18"/>
  <c r="E34" i="9"/>
  <c r="S34" i="105"/>
  <c r="S34" i="65"/>
  <c r="O34" i="14"/>
  <c r="I34" i="9"/>
  <c r="N34" i="11"/>
  <c r="S34" i="77"/>
  <c r="E24" i="98"/>
  <c r="E15" i="98"/>
  <c r="E27" i="98"/>
  <c r="E28" i="98"/>
  <c r="R39" i="18"/>
  <c r="Q29" i="106"/>
  <c r="L38" i="12"/>
  <c r="S31" i="65"/>
  <c r="S32" i="72"/>
  <c r="L34" i="12"/>
  <c r="I27" i="11"/>
  <c r="R33" i="65"/>
  <c r="O33" i="14"/>
  <c r="R31" i="65"/>
  <c r="E14" i="98"/>
  <c r="O31" i="13"/>
  <c r="R32" i="64"/>
  <c r="R32" i="77"/>
  <c r="N27" i="17"/>
  <c r="H35" i="9"/>
  <c r="L38" i="9"/>
  <c r="Q31" i="17"/>
  <c r="R31" i="78"/>
  <c r="S31" i="77"/>
  <c r="R34" i="73"/>
  <c r="J33" i="9"/>
  <c r="J27" i="9" s="1"/>
  <c r="E33" i="6"/>
  <c r="E27" i="6" s="1"/>
  <c r="D27" i="17"/>
  <c r="N32" i="10"/>
  <c r="K34" i="9"/>
  <c r="P34" i="14"/>
  <c r="K34" i="12"/>
  <c r="D54" i="63"/>
  <c r="J29" i="80"/>
  <c r="J22" i="80" s="1"/>
  <c r="M38" i="9"/>
  <c r="C28" i="110"/>
  <c r="C23" i="63"/>
  <c r="C24" i="63" s="1"/>
  <c r="G33" i="7"/>
  <c r="G27" i="7" s="1"/>
  <c r="S33" i="65"/>
  <c r="M32" i="11"/>
  <c r="N31" i="9"/>
  <c r="P34" i="18"/>
  <c r="Q32" i="18"/>
  <c r="R32" i="106"/>
  <c r="R32" i="17"/>
  <c r="R29" i="106"/>
  <c r="M33" i="11"/>
  <c r="R33" i="72"/>
  <c r="N27" i="106"/>
  <c r="R27" i="106" s="1"/>
  <c r="V33" i="102"/>
  <c r="L31" i="12"/>
  <c r="S33" i="75"/>
  <c r="L33" i="12"/>
  <c r="R32" i="74"/>
  <c r="R32" i="18"/>
  <c r="R33" i="18"/>
  <c r="E25" i="98"/>
  <c r="L35" i="12"/>
  <c r="Q34" i="75"/>
  <c r="M36" i="9"/>
  <c r="M28" i="9" s="1"/>
  <c r="K37" i="9"/>
  <c r="I37" i="9"/>
  <c r="R39" i="74"/>
  <c r="R38" i="77"/>
  <c r="R33" i="77"/>
  <c r="P32" i="17"/>
  <c r="R31" i="64"/>
  <c r="P32" i="18"/>
  <c r="O32" i="10"/>
  <c r="J34" i="8"/>
  <c r="R34" i="78"/>
  <c r="R34" i="72"/>
  <c r="S34" i="73"/>
  <c r="Q34" i="17"/>
  <c r="R34" i="106"/>
  <c r="Q34" i="105"/>
  <c r="R34" i="105"/>
  <c r="R34" i="64"/>
  <c r="S34" i="64"/>
  <c r="V34" i="102"/>
  <c r="E34" i="6"/>
  <c r="P34" i="13"/>
  <c r="J34" i="9"/>
  <c r="Q34" i="74"/>
  <c r="M34" i="9"/>
  <c r="O34" i="13"/>
  <c r="S34" i="75"/>
  <c r="S29" i="106"/>
  <c r="N22" i="13"/>
  <c r="P22" i="13" s="1"/>
  <c r="P29" i="13"/>
  <c r="I35" i="8"/>
  <c r="G27" i="75"/>
  <c r="Q27" i="75" s="1"/>
  <c r="Q33" i="75"/>
  <c r="G27" i="18"/>
  <c r="R27" i="18" s="1"/>
  <c r="P33" i="18"/>
  <c r="N33" i="9"/>
  <c r="N27" i="9" s="1"/>
  <c r="D34" i="9"/>
  <c r="P34" i="17"/>
  <c r="Q34" i="106"/>
  <c r="S34" i="106"/>
  <c r="E27" i="15"/>
  <c r="C36" i="63"/>
  <c r="C37" i="63" s="1"/>
  <c r="D33" i="6"/>
  <c r="D27" i="6" s="1"/>
  <c r="D55" i="63"/>
  <c r="E28" i="80"/>
  <c r="O33" i="10"/>
  <c r="D27" i="10"/>
  <c r="N31" i="10"/>
  <c r="D31" i="9"/>
  <c r="S31" i="73"/>
  <c r="J32" i="12"/>
  <c r="D32" i="7" s="1"/>
  <c r="E32" i="7" s="1"/>
  <c r="L32" i="12"/>
  <c r="S32" i="64"/>
  <c r="P32" i="14"/>
  <c r="R32" i="73"/>
  <c r="S32" i="77"/>
  <c r="R33" i="106"/>
  <c r="J27" i="72"/>
  <c r="S33" i="72"/>
  <c r="L27" i="78"/>
  <c r="S27" i="78" s="1"/>
  <c r="S33" i="78"/>
  <c r="R33" i="74"/>
  <c r="F27" i="78"/>
  <c r="R27" i="78" s="1"/>
  <c r="R33" i="78"/>
  <c r="N27" i="77"/>
  <c r="S27" i="77" s="1"/>
  <c r="S33" i="77"/>
  <c r="E27" i="80"/>
  <c r="C55" i="63"/>
  <c r="I27" i="12"/>
  <c r="L27" i="12" s="1"/>
  <c r="J33" i="12"/>
  <c r="S34" i="78"/>
  <c r="G34" i="9"/>
  <c r="N34" i="10"/>
  <c r="O34" i="10"/>
  <c r="R34" i="18"/>
  <c r="O34" i="9"/>
  <c r="R33" i="75"/>
  <c r="R34" i="65"/>
  <c r="C34" i="9"/>
  <c r="S33" i="73"/>
  <c r="Q33" i="74"/>
  <c r="R33" i="73"/>
  <c r="E29" i="98"/>
  <c r="S37" i="75"/>
  <c r="S39" i="74"/>
  <c r="Q39" i="17"/>
  <c r="P33" i="14"/>
  <c r="L33" i="9"/>
  <c r="L27" i="9" s="1"/>
  <c r="O38" i="14"/>
  <c r="F38" i="9"/>
  <c r="K39" i="12"/>
  <c r="E29" i="80"/>
  <c r="E22" i="80" s="1"/>
  <c r="E33" i="98"/>
  <c r="Q29" i="80"/>
  <c r="Q22" i="80" s="1"/>
  <c r="Q22" i="106"/>
  <c r="R22" i="106"/>
  <c r="S22" i="106"/>
  <c r="N39" i="11"/>
  <c r="R37" i="18"/>
  <c r="P39" i="17"/>
  <c r="J38" i="9"/>
  <c r="Q38" i="75"/>
  <c r="O38" i="10"/>
  <c r="J22" i="5"/>
  <c r="M22" i="5" s="1"/>
  <c r="M29" i="5"/>
  <c r="M39" i="5"/>
  <c r="L39" i="5"/>
  <c r="C39" i="6" s="1"/>
  <c r="D36" i="63"/>
  <c r="D37" i="63" s="1"/>
  <c r="D38" i="63"/>
  <c r="K29" i="11"/>
  <c r="K22" i="11" s="1"/>
  <c r="I36" i="8"/>
  <c r="U28" i="102"/>
  <c r="F28" i="10"/>
  <c r="K36" i="9"/>
  <c r="K28" i="9" s="1"/>
  <c r="L39" i="12"/>
  <c r="P39" i="14"/>
  <c r="F39" i="6"/>
  <c r="F29" i="6" s="1"/>
  <c r="F22" i="6" s="1"/>
  <c r="R39" i="64"/>
  <c r="R39" i="65"/>
  <c r="F27" i="11"/>
  <c r="R33" i="64"/>
  <c r="S33" i="64"/>
  <c r="S27" i="64"/>
  <c r="O33" i="13"/>
  <c r="K33" i="12"/>
  <c r="D27" i="14"/>
  <c r="P27" i="14" s="1"/>
  <c r="P33" i="13"/>
  <c r="N36" i="10"/>
  <c r="O39" i="14"/>
  <c r="K22" i="15"/>
  <c r="M39" i="11"/>
  <c r="C29" i="11"/>
  <c r="C22" i="11" s="1"/>
  <c r="M22" i="18"/>
  <c r="R22" i="18" s="1"/>
  <c r="R29" i="18"/>
  <c r="I22" i="12"/>
  <c r="L22" i="12" s="1"/>
  <c r="L29" i="12"/>
  <c r="E22" i="18"/>
  <c r="P22" i="18" s="1"/>
  <c r="P29" i="18"/>
  <c r="Q27" i="106"/>
  <c r="Q28" i="17"/>
  <c r="R38" i="18"/>
  <c r="E9" i="98"/>
  <c r="E13" i="98"/>
  <c r="E17" i="98"/>
  <c r="E21" i="98"/>
  <c r="E22" i="98"/>
  <c r="E26" i="98"/>
  <c r="O27" i="13"/>
  <c r="S36" i="65"/>
  <c r="S36" i="75"/>
  <c r="I36" i="9"/>
  <c r="D38" i="9"/>
  <c r="R39" i="73"/>
  <c r="Q39" i="105"/>
  <c r="Q39" i="18"/>
  <c r="R39" i="78"/>
  <c r="S39" i="75"/>
  <c r="C29" i="17"/>
  <c r="U29" i="102"/>
  <c r="C29" i="10"/>
  <c r="C22" i="10" s="1"/>
  <c r="F28" i="110"/>
  <c r="H27" i="7"/>
  <c r="F33" i="6"/>
  <c r="F27" i="6" s="1"/>
  <c r="E36" i="9"/>
  <c r="E28" i="9" s="1"/>
  <c r="R39" i="105"/>
  <c r="R39" i="106"/>
  <c r="S39" i="72"/>
  <c r="P39" i="13"/>
  <c r="V39" i="102"/>
  <c r="E12" i="98"/>
  <c r="E16" i="98"/>
  <c r="R31" i="77"/>
  <c r="E31" i="6"/>
  <c r="P31" i="14"/>
  <c r="M31" i="11"/>
  <c r="S31" i="105"/>
  <c r="R31" i="106"/>
  <c r="P31" i="17"/>
  <c r="R27" i="65"/>
  <c r="D25" i="63"/>
  <c r="D26" i="63" s="1"/>
  <c r="S37" i="65"/>
  <c r="R39" i="72"/>
  <c r="S39" i="65"/>
  <c r="R39" i="75"/>
  <c r="O29" i="75"/>
  <c r="O22" i="75" s="1"/>
  <c r="H39" i="9"/>
  <c r="H29" i="9" s="1"/>
  <c r="H22" i="9" s="1"/>
  <c r="D22" i="64"/>
  <c r="R22" i="64" s="1"/>
  <c r="R29" i="64"/>
  <c r="E18" i="98"/>
  <c r="O36" i="13"/>
  <c r="F29" i="10"/>
  <c r="F22" i="10" s="1"/>
  <c r="L29" i="10"/>
  <c r="L22" i="10" s="1"/>
  <c r="F39" i="9"/>
  <c r="F29" i="9" s="1"/>
  <c r="F22" i="9" s="1"/>
  <c r="E11" i="98"/>
  <c r="E19" i="98"/>
  <c r="D35" i="9"/>
  <c r="R35" i="17"/>
  <c r="S33" i="74"/>
  <c r="F28" i="11"/>
  <c r="M28" i="11" s="1"/>
  <c r="O36" i="9"/>
  <c r="D29" i="63" s="1"/>
  <c r="D31" i="63" s="1"/>
  <c r="I28" i="13"/>
  <c r="O28" i="13" s="1"/>
  <c r="R37" i="73"/>
  <c r="Q37" i="17"/>
  <c r="Q37" i="106"/>
  <c r="Q37" i="105"/>
  <c r="S37" i="105"/>
  <c r="F37" i="6"/>
  <c r="O37" i="14"/>
  <c r="L37" i="9"/>
  <c r="N37" i="11"/>
  <c r="F38" i="6"/>
  <c r="S38" i="105"/>
  <c r="R38" i="75"/>
  <c r="S38" i="77"/>
  <c r="R38" i="78"/>
  <c r="O38" i="9"/>
  <c r="R35" i="74"/>
  <c r="R35" i="75"/>
  <c r="N35" i="9"/>
  <c r="R35" i="105"/>
  <c r="S35" i="65"/>
  <c r="D35" i="6"/>
  <c r="O35" i="13"/>
  <c r="J35" i="9"/>
  <c r="M35" i="9"/>
  <c r="C36" i="9"/>
  <c r="C28" i="9" s="1"/>
  <c r="M36" i="11"/>
  <c r="D23" i="63"/>
  <c r="D24" i="63" s="1"/>
  <c r="R28" i="106"/>
  <c r="R37" i="65"/>
  <c r="S38" i="73"/>
  <c r="D39" i="9"/>
  <c r="D29" i="9" s="1"/>
  <c r="D22" i="9" s="1"/>
  <c r="F36" i="6"/>
  <c r="F28" i="6" s="1"/>
  <c r="D39" i="6"/>
  <c r="D29" i="6" s="1"/>
  <c r="D22" i="6" s="1"/>
  <c r="S31" i="64"/>
  <c r="R31" i="105"/>
  <c r="R33" i="105"/>
  <c r="P35" i="13"/>
  <c r="F35" i="9"/>
  <c r="K37" i="12"/>
  <c r="G27" i="110"/>
  <c r="G35" i="9"/>
  <c r="O35" i="10"/>
  <c r="G37" i="9"/>
  <c r="R37" i="17"/>
  <c r="D37" i="9"/>
  <c r="N37" i="10"/>
  <c r="G37" i="7"/>
  <c r="M37" i="11"/>
  <c r="P37" i="14"/>
  <c r="Q37" i="18"/>
  <c r="O37" i="9"/>
  <c r="L22" i="74"/>
  <c r="R29" i="74"/>
  <c r="I32" i="8"/>
  <c r="S36" i="64"/>
  <c r="J32" i="8"/>
  <c r="C31" i="9"/>
  <c r="I31" i="9"/>
  <c r="O31" i="10"/>
  <c r="P31" i="18"/>
  <c r="M31" i="9"/>
  <c r="C27" i="105"/>
  <c r="Q27" i="105" s="1"/>
  <c r="Q33" i="105"/>
  <c r="Q33" i="106"/>
  <c r="M27" i="17"/>
  <c r="Q27" i="17" s="1"/>
  <c r="H33" i="9"/>
  <c r="H27" i="9" s="1"/>
  <c r="Q33" i="17"/>
  <c r="L27" i="18"/>
  <c r="Q27" i="18" s="1"/>
  <c r="Q33" i="18"/>
  <c r="R33" i="17"/>
  <c r="S34" i="72"/>
  <c r="K33" i="5"/>
  <c r="C33" i="9"/>
  <c r="C27" i="9" s="1"/>
  <c r="N33" i="10"/>
  <c r="R28" i="72"/>
  <c r="O28" i="72"/>
  <c r="S28" i="72" s="1"/>
  <c r="S36" i="72"/>
  <c r="E28" i="14"/>
  <c r="O28" i="14" s="1"/>
  <c r="O36" i="14"/>
  <c r="K35" i="12"/>
  <c r="Q36" i="106"/>
  <c r="D28" i="64"/>
  <c r="R28" i="64" s="1"/>
  <c r="R36" i="64"/>
  <c r="C28" i="12"/>
  <c r="K28" i="12" s="1"/>
  <c r="K36" i="12"/>
  <c r="P36" i="14"/>
  <c r="N28" i="14"/>
  <c r="P28" i="14" s="1"/>
  <c r="V36" i="102"/>
  <c r="M28" i="102"/>
  <c r="J28" i="78"/>
  <c r="R28" i="78" s="1"/>
  <c r="R36" i="78"/>
  <c r="R38" i="74"/>
  <c r="Q38" i="74"/>
  <c r="S38" i="74"/>
  <c r="P38" i="17"/>
  <c r="E38" i="9"/>
  <c r="R38" i="72"/>
  <c r="K28" i="77"/>
  <c r="S28" i="77" s="1"/>
  <c r="S36" i="77"/>
  <c r="K28" i="75"/>
  <c r="R28" i="75" s="1"/>
  <c r="R36" i="75"/>
  <c r="Q28" i="106"/>
  <c r="I28" i="12"/>
  <c r="L28" i="12" s="1"/>
  <c r="J36" i="12"/>
  <c r="L36" i="12"/>
  <c r="S37" i="73"/>
  <c r="P37" i="13"/>
  <c r="C37" i="9"/>
  <c r="H37" i="9"/>
  <c r="R38" i="106"/>
  <c r="J35" i="8"/>
  <c r="Q27" i="74"/>
  <c r="R35" i="72"/>
  <c r="O35" i="14"/>
  <c r="S36" i="74"/>
  <c r="H28" i="74"/>
  <c r="Q28" i="74" s="1"/>
  <c r="Q36" i="74"/>
  <c r="G28" i="18"/>
  <c r="N36" i="9"/>
  <c r="N28" i="9" s="1"/>
  <c r="G36" i="9"/>
  <c r="G28" i="17"/>
  <c r="P28" i="17" s="1"/>
  <c r="P36" i="17"/>
  <c r="P28" i="13"/>
  <c r="K28" i="11"/>
  <c r="N28" i="11" s="1"/>
  <c r="N36" i="11"/>
  <c r="R36" i="65"/>
  <c r="S29" i="74"/>
  <c r="N22" i="74"/>
  <c r="S29" i="64"/>
  <c r="Q22" i="64"/>
  <c r="S22" i="64" s="1"/>
  <c r="C29" i="110"/>
  <c r="H29" i="110"/>
  <c r="G28" i="110"/>
  <c r="P27" i="13"/>
  <c r="S34" i="74"/>
  <c r="O35" i="9"/>
  <c r="O36" i="10"/>
  <c r="Q36" i="18"/>
  <c r="R28" i="65"/>
  <c r="S28" i="64"/>
  <c r="R37" i="72"/>
  <c r="S37" i="72"/>
  <c r="P37" i="17"/>
  <c r="R37" i="64"/>
  <c r="S37" i="64"/>
  <c r="D37" i="6"/>
  <c r="E37" i="6"/>
  <c r="O37" i="13"/>
  <c r="L37" i="12"/>
  <c r="S35" i="77"/>
  <c r="S35" i="73"/>
  <c r="R28" i="74"/>
  <c r="S28" i="105"/>
  <c r="R37" i="77"/>
  <c r="S37" i="77"/>
  <c r="R37" i="78"/>
  <c r="S37" i="78"/>
  <c r="Q37" i="74"/>
  <c r="R37" i="75"/>
  <c r="P37" i="18"/>
  <c r="V37" i="102"/>
  <c r="J38" i="12"/>
  <c r="D38" i="7" s="1"/>
  <c r="E38" i="7" s="1"/>
  <c r="D36" i="6"/>
  <c r="D28" i="6" s="1"/>
  <c r="E36" i="6"/>
  <c r="E28" i="6" s="1"/>
  <c r="R35" i="77"/>
  <c r="L35" i="9"/>
  <c r="I35" i="9"/>
  <c r="S28" i="65"/>
  <c r="R36" i="105"/>
  <c r="Q36" i="105"/>
  <c r="M28" i="18"/>
  <c r="Q28" i="18" s="1"/>
  <c r="P36" i="13"/>
  <c r="O37" i="10"/>
  <c r="P38" i="13"/>
  <c r="K38" i="9"/>
  <c r="K38" i="12"/>
  <c r="K27" i="12"/>
  <c r="S27" i="73"/>
  <c r="R27" i="75"/>
  <c r="O27" i="14"/>
  <c r="R27" i="77"/>
  <c r="R27" i="73"/>
  <c r="R27" i="74"/>
  <c r="P35" i="17"/>
  <c r="Q35" i="17"/>
  <c r="S35" i="105"/>
  <c r="V35" i="102"/>
  <c r="J35" i="12"/>
  <c r="D35" i="7" s="1"/>
  <c r="C35" i="9"/>
  <c r="F35" i="7"/>
  <c r="Q35" i="106"/>
  <c r="S35" i="75"/>
  <c r="N35" i="10"/>
  <c r="R35" i="65"/>
  <c r="S35" i="74"/>
  <c r="R35" i="78"/>
  <c r="R36" i="77"/>
  <c r="S36" i="78"/>
  <c r="R36" i="73"/>
  <c r="S29" i="78"/>
  <c r="M22" i="78"/>
  <c r="S22" i="78" s="1"/>
  <c r="Q29" i="74"/>
  <c r="E22" i="74"/>
  <c r="Q22" i="74" s="1"/>
  <c r="D22" i="72"/>
  <c r="R22" i="72" s="1"/>
  <c r="R29" i="72"/>
  <c r="M22" i="72"/>
  <c r="S22" i="72" s="1"/>
  <c r="S29" i="72"/>
  <c r="E22" i="105"/>
  <c r="Q22" i="105" s="1"/>
  <c r="Q29" i="105"/>
  <c r="P35" i="18"/>
  <c r="R35" i="106"/>
  <c r="E35" i="6"/>
  <c r="K35" i="9"/>
  <c r="M35" i="11"/>
  <c r="R35" i="64"/>
  <c r="C28" i="18"/>
  <c r="J36" i="9"/>
  <c r="J28" i="9" s="1"/>
  <c r="Q29" i="75"/>
  <c r="C22" i="75"/>
  <c r="Q22" i="75" s="1"/>
  <c r="N22" i="75"/>
  <c r="R29" i="75"/>
  <c r="C22" i="73"/>
  <c r="R22" i="73" s="1"/>
  <c r="R29" i="73"/>
  <c r="L22" i="73"/>
  <c r="S22" i="73" s="1"/>
  <c r="S29" i="73"/>
  <c r="Q29" i="18"/>
  <c r="J22" i="18"/>
  <c r="I22" i="105"/>
  <c r="R22" i="105" s="1"/>
  <c r="R29" i="105"/>
  <c r="O29" i="13"/>
  <c r="C22" i="13"/>
  <c r="O22" i="13" s="1"/>
  <c r="S35" i="78"/>
  <c r="Q35" i="74"/>
  <c r="Q35" i="75"/>
  <c r="S35" i="72"/>
  <c r="S27" i="105"/>
  <c r="P35" i="14"/>
  <c r="R35" i="73"/>
  <c r="D22" i="78"/>
  <c r="R22" i="78" s="1"/>
  <c r="R29" i="78"/>
  <c r="H22" i="17"/>
  <c r="Q22" i="17" s="1"/>
  <c r="Q29" i="17"/>
  <c r="O22" i="105"/>
  <c r="S22" i="105" s="1"/>
  <c r="S29" i="105"/>
  <c r="M22" i="14"/>
  <c r="O22" i="14" s="1"/>
  <c r="O29" i="14"/>
  <c r="Q28" i="75"/>
  <c r="S28" i="75"/>
  <c r="R28" i="73"/>
  <c r="S28" i="73"/>
  <c r="F37" i="9"/>
  <c r="V38" i="102"/>
  <c r="E38" i="6"/>
  <c r="F27" i="110"/>
  <c r="E27" i="110"/>
  <c r="D29" i="110"/>
  <c r="S28" i="106"/>
  <c r="R28" i="105"/>
  <c r="H36" i="9"/>
  <c r="H28" i="9" s="1"/>
  <c r="R38" i="64"/>
  <c r="S38" i="65"/>
  <c r="S38" i="75"/>
  <c r="N38" i="11"/>
  <c r="P38" i="14"/>
  <c r="F36" i="7"/>
  <c r="F28" i="7" s="1"/>
  <c r="F38" i="7"/>
  <c r="F29" i="110"/>
  <c r="M37" i="9"/>
  <c r="D38" i="6"/>
  <c r="O38" i="13"/>
  <c r="S38" i="64"/>
  <c r="Q38" i="105"/>
  <c r="R38" i="105"/>
  <c r="Q38" i="106"/>
  <c r="Q38" i="18"/>
  <c r="I38" i="9"/>
  <c r="S38" i="78"/>
  <c r="R38" i="73"/>
  <c r="P38" i="18"/>
  <c r="Q38" i="17"/>
  <c r="S38" i="72"/>
  <c r="J39" i="9"/>
  <c r="J29" i="9" s="1"/>
  <c r="J22" i="9" s="1"/>
  <c r="C27" i="110"/>
  <c r="G29" i="110"/>
  <c r="E29" i="110"/>
  <c r="R27" i="64"/>
  <c r="R27" i="105"/>
  <c r="R28" i="77"/>
  <c r="Q35" i="18"/>
  <c r="Q35" i="105"/>
  <c r="R35" i="18"/>
  <c r="N28" i="17"/>
  <c r="S35" i="64"/>
  <c r="S35" i="106"/>
  <c r="R36" i="18"/>
  <c r="S36" i="106"/>
  <c r="P36" i="18"/>
  <c r="R36" i="72"/>
  <c r="Q28" i="105"/>
  <c r="R36" i="17"/>
  <c r="F36" i="9"/>
  <c r="F28" i="9" s="1"/>
  <c r="N35" i="11"/>
  <c r="E35" i="9"/>
  <c r="Q36" i="17"/>
  <c r="R36" i="74"/>
  <c r="R36" i="106"/>
  <c r="S36" i="73"/>
  <c r="Q36" i="75"/>
  <c r="S36" i="105"/>
  <c r="D36" i="9"/>
  <c r="D28" i="9" s="1"/>
  <c r="R37" i="106"/>
  <c r="F37" i="7"/>
  <c r="E37" i="9"/>
  <c r="Q37" i="75"/>
  <c r="R37" i="74"/>
  <c r="S37" i="74"/>
  <c r="S37" i="106"/>
  <c r="R37" i="105"/>
  <c r="J37" i="9"/>
  <c r="J37" i="12"/>
  <c r="D37" i="7" s="1"/>
  <c r="R29" i="77"/>
  <c r="S29" i="77"/>
  <c r="J22" i="77"/>
  <c r="L22" i="14"/>
  <c r="P22" i="14" s="1"/>
  <c r="P29" i="14"/>
  <c r="J22" i="65"/>
  <c r="S29" i="65"/>
  <c r="R29" i="65"/>
  <c r="K39" i="9"/>
  <c r="K29" i="9" s="1"/>
  <c r="K22" i="9" s="1"/>
  <c r="E29" i="11"/>
  <c r="E22" i="11" s="1"/>
  <c r="E39" i="9"/>
  <c r="E29" i="9" s="1"/>
  <c r="E22" i="9" s="1"/>
  <c r="F39" i="7"/>
  <c r="G29" i="10"/>
  <c r="G22" i="10" s="1"/>
  <c r="G39" i="9"/>
  <c r="J29" i="10"/>
  <c r="I39" i="9"/>
  <c r="E23" i="63"/>
  <c r="E24" i="63" s="1"/>
  <c r="N29" i="17"/>
  <c r="E39" i="6"/>
  <c r="E36" i="63"/>
  <c r="E37" i="63" s="1"/>
  <c r="J29" i="15"/>
  <c r="J22" i="15" s="1"/>
  <c r="L22" i="15" s="1"/>
  <c r="C38" i="9"/>
  <c r="S39" i="77"/>
  <c r="Q39" i="74"/>
  <c r="G29" i="11"/>
  <c r="G22" i="11" s="1"/>
  <c r="M39" i="9"/>
  <c r="M29" i="9" s="1"/>
  <c r="M22" i="9" s="1"/>
  <c r="J39" i="12"/>
  <c r="E29" i="12"/>
  <c r="E28" i="110"/>
  <c r="N38" i="10"/>
  <c r="S38" i="106"/>
  <c r="N39" i="10"/>
  <c r="S39" i="78"/>
  <c r="Q39" i="106"/>
  <c r="Q39" i="75"/>
  <c r="R39" i="77"/>
  <c r="P39" i="18"/>
  <c r="S39" i="106"/>
  <c r="L39" i="9"/>
  <c r="L29" i="9" s="1"/>
  <c r="L22" i="9" s="1"/>
  <c r="F29" i="11"/>
  <c r="F22" i="11" s="1"/>
  <c r="D29" i="10"/>
  <c r="D22" i="10" s="1"/>
  <c r="C39" i="9"/>
  <c r="C29" i="9" s="1"/>
  <c r="C22" i="9" s="1"/>
  <c r="J29" i="11"/>
  <c r="J22" i="11" s="1"/>
  <c r="O39" i="9"/>
  <c r="H27" i="110"/>
  <c r="D27" i="110"/>
  <c r="R38" i="65"/>
  <c r="M38" i="11"/>
  <c r="R38" i="17"/>
  <c r="S39" i="64"/>
  <c r="O39" i="10"/>
  <c r="O39" i="13"/>
  <c r="S39" i="105"/>
  <c r="R39" i="17"/>
  <c r="S39" i="73"/>
  <c r="G29" i="7"/>
  <c r="I30" i="8" s="1"/>
  <c r="I39" i="8"/>
  <c r="N39" i="9"/>
  <c r="I29" i="11"/>
  <c r="H28" i="110"/>
  <c r="D28" i="110"/>
  <c r="H10" i="108" l="1"/>
  <c r="H40" i="108"/>
  <c r="H37" i="108"/>
  <c r="P30" i="83"/>
  <c r="I30" i="83"/>
  <c r="E51" i="108"/>
  <c r="D39" i="63"/>
  <c r="C22" i="7"/>
  <c r="E22" i="8" s="1"/>
  <c r="E30" i="8"/>
  <c r="I29" i="83"/>
  <c r="F35" i="8"/>
  <c r="G35" i="8" s="1"/>
  <c r="G37" i="6"/>
  <c r="E27" i="8"/>
  <c r="P29" i="83"/>
  <c r="G35" i="6"/>
  <c r="H35" i="6" s="1"/>
  <c r="I35" i="6" s="1"/>
  <c r="C35" i="8" s="1"/>
  <c r="G32" i="6"/>
  <c r="H32" i="6" s="1"/>
  <c r="I32" i="6" s="1"/>
  <c r="J32" i="7" s="1"/>
  <c r="S29" i="75"/>
  <c r="P28" i="83"/>
  <c r="G38" i="6"/>
  <c r="H38" i="6" s="1"/>
  <c r="I38" i="6" s="1"/>
  <c r="C38" i="8" s="1"/>
  <c r="S37" i="9"/>
  <c r="P27" i="17"/>
  <c r="D51" i="108"/>
  <c r="H9" i="108"/>
  <c r="I51" i="108"/>
  <c r="H51" i="108" s="1"/>
  <c r="M27" i="11"/>
  <c r="S28" i="78"/>
  <c r="N27" i="10"/>
  <c r="E35" i="7"/>
  <c r="P27" i="18"/>
  <c r="E29" i="8"/>
  <c r="O27" i="10"/>
  <c r="F32" i="8"/>
  <c r="G32" i="8" s="1"/>
  <c r="S34" i="9"/>
  <c r="G31" i="6"/>
  <c r="H31" i="6" s="1"/>
  <c r="I31" i="6" s="1"/>
  <c r="J31" i="7" s="1"/>
  <c r="P32" i="9"/>
  <c r="Q32" i="9"/>
  <c r="N28" i="10"/>
  <c r="K36" i="6"/>
  <c r="H35" i="8"/>
  <c r="K35" i="8" s="1"/>
  <c r="C29" i="63"/>
  <c r="C31" i="63" s="1"/>
  <c r="S32" i="9"/>
  <c r="I27" i="8"/>
  <c r="C22" i="110"/>
  <c r="R32" i="9"/>
  <c r="P31" i="9"/>
  <c r="I34" i="7"/>
  <c r="H34" i="8"/>
  <c r="Q27" i="9"/>
  <c r="Q22" i="18"/>
  <c r="Q38" i="9"/>
  <c r="I28" i="8"/>
  <c r="R34" i="9"/>
  <c r="S27" i="106"/>
  <c r="N27" i="11"/>
  <c r="I31" i="7"/>
  <c r="S28" i="74"/>
  <c r="S38" i="9"/>
  <c r="Q29" i="83"/>
  <c r="O28" i="9"/>
  <c r="I34" i="8"/>
  <c r="I33" i="8"/>
  <c r="I35" i="7"/>
  <c r="J33" i="8"/>
  <c r="Q34" i="9"/>
  <c r="I32" i="7"/>
  <c r="H27" i="8"/>
  <c r="Q37" i="9"/>
  <c r="R28" i="17"/>
  <c r="C27" i="63"/>
  <c r="C28" i="63" s="1"/>
  <c r="H32" i="8"/>
  <c r="K32" i="8" s="1"/>
  <c r="L28" i="5"/>
  <c r="G36" i="6"/>
  <c r="G28" i="6" s="1"/>
  <c r="C33" i="63"/>
  <c r="G34" i="6"/>
  <c r="H34" i="6" s="1"/>
  <c r="I34" i="6" s="1"/>
  <c r="C34" i="8" s="1"/>
  <c r="L29" i="5"/>
  <c r="L22" i="5" s="1"/>
  <c r="S33" i="9"/>
  <c r="P27" i="9"/>
  <c r="S31" i="9"/>
  <c r="I27" i="9"/>
  <c r="R27" i="9" s="1"/>
  <c r="H33" i="8"/>
  <c r="I33" i="7"/>
  <c r="I27" i="7" s="1"/>
  <c r="Q31" i="9"/>
  <c r="F22" i="110"/>
  <c r="Q33" i="9"/>
  <c r="I39" i="7"/>
  <c r="I29" i="7" s="1"/>
  <c r="K30" i="8" s="1"/>
  <c r="H40" i="8"/>
  <c r="K40" i="8" s="1"/>
  <c r="I28" i="83"/>
  <c r="G22" i="7"/>
  <c r="I22" i="8" s="1"/>
  <c r="I29" i="8"/>
  <c r="H22" i="4"/>
  <c r="P22" i="4" s="1"/>
  <c r="P29" i="4"/>
  <c r="P28" i="18"/>
  <c r="H37" i="6"/>
  <c r="I37" i="6" s="1"/>
  <c r="J37" i="7" s="1"/>
  <c r="P33" i="9"/>
  <c r="R35" i="9"/>
  <c r="G22" i="110"/>
  <c r="Q35" i="9"/>
  <c r="V28" i="102"/>
  <c r="P34" i="9"/>
  <c r="R38" i="9"/>
  <c r="S35" i="9"/>
  <c r="R33" i="9"/>
  <c r="H36" i="8"/>
  <c r="P38" i="9"/>
  <c r="P37" i="9"/>
  <c r="P35" i="9"/>
  <c r="R31" i="9"/>
  <c r="J27" i="12"/>
  <c r="C35" i="63"/>
  <c r="E22" i="110"/>
  <c r="I36" i="7"/>
  <c r="I28" i="7" s="1"/>
  <c r="S27" i="72"/>
  <c r="R27" i="72"/>
  <c r="H28" i="8"/>
  <c r="D33" i="7"/>
  <c r="Q28" i="9"/>
  <c r="S36" i="9"/>
  <c r="R36" i="9"/>
  <c r="V29" i="102"/>
  <c r="U22" i="102"/>
  <c r="V22" i="102" s="1"/>
  <c r="C22" i="17"/>
  <c r="P22" i="17" s="1"/>
  <c r="P29" i="17"/>
  <c r="I28" i="9"/>
  <c r="D19" i="63"/>
  <c r="R22" i="74"/>
  <c r="S22" i="74"/>
  <c r="G28" i="9"/>
  <c r="D27" i="63"/>
  <c r="D28" i="63" s="1"/>
  <c r="R27" i="17"/>
  <c r="I38" i="8"/>
  <c r="I37" i="8"/>
  <c r="R37" i="9"/>
  <c r="R28" i="18"/>
  <c r="D35" i="63"/>
  <c r="D36" i="7"/>
  <c r="F37" i="8" s="1"/>
  <c r="G37" i="8" s="1"/>
  <c r="J28" i="12"/>
  <c r="K27" i="5"/>
  <c r="L33" i="5"/>
  <c r="Q36" i="9"/>
  <c r="G39" i="6"/>
  <c r="H39" i="6" s="1"/>
  <c r="K39" i="6"/>
  <c r="K29" i="6" s="1"/>
  <c r="C29" i="6"/>
  <c r="R22" i="75"/>
  <c r="S22" i="75"/>
  <c r="D22" i="110"/>
  <c r="E29" i="6"/>
  <c r="E22" i="6" s="1"/>
  <c r="J22" i="10"/>
  <c r="O29" i="10"/>
  <c r="N29" i="10"/>
  <c r="H39" i="8"/>
  <c r="F29" i="7"/>
  <c r="H30" i="8" s="1"/>
  <c r="H22" i="110"/>
  <c r="I38" i="7"/>
  <c r="J38" i="8"/>
  <c r="E22" i="12"/>
  <c r="K22" i="12" s="1"/>
  <c r="K29" i="12"/>
  <c r="N22" i="17"/>
  <c r="R22" i="17" s="1"/>
  <c r="R29" i="17"/>
  <c r="E27" i="63"/>
  <c r="E28" i="63" s="1"/>
  <c r="G29" i="9"/>
  <c r="P39" i="9"/>
  <c r="P36" i="9"/>
  <c r="I22" i="11"/>
  <c r="M29" i="11"/>
  <c r="N29" i="11"/>
  <c r="J39" i="8"/>
  <c r="H29" i="7"/>
  <c r="J30" i="8" s="1"/>
  <c r="D39" i="7"/>
  <c r="E35" i="63"/>
  <c r="J29" i="12"/>
  <c r="J22" i="12" s="1"/>
  <c r="S22" i="65"/>
  <c r="R22" i="65"/>
  <c r="R22" i="77"/>
  <c r="S22" i="77"/>
  <c r="N29" i="9"/>
  <c r="Q39" i="9"/>
  <c r="E29" i="63"/>
  <c r="E31" i="63" s="1"/>
  <c r="O29" i="9"/>
  <c r="O22" i="9" s="1"/>
  <c r="H28" i="7"/>
  <c r="J37" i="8"/>
  <c r="J36" i="8"/>
  <c r="I29" i="9"/>
  <c r="E19" i="63"/>
  <c r="E20" i="63" s="1"/>
  <c r="R39" i="9"/>
  <c r="S39" i="9"/>
  <c r="F38" i="8"/>
  <c r="G38" i="8" s="1"/>
  <c r="E37" i="7"/>
  <c r="I37" i="7"/>
  <c r="H38" i="8"/>
  <c r="H37" i="8"/>
  <c r="Q30" i="83" l="1"/>
  <c r="D30" i="63"/>
  <c r="D20" i="63"/>
  <c r="K34" i="8"/>
  <c r="C30" i="63"/>
  <c r="D11" i="63"/>
  <c r="S27" i="9"/>
  <c r="Q28" i="83"/>
  <c r="C31" i="8"/>
  <c r="H36" i="6"/>
  <c r="H28" i="6" s="1"/>
  <c r="C32" i="8"/>
  <c r="J38" i="7"/>
  <c r="J34" i="7"/>
  <c r="K28" i="8"/>
  <c r="K33" i="8"/>
  <c r="J35" i="7"/>
  <c r="K36" i="8"/>
  <c r="C37" i="8"/>
  <c r="D38" i="8" s="1"/>
  <c r="S28" i="9"/>
  <c r="F40" i="8"/>
  <c r="G40" i="8" s="1"/>
  <c r="I22" i="7"/>
  <c r="K22" i="8" s="1"/>
  <c r="K29" i="8"/>
  <c r="F22" i="7"/>
  <c r="H22" i="8" s="1"/>
  <c r="H29" i="8"/>
  <c r="H22" i="7"/>
  <c r="J22" i="8" s="1"/>
  <c r="J29" i="8"/>
  <c r="E33" i="7"/>
  <c r="E27" i="7" s="1"/>
  <c r="D27" i="7"/>
  <c r="F33" i="8"/>
  <c r="G33" i="8" s="1"/>
  <c r="F34" i="8"/>
  <c r="G34" i="8" s="1"/>
  <c r="R28" i="9"/>
  <c r="D33" i="63"/>
  <c r="K27" i="8"/>
  <c r="C33" i="6"/>
  <c r="L27" i="5"/>
  <c r="J27" i="8"/>
  <c r="D28" i="7"/>
  <c r="E36" i="7"/>
  <c r="E28" i="7" s="1"/>
  <c r="F36" i="8"/>
  <c r="G36" i="8" s="1"/>
  <c r="P28" i="9"/>
  <c r="K37" i="8"/>
  <c r="K38" i="8"/>
  <c r="C22" i="6"/>
  <c r="K22" i="6" s="1"/>
  <c r="E11" i="63"/>
  <c r="F12" i="63" s="1"/>
  <c r="G29" i="6"/>
  <c r="G22" i="6" s="1"/>
  <c r="I22" i="9"/>
  <c r="S29" i="9"/>
  <c r="R29" i="9"/>
  <c r="M22" i="11"/>
  <c r="N22" i="11"/>
  <c r="E30" i="63"/>
  <c r="K39" i="8"/>
  <c r="E13" i="63"/>
  <c r="E15" i="63" s="1"/>
  <c r="H29" i="6"/>
  <c r="H22" i="6" s="1"/>
  <c r="I39" i="6"/>
  <c r="D35" i="8"/>
  <c r="E33" i="63"/>
  <c r="J28" i="8"/>
  <c r="Q29" i="9"/>
  <c r="N22" i="9"/>
  <c r="Q22" i="9" s="1"/>
  <c r="F39" i="8"/>
  <c r="G39" i="8" s="1"/>
  <c r="D29" i="7"/>
  <c r="F30" i="8" s="1"/>
  <c r="E39" i="7"/>
  <c r="E29" i="7" s="1"/>
  <c r="G30" i="8" s="1"/>
  <c r="N22" i="10"/>
  <c r="O22" i="10"/>
  <c r="G22" i="9"/>
  <c r="P22" i="9" s="1"/>
  <c r="P29" i="9"/>
  <c r="F14" i="63" l="1"/>
  <c r="I36" i="6"/>
  <c r="D16" i="63" s="1"/>
  <c r="D13" i="63"/>
  <c r="D15" i="63" s="1"/>
  <c r="E12" i="63"/>
  <c r="D32" i="8"/>
  <c r="F27" i="8"/>
  <c r="G27" i="8"/>
  <c r="E22" i="7"/>
  <c r="G22" i="8" s="1"/>
  <c r="G29" i="8"/>
  <c r="D22" i="7"/>
  <c r="F22" i="8" s="1"/>
  <c r="F29" i="8"/>
  <c r="G28" i="8"/>
  <c r="F28" i="8"/>
  <c r="C27" i="6"/>
  <c r="K27" i="6" s="1"/>
  <c r="K33" i="6"/>
  <c r="G33" i="6"/>
  <c r="I29" i="6"/>
  <c r="I22" i="6" s="1"/>
  <c r="C39" i="8"/>
  <c r="D40" i="8" s="1"/>
  <c r="E16" i="63"/>
  <c r="F17" i="63" s="1"/>
  <c r="J39" i="7"/>
  <c r="J29" i="7" s="1"/>
  <c r="J22" i="7" s="1"/>
  <c r="R22" i="9"/>
  <c r="S22" i="9"/>
  <c r="E14" i="63" l="1"/>
  <c r="J36" i="7"/>
  <c r="J28" i="7" s="1"/>
  <c r="C36" i="8"/>
  <c r="D37" i="8" s="1"/>
  <c r="I28" i="6"/>
  <c r="H33" i="6"/>
  <c r="C11" i="63"/>
  <c r="G27" i="6"/>
  <c r="E17" i="63"/>
  <c r="C29" i="8"/>
  <c r="D30" i="8" s="1"/>
  <c r="D39" i="8"/>
  <c r="C28" i="8" l="1"/>
  <c r="D29" i="8" s="1"/>
  <c r="D36" i="8"/>
  <c r="I33" i="6"/>
  <c r="C13" i="63"/>
  <c r="C15" i="63" s="1"/>
  <c r="H27" i="6"/>
  <c r="D12" i="63"/>
  <c r="C12" i="63"/>
  <c r="C22" i="8"/>
  <c r="D22" i="8" s="1"/>
  <c r="D14" i="63" l="1"/>
  <c r="C14" i="63"/>
  <c r="I27" i="6"/>
  <c r="C33" i="8"/>
  <c r="J33" i="7"/>
  <c r="J27" i="7" s="1"/>
  <c r="C16" i="63"/>
  <c r="D33" i="8" l="1"/>
  <c r="D34" i="8"/>
  <c r="C27" i="8"/>
  <c r="C17" i="63"/>
  <c r="D17" i="63"/>
  <c r="D28" i="8" l="1"/>
  <c r="D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Samah Al Arrayedh</author>
  </authors>
  <commentList>
    <comment ref="C12" authorId="0" shapeId="0" xr:uid="{00000000-0006-0000-1500-000001000000}">
      <text>
        <r>
          <rPr>
            <sz val="9"/>
            <color indexed="81"/>
            <rFont val="Tahoma"/>
            <family val="2"/>
          </rPr>
          <t>Manufacturing</t>
        </r>
      </text>
    </comment>
  </commentList>
</comments>
</file>

<file path=xl/sharedStrings.xml><?xml version="1.0" encoding="utf-8"?>
<sst xmlns="http://schemas.openxmlformats.org/spreadsheetml/2006/main" count="4923" uniqueCount="1647">
  <si>
    <t>Banking Statistics</t>
  </si>
  <si>
    <t>الإحصاءات المصرفية</t>
  </si>
  <si>
    <t>Money &amp; Banking</t>
  </si>
  <si>
    <t>النقود والمصارف</t>
  </si>
  <si>
    <t>Central Bank of Bahrain - Assets/Liabilities</t>
  </si>
  <si>
    <t>مصرف البحرين المركزي - الموجودات/المطلوبات</t>
  </si>
  <si>
    <t>Currency</t>
  </si>
  <si>
    <t>النقد</t>
  </si>
  <si>
    <t>Money Supply</t>
  </si>
  <si>
    <t>عرض النقد</t>
  </si>
  <si>
    <t>Monetary Survey</t>
  </si>
  <si>
    <t>المسح النقدي</t>
  </si>
  <si>
    <t>Factors Affecting Changes in Money Supply</t>
  </si>
  <si>
    <t>العوامل المؤثرة في عرض النقد</t>
  </si>
  <si>
    <t>BD Exchange Rates Against Selected Currencies</t>
  </si>
  <si>
    <t>أسعار صرف الدينار البحريني مقابل بعض العملات المختارة</t>
  </si>
  <si>
    <t>Conventional Retail Banks - BD Interest Rates on Deposits and Loans</t>
  </si>
  <si>
    <t>مصارف قطاع التجزئة التقليدية - أسعار الفائدة على الودائع والقروض بالدينار البحريني</t>
  </si>
  <si>
    <t>Conventional Retail Banks - Highest and Lowest Interest Rates offered on BD Loans</t>
  </si>
  <si>
    <t>مصارف قطاع التجزئة التقليدية - أعلى وأدنى أسعار فائدة على القروض بالدينار البحريني</t>
  </si>
  <si>
    <t>Conventional Retail Banks - BD Interest Rates on Personal &amp; Business Loans by Banks</t>
  </si>
  <si>
    <t>مصارف قطاع التجزئة التقليدية - أسعار الفائدة على القروض الشخصية وقروض قطاع الأعمال حسب المصارف</t>
  </si>
  <si>
    <t>Government of Bahrain Treasury Bills</t>
  </si>
  <si>
    <t>أذونات الخزانة لحكومة البحرين</t>
  </si>
  <si>
    <t>Public Debt Instruments</t>
  </si>
  <si>
    <t>أدوات الدين العام</t>
  </si>
  <si>
    <t>Aggregated Balance Sheet of the Banking System: Retail Banks &amp; Wholesale Banks</t>
  </si>
  <si>
    <t>الميزانية الموحدة للجهاز المصرفي:  مصارف قطاع التجزئة ومصارف قطاع الجملة</t>
  </si>
  <si>
    <t>Retail Banks</t>
  </si>
  <si>
    <t>مصارف قطاع التجزئة</t>
  </si>
  <si>
    <t>Aggregated Balance Sheet - Assets</t>
  </si>
  <si>
    <t>الميزانية الموحدة - الموجودات</t>
  </si>
  <si>
    <t>Aggregated Balance Sheet - Liabilities</t>
  </si>
  <si>
    <t>الميزانية الموحدة - المطلوبات</t>
  </si>
  <si>
    <t>Foreign Assets and Liabilities</t>
  </si>
  <si>
    <t>الموجودات والمطلوبات الأجنبية</t>
  </si>
  <si>
    <t>Assets by Currency</t>
  </si>
  <si>
    <t>الموجودات حسب العملات</t>
  </si>
  <si>
    <t>Liabilities by Currency</t>
  </si>
  <si>
    <t>المطلوبات حسب العملات</t>
  </si>
  <si>
    <t>Deposit Liabilities to Non-Banks</t>
  </si>
  <si>
    <t>الودائع من غير المصارف</t>
  </si>
  <si>
    <t>Outstanding Loans and Advances to Non-Bank Residents by Economic Sector</t>
  </si>
  <si>
    <t>توزيع إجمالي القروض والتسهيلات حسب القطاعات الاقتصادية المقيمة (باستثناء المصارف)</t>
  </si>
  <si>
    <t>Outstanding Loans and Advances to Non-Bank Residents-Banks and Financing Companies</t>
  </si>
  <si>
    <t>توزيع إجمالي القروض والتسهيلات لغير المصارف-المصارف وشركات التمويل</t>
  </si>
  <si>
    <t>Geographical Classification of Assets and Liabilities</t>
  </si>
  <si>
    <t>الموجودات والمطلوبات حسب التصنيف الجغرافي</t>
  </si>
  <si>
    <t>Classification of Assets and Liabilities by Major Currencies</t>
  </si>
  <si>
    <t>الموجودات والمطلوبات حسب أهم العملات</t>
  </si>
  <si>
    <t>Selected Banking Indicators</t>
  </si>
  <si>
    <t>مؤشرات مصرفية مختارة</t>
  </si>
  <si>
    <t>Conventional Retail Banks: Aggregated Balance Sheet of Islamic Windows - Assets</t>
  </si>
  <si>
    <t>مصارف قطاع التجزئة التقليدية: الميزانية الموحدة للنوافذ الإسلامية - الموجودات</t>
  </si>
  <si>
    <t>Conventional Retail Banks: Aggregated Balance Sheet of Islamic Windows - Liabilities</t>
  </si>
  <si>
    <t>مصارف قطاع التجزئة التقليدية: الميزانية الموحدة للنوافذ الإسلامية - المطلوبات</t>
  </si>
  <si>
    <t>Wholesale Banks</t>
  </si>
  <si>
    <t>مصارف قطاع الجملة</t>
  </si>
  <si>
    <t>Islamic Banks</t>
  </si>
  <si>
    <t>المصارف الإسلامية</t>
  </si>
  <si>
    <t>Classification of Restricted &amp; Unrestricted account for Islamic Banks (Consolidated)</t>
  </si>
  <si>
    <t>الحسابات المقيدة وغير المقيدة للمصارف الإسلامية (مجمعة)</t>
  </si>
  <si>
    <t>Financial Soundness Indicators</t>
  </si>
  <si>
    <t>مؤشرا ت السلامة المالية للقطاع المصرفي</t>
  </si>
  <si>
    <t>Financial Soundness Indicators - Entire Banking Sector</t>
  </si>
  <si>
    <t>Financial Soundness Indicators - Conventional Banks</t>
  </si>
  <si>
    <t>مؤشرا ت السلامة المالية للقطاع المصرفي - المصارف التقليدية</t>
  </si>
  <si>
    <t>Financial Soundness Indicators - Islamic Banks</t>
  </si>
  <si>
    <t>مؤشرا ت السلامة المالية للقطاع المصرفي - المصارف الإسلامية</t>
  </si>
  <si>
    <t>Investment Business Firms</t>
  </si>
  <si>
    <t>شركات أعمال استثمارية</t>
  </si>
  <si>
    <t>Money Changers: Aggregated Balance Sheet</t>
  </si>
  <si>
    <t>الميزانية الموحدة لمكاتب الصرافة</t>
  </si>
  <si>
    <t>Payment Systems</t>
  </si>
  <si>
    <t xml:space="preserve">أنظمة المدفوعات </t>
  </si>
  <si>
    <t>Bahrain Cheque Truncation System (BCTS) - Returned Cheques</t>
  </si>
  <si>
    <t>نظام البحرين لمقاصة الشيكات الإلكتروني - الشيكات المرتجعة</t>
  </si>
  <si>
    <t>Point of Sales Transactions</t>
  </si>
  <si>
    <t>عمليات نقاط البيع</t>
  </si>
  <si>
    <t>Points of Sales Transactions by Sectors - Credit Cards issued in Bahrain</t>
  </si>
  <si>
    <t>عمليات نقاط البيع حسب القطاعات - بطاقات الائتمان المصدرة في البحرين</t>
  </si>
  <si>
    <t>Points of Sales Transactions by Sectors - Credit Cards issued Outside Bahrain</t>
  </si>
  <si>
    <t>عمليات نقاط البيع حسب القطاعات - بطاقات الائتمان المصدرة خارج البحرين</t>
  </si>
  <si>
    <t>Points of Sales Transactions by Sectors - Debit Cards issued in Bahrain</t>
  </si>
  <si>
    <t>عمليات نقاط البيع حسب القطاعات - بطاقات الخصم المصدرة في البحرين</t>
  </si>
  <si>
    <t>Points of Sales Transactions by Sectors - Debit Cards issued Outside Bahrain</t>
  </si>
  <si>
    <t>عمليات نقاط البيع حسب القطاعات - بطاقات الخصم المصدرة خارج البحرين</t>
  </si>
  <si>
    <t>Economic Statistics</t>
  </si>
  <si>
    <t>الإحصاءات الاقتصادية</t>
  </si>
  <si>
    <t>Population</t>
  </si>
  <si>
    <t>عدد السكان</t>
  </si>
  <si>
    <t>Balance of Payments</t>
  </si>
  <si>
    <t>ميزان المدفوعات</t>
  </si>
  <si>
    <t>International Investment Position</t>
  </si>
  <si>
    <t>وضع الاستثمار الدولي</t>
  </si>
  <si>
    <t>Bahrain Bourse</t>
  </si>
  <si>
    <t>بورصة البحرين</t>
  </si>
  <si>
    <t>Market Indicators of Listed Companies</t>
  </si>
  <si>
    <t xml:space="preserve"> مؤشرات التداول للشركات المساهمة العامة</t>
  </si>
  <si>
    <t>Value of Shares Traded by Sector</t>
  </si>
  <si>
    <t xml:space="preserve"> قيمة الأسهم المتداولة حسب القطاعات </t>
  </si>
  <si>
    <t xml:space="preserve">Bahrain Index by Sector </t>
  </si>
  <si>
    <t xml:space="preserve"> مؤشر الأسعار حسب القطاعات </t>
  </si>
  <si>
    <t>Trading value of investors' participation and % of shares ownership in listed companies</t>
  </si>
  <si>
    <t>قيمة تعاملات المستثمرين في السوق ونسب التملك في أسهم الشركات المساهمة العامة المسجلة</t>
  </si>
  <si>
    <t>Mutual Funds</t>
  </si>
  <si>
    <t>صناديق الاستثمار</t>
  </si>
  <si>
    <t xml:space="preserve"> </t>
  </si>
  <si>
    <t>Statistical Bulletin Metadata</t>
  </si>
  <si>
    <t>I. Coverage Characteristics</t>
  </si>
  <si>
    <t>Purpose of the study</t>
  </si>
  <si>
    <t>To disseminate financial and monetary data for our statistical bulletin publication that is reliable and comparable based on international standards to policy makers and other data users.</t>
  </si>
  <si>
    <t>General description of data</t>
  </si>
  <si>
    <t>The statistical bulletin gathers financial, monetary statistics from the Central Bank of Bahrain and other entities that is systematically recorded and divided by sector.</t>
  </si>
  <si>
    <t>Classification System</t>
  </si>
  <si>
    <t xml:space="preserve">Based on international Standards set forth in The Special Data Dissemination Standard (SDDS) by the International Monetary Fund. </t>
  </si>
  <si>
    <t>Statistical Population</t>
  </si>
  <si>
    <t>The subject of the study of the statistical bulletin are CBB licensees. This includes all banks, retail and wholesale, conventional and Islamic. Also, other non-banking financial institutions are included.</t>
  </si>
  <si>
    <t>Data Users</t>
  </si>
  <si>
    <t>Public institutions and organizations such as: Ministry of Finance and National Economy (MOFNE), Ministry of Trade and Industry, Bahrain Economic Development Board (EDB), international organizations such as International Monetary Fund (IMF), The Arab Monetary Fund (AMF), Rating Agencies,  financial institutions, and other users.</t>
  </si>
  <si>
    <t xml:space="preserve">Reference Area </t>
  </si>
  <si>
    <t xml:space="preserve">Bahrain </t>
  </si>
  <si>
    <t>Residency</t>
  </si>
  <si>
    <t>• For many entries on the returns, it is necessary to classify customers or counter-parties as “residents” or “non-residents” of Bahrain.  Residents are entities that are physically located in Bahrain, whether or not associated with an institution that is located outside Bahrain, and irrespective of nationality of the underlying ownership.  Conversely, non-residents are entities located outside Bahrain, whether or not owned--wholly or in part--by entities inside Bahrain.  With regard to individuals, persons who are long-term residents, or have their “economic center of interest” in Bahrain are to be classified as residents, irrespective of nationality.
• Assets and Liabilities of the reporting bank are to be broken down by the “bank” or “non-bank” character of the counter-party, the country of its residence and currency. 
•In the BOP and IIP, only retail banks and locally incorporated wholesale banks licensed by the CBB are treated as residents.</t>
  </si>
  <si>
    <t>Sector Coverage</t>
  </si>
  <si>
    <t>General Government (includes Central Government and Social Insurance), Central Bank, banks, other sectors (other financial and nonfinancial corporations).</t>
  </si>
  <si>
    <t xml:space="preserve">Time Coverage </t>
  </si>
  <si>
    <t xml:space="preserve">Data are compiled by the Central Bank of Bahrain since 2001, and are available on monthly basis. </t>
  </si>
  <si>
    <t xml:space="preserve">Statistical Concepts and Definitions </t>
  </si>
  <si>
    <t>Monetary Statistics</t>
  </si>
  <si>
    <t>Concept</t>
  </si>
  <si>
    <t>Description</t>
  </si>
  <si>
    <t>Periodicity</t>
  </si>
  <si>
    <t>Tables</t>
  </si>
  <si>
    <t>Scale</t>
  </si>
  <si>
    <t xml:space="preserve">• Money supply is the total value of money in an economy. 
• This table shows M0,M1,M2,M3. M0 describes the monetary base of the economy (Currency in circulation + Bank deposits in the Central Bank of Bahrain). 
• M1 is a narrow measure of money supply that consists of the most liquid portions of money (Currency in Circulation + Demand deposits). 
• M2 is a broader measure of money supply than M1 (M1 + Time and Saving deposits).
• M3 is the broadest definition of money supply and it includes the least liquid portions of money (M2 + General Government Deposits).
</t>
  </si>
  <si>
    <t>Monthly</t>
  </si>
  <si>
    <t>BD</t>
  </si>
  <si>
    <t>Million</t>
  </si>
  <si>
    <t xml:space="preserve">• It displays the components of M3 in terms of net foreign assets and domestic assets. 
• Domestic Assets include Claims on General Government and Claims on Private Sector, in addition to other net assets.  
</t>
  </si>
  <si>
    <t>Interest Rates on Deposits and Loans</t>
  </si>
  <si>
    <t xml:space="preserve">Historical data on the average interest on Deposits and Loans with a sectoral breakdown is provided. The data is also provided by banks. </t>
  </si>
  <si>
    <t>7-9</t>
  </si>
  <si>
    <t>NA</t>
  </si>
  <si>
    <t>% Per Annum</t>
  </si>
  <si>
    <t xml:space="preserve">• Public Debt is measured in terms of treasury bills and securities. 
• Conventional instruments include development bonds and treasury bills with a maturity of 91 days, 182 days, 12 months. 
• Islamic instruments includes Islamic Leasing securities and Al Salam securities. Sukuk or Islamic securities can be issued in BD or USD, and an exchange rate of 0.376 is used when evaluating USD government securities in BD.  </t>
  </si>
  <si>
    <t>10-11</t>
  </si>
  <si>
    <t xml:space="preserve">Balance Sheet of The Central Bank of Bahrain </t>
  </si>
  <si>
    <t xml:space="preserve">• Assets are divided into foreign and domestic. Foreign Assets include Foreign Exchange Reserves and Gold. A fixed value of 2.5 is recorded for monetary gold.
• Domestic Assets are presented in terms of claims on government, claims on banks and others.
• Liabilities include Foreign Liabilities and Domestic Liabilities such as Currency in Circulation, Liabilities to Banks and Non-Banks, Central Government Deposits, Capital Reserves and others.
</t>
  </si>
  <si>
    <t>Aggregated Balance Sheet of the Banking System</t>
  </si>
  <si>
    <t xml:space="preserve">• The aggregate balance sheet covers all the banking system excluding the balance sheet of The Central Bank of Bahrain. 
• Balance sheets are also provided by sector; Retail, wholesale, and Islamic. Each sectoral balance sheet is divided into two tables of Assets and Liabilities. 
• Domestic Assets include Cash, Central Bank, Banks, Non Banks, and General Government. 
</t>
  </si>
  <si>
    <t>USD</t>
  </si>
  <si>
    <t>Aggregated Balance Sheet of Retail Banks</t>
  </si>
  <si>
    <t xml:space="preserve">• In the Retail Sector, Net Foreign Assets are calculated, as well as the deposit liabilities. 
• A table is also provided to segment loans provided to non-bank residents by industrial sector, personal sector, and general government, excluding securities. 
• A classification of the balance sheet is also provided by currency and geographical locations. </t>
  </si>
  <si>
    <t>13-25</t>
  </si>
  <si>
    <t>Aggregated Balance Sheet of Wholesale Banks</t>
  </si>
  <si>
    <t xml:space="preserve">• In the wholesale Sector, Assets and Liabilities are divided into two table, in addition to the currency and geographical classification tables. </t>
  </si>
  <si>
    <t>26-29</t>
  </si>
  <si>
    <t>Aggregated Balance Sheet of Islamic Banks</t>
  </si>
  <si>
    <t>• In the Islamic Sector, both retail and wholesale banks are included. 
• Separate tables are provided for Assets and Liabilities, along with currency and geographical classification.  
• Further classification by restricted and unrestricted investment accounts, resident and non-resident, is also provided.</t>
  </si>
  <si>
    <t>30-34</t>
  </si>
  <si>
    <t xml:space="preserve">• Investment Business Firms Assets are divided by the three categories.
• Assets include Balance Sheet Assets and Assets Under Management, resident and non-resident.
</t>
  </si>
  <si>
    <t>Quarterly</t>
  </si>
  <si>
    <t>38</t>
  </si>
  <si>
    <t>Aggregated Balance Sheet of Money Changers</t>
  </si>
  <si>
    <t xml:space="preserve">• Domestic Assets include Cash, Deposits from Banks, Due from others, and other assets.
• Domestic Liabilities include Loans from Banks, Due to Others, Reserves and Equity, and other liabilities.
</t>
  </si>
  <si>
    <t>39</t>
  </si>
  <si>
    <t>Thousand</t>
  </si>
  <si>
    <t xml:space="preserve">Four payment systems are available to conduct transactions: 
• Real Time Gross Settlement for customer and inter-bank transactions, which is divided by customer transactions and interbank transactions.
• Electronic Funds Transfer System (EFTS)
• Electronic Bill Payment and Presentment (EBPP)
Bahrain Cheque Truncation System (BCTS); Returned Cheques are also provided by volume and value along with the reasons (Technical or Financial Reasons). </t>
  </si>
  <si>
    <t>40-41</t>
  </si>
  <si>
    <t>• In this section, the number of transaction and their values are displayed for both debit and credit cards issued inside and outside Bahrain.
• Classification of POS transactions is provided by sector.</t>
  </si>
  <si>
    <t>42-46</t>
  </si>
  <si>
    <t>Economic And Capital Market Statistics</t>
  </si>
  <si>
    <t>According to the IGA, the scope used to measure the population is the De Jure Population, which accounts for all usual residents residing in Bahrain for 6 months or more.</t>
  </si>
  <si>
    <t>Yearly</t>
  </si>
  <si>
    <t>47</t>
  </si>
  <si>
    <t>Thousands of Individuals</t>
  </si>
  <si>
    <t>The International Investment Position (IIP) is covered in terms of Foreign Assets and Foreign Liabilities.</t>
  </si>
  <si>
    <t>49</t>
  </si>
  <si>
    <t xml:space="preserve">Bahrain Bourse </t>
  </si>
  <si>
    <t xml:space="preserve">• This section covers the stock market regulated by Bahrain Bourse. 
• It provides the number of companies along with the volume and value of shares traded. It also classifies the value of shares traded according to sector. 
• In addition, it covers market indicators like the capitalization and the turnover rate. 
• It also provides the trading value of investors' participation and percentage of shares ownership in listed companies on quarterly basis. </t>
  </si>
  <si>
    <t>50-53</t>
  </si>
  <si>
    <t xml:space="preserve">Mutual Funds </t>
  </si>
  <si>
    <t xml:space="preserve">Mutual funds are professionally managed investment funds that are segmented in terms of type of bank or type of investor, whether an individual investor or an institution. </t>
  </si>
  <si>
    <t>Financial Statistics</t>
  </si>
  <si>
    <t>Financial Soundness Indicators are calculated for the overall banking sector and the following banking segments: Conventional Retail and Conventional Wholesale, Islamic Retail and Islamic Wholesale. The Data covers the following core indicators:
• Capital Adequacy Ratio (CAR)
• Tier 1 Capital Adequacy Ratio (Tier 1 CAR)
• Non-Performing Loans Ratio (NPL)
• Specific Provisioning
• Return on Assets (ROA)
• Return on Equity (ROE)
• Liquidity Ratio (LR)
• Loan/deposit Ratio</t>
  </si>
  <si>
    <t>35-37</t>
  </si>
  <si>
    <t>%</t>
  </si>
  <si>
    <t>II. Periodicity and Access</t>
  </si>
  <si>
    <t xml:space="preserve">Frequency of data collection: Monthly </t>
  </si>
  <si>
    <t>Frequency of dissemination: Monthly</t>
  </si>
  <si>
    <t>Timeliness</t>
  </si>
  <si>
    <t xml:space="preserve">Average production time for each release of data: 21 days </t>
  </si>
  <si>
    <t>Time lag: 30 days</t>
  </si>
  <si>
    <t>Revisions</t>
  </si>
  <si>
    <t>Data is revised and updated on the official website whenever needed.</t>
  </si>
  <si>
    <t>Access by The Public</t>
  </si>
  <si>
    <t>The data is published simultaneously every end of a month and are available on the CBB website (https://www.cbb.gov.bh/publications) along with a press release (https://www.cbb.gov.bh/media-center). In addition, the CBB Media Team sends a press release prepared by the Statistics Unit to public newspapers. The level of detail of the statistics is adapted to the need of the intended audience and any further detailed or partial statistics can be made available upon an official written request.  All users must be given equal treatment and equal access to statistical information.</t>
  </si>
  <si>
    <t xml:space="preserve">III. Integrity </t>
  </si>
  <si>
    <t>Responsibility for collecting, processing, and disseminating statistics</t>
  </si>
  <si>
    <t>The Financial Stability Directorate has the ability to gather information based on the power of the Central Bank to collect information given in articles (111), (112), and (113) of the CBB Law. The Statistical Research Division in the Financial Stability Directorate (FSD) is responsible for collecting and compiling the monthly statistical returns to generate the financial and monetary statistics. Some data is collected from other internal directorates and external entities. However, other employees have no access to the data prior to publication. In case of any technical issues, technical support by the Information Technology Directorate is provided.</t>
  </si>
  <si>
    <t>Confidentiality of individual reporters' data</t>
  </si>
  <si>
    <t xml:space="preserve">According to the CBB, the data is published for statistical purposes on an aggregate level and personal and private information of any licensed institution or private body shall not be disclosed.  </t>
  </si>
  <si>
    <t>Impartiality of statistics</t>
  </si>
  <si>
    <t>The data reflected in the tables is obtained from related internal directorates within the CBB and other reliable and credible independent entities  and are checked in coordination for necessary amendments.</t>
  </si>
  <si>
    <t>Data Sources</t>
  </si>
  <si>
    <t>Central Bank of Bahrain (CBB), Ministry of Finance and National Economy (MOFNE), Bahrain Bourse, Information and e-Government Authority (IGA).</t>
  </si>
  <si>
    <t>Commenting on erroneous interpretation and misuse of statistics</t>
  </si>
  <si>
    <t xml:space="preserve">The CBB issues a press release that highlights important information in a way to avoid misinterpretation. However, in case of misinterpretation or misuse of data, the CBB responds on a case by case basis by addressing each incident with corrected data and interpretation. </t>
  </si>
  <si>
    <t>IV. Quality</t>
  </si>
  <si>
    <t xml:space="preserve">The data is explained in this metadata Section. All statistics in the same data set are consistent internally. Methodological Soundness is highly valued and the overall structure of data is internationally comparable. </t>
  </si>
  <si>
    <t>V. Additional Notes</t>
  </si>
  <si>
    <t>Last Updated: March 31st, 2020</t>
  </si>
  <si>
    <t>المؤشرات المصرفية والنقدية والمالية</t>
  </si>
  <si>
    <t>Banking, Financial and Monetary Indicators</t>
  </si>
  <si>
    <t>SECTORS</t>
  </si>
  <si>
    <t>القطاعات</t>
  </si>
  <si>
    <t>الفصل</t>
  </si>
  <si>
    <t>الأول</t>
  </si>
  <si>
    <t>الثاني</t>
  </si>
  <si>
    <t>الثالث</t>
  </si>
  <si>
    <t>الرابع</t>
  </si>
  <si>
    <t>Q1</t>
  </si>
  <si>
    <t>Q2</t>
  </si>
  <si>
    <t>Q3</t>
  </si>
  <si>
    <t>Q4</t>
  </si>
  <si>
    <t>Central Bank of Bahrain (B.D. Million)</t>
  </si>
  <si>
    <t>مصرف البحرين المركزي (مليون دينار)</t>
  </si>
  <si>
    <t>Total Assets/Liabilities</t>
  </si>
  <si>
    <t>إجمالي الموجودات / المطلوبات</t>
  </si>
  <si>
    <t>Money Supply (B.D. Million)</t>
  </si>
  <si>
    <t>عرض النقد (مليون دينار)</t>
  </si>
  <si>
    <t>M1</t>
  </si>
  <si>
    <t>ن1</t>
  </si>
  <si>
    <t>Growth Rate %</t>
  </si>
  <si>
    <t>M2</t>
  </si>
  <si>
    <t>ن2</t>
  </si>
  <si>
    <t>As % of GDP</t>
  </si>
  <si>
    <t>كنسبة من الناتج المحلي الإجمالي</t>
  </si>
  <si>
    <t>M3</t>
  </si>
  <si>
    <t>ن3</t>
  </si>
  <si>
    <t>Banking System</t>
  </si>
  <si>
    <t>الجهاز المصرفي</t>
  </si>
  <si>
    <t>Aggregated Balance Sheet of Banking System (USD Million)</t>
  </si>
  <si>
    <t>الميزانية الموحدة للجهاز المصرفي (مليون دولار)</t>
  </si>
  <si>
    <t>Aggregated Balance Sheet of Retail Banks (USD Million)</t>
  </si>
  <si>
    <t>الميزانية الموحدة لمصارف قطاع التجزئة (مليون دولار)</t>
  </si>
  <si>
    <t>Aggregated Balance Sheet of Wholesale Banks (USD Million)</t>
  </si>
  <si>
    <t>الميزانية الموحدة لمصارف قطاع الجملة (مليون دولار)</t>
  </si>
  <si>
    <t>Aggregated Balance Sheet of Islamic Banks (USD Million)</t>
  </si>
  <si>
    <t>الميزانية الموحدة للمصارف الإسلامية (مليون دولار)</t>
  </si>
  <si>
    <t>Total Domestic Assets of the Banking System (USD Million)</t>
  </si>
  <si>
    <t>إجمالي الموجودات المحلية للجهاز المصرفي (مليون دولار)</t>
  </si>
  <si>
    <t>Total Foreign Liabilities of the Banking System (USD Million)</t>
  </si>
  <si>
    <t>إجمالي المطلوبات الأجنبية للجهاز المصرفي (مليون دولار)</t>
  </si>
  <si>
    <t>As % of Total Liabilities</t>
  </si>
  <si>
    <t>كنسبة من مجموع مطلوبات الجهاز المصرفي</t>
  </si>
  <si>
    <t>Total Equity of the Banking System (USD Million)</t>
  </si>
  <si>
    <t>مجموع حقوق الملكية للجهاز المصرفي (مليون دولار)</t>
  </si>
  <si>
    <t>As % Total Liabilities</t>
  </si>
  <si>
    <t>كنسبة من إجمالي المطلوبات</t>
  </si>
  <si>
    <t>Retail Banks (FCB)</t>
  </si>
  <si>
    <t xml:space="preserve">Net Foreign Assets (B.D. Million) </t>
  </si>
  <si>
    <t>صافي الموجودات الأجنبية (مليون دينار)</t>
  </si>
  <si>
    <t>Total Local Deposits (B.D. Million) *</t>
  </si>
  <si>
    <t>مجموع الودائع المحلية (مليون دينار) *</t>
  </si>
  <si>
    <t xml:space="preserve">Total Outstanding Loans to Residents (B.D. Million) </t>
  </si>
  <si>
    <t>الرصيد القائم للقروض المقدمة للقطاعات المقيمة (مليون دينار)</t>
  </si>
  <si>
    <t>*  Includes BD &amp; FC deposits.</t>
  </si>
  <si>
    <t>*  تشمل الودائع بالدينار البحريني والعملات الأجنبية.</t>
  </si>
  <si>
    <t>Interest Rates</t>
  </si>
  <si>
    <t>أسعار الفائدة</t>
  </si>
  <si>
    <t>Average Interest Rate on Personal Loans</t>
  </si>
  <si>
    <t>متوسط نسبة الفائدة على القروض الشخصية</t>
  </si>
  <si>
    <t>Average Interest Rate on Business Loans (Excludes Overdraft Approvals)</t>
  </si>
  <si>
    <t>متوسط نسبة الفائدة على قروض قطاع الأعمال (لا يشمل السحب على المكشوف)</t>
  </si>
  <si>
    <t>Average Interest Rate on Deposits (3-12 Months)</t>
  </si>
  <si>
    <t>متوسط نسبة الفائدة على الودائع (3-12 شهر)</t>
  </si>
  <si>
    <t>Money Market Rate/Inter- Bank Rate % *</t>
  </si>
  <si>
    <t>Average Interest Rate - 3 Months</t>
  </si>
  <si>
    <t>متوسط أسعار الفائدة - ثلاثة شهور</t>
  </si>
  <si>
    <t>Average Interest Rate - 6 Months</t>
  </si>
  <si>
    <t>متوسط أسعار الفائدة - ستة شهور</t>
  </si>
  <si>
    <t>Repos</t>
  </si>
  <si>
    <t>متوسط أسعار الفائدة لعقود إعادة الشراء</t>
  </si>
  <si>
    <t>Yield on Short-Term Treasury Bills %</t>
  </si>
  <si>
    <t>Average Interest Rate - 12 Months</t>
  </si>
  <si>
    <t>متوسط أسعار الفائدة - أثنى عشر شهرا</t>
  </si>
  <si>
    <t>Average of Return on Short-Term Islamic Al-Salam Securities</t>
  </si>
  <si>
    <t>متوسط سعر العائد على صكوك السلم الإسلامية قصيرة الأجل</t>
  </si>
  <si>
    <t>Average of Return on Short-Term Islamic Leasing Securities</t>
  </si>
  <si>
    <t>متوسط سعر العائد على صكوك التأجير الإسلامية قصيرة الأجل</t>
  </si>
  <si>
    <t>Average of Return on Local and International Long-Term Islamic Leasing Securities</t>
  </si>
  <si>
    <t>متوسط سعر العائد على صكوك التأجير الإسلامية طويلة الأجل المحلية والدولية</t>
  </si>
  <si>
    <t>Yield on Long-Term Government Development Bond %</t>
  </si>
  <si>
    <t>Average Interest Rate on Local and International Long-Term Government Bond</t>
  </si>
  <si>
    <t>متوسط أسعار الفائدة على السندات الحكومية طويلة الأجل المحلية والدولية</t>
  </si>
  <si>
    <t xml:space="preserve">Manpower </t>
  </si>
  <si>
    <t>العمالة</t>
  </si>
  <si>
    <t>Number of Employees in Banking and Financial Sector</t>
  </si>
  <si>
    <t>عدد العاملين في القطاع المصرفي والمالي</t>
  </si>
  <si>
    <t>Bahranisation in the Banking and Financial Sector %</t>
  </si>
  <si>
    <t>نسبة البحرنة في القطاع المصرفي والمالي</t>
  </si>
  <si>
    <t>Licenses</t>
  </si>
  <si>
    <t>التراخيص</t>
  </si>
  <si>
    <t>Number of Banks and Financial Institutions</t>
  </si>
  <si>
    <t>عدد المصارف والمؤسسات المالية</t>
  </si>
  <si>
    <t>New Licenses</t>
  </si>
  <si>
    <t>التراخيص الجديدة</t>
  </si>
  <si>
    <t>Number of Mutual Funds</t>
  </si>
  <si>
    <t>عدد صناديق الاستثمار</t>
  </si>
  <si>
    <t>New Mutual Funds</t>
  </si>
  <si>
    <t>صناديق الاستثمار الجديدة</t>
  </si>
  <si>
    <t>Total Investment in Mutual Funds (USD Million)</t>
  </si>
  <si>
    <t>إجمالي المبالغ المستثمرة في صناديق الاستثمار (مليون دولار)</t>
  </si>
  <si>
    <t>Public Debt Instruments (B.D. Million)</t>
  </si>
  <si>
    <t>أدوات الدين العام (مليون دينار)</t>
  </si>
  <si>
    <t>Public Debt Instruments as % of GDP</t>
  </si>
  <si>
    <t xml:space="preserve">أدوات الدين العام كنسبة من الناتج المحلي الإجمالي </t>
  </si>
  <si>
    <t xml:space="preserve">Government Development Bonds </t>
  </si>
  <si>
    <t>سندات التنمية الحكومية</t>
  </si>
  <si>
    <t xml:space="preserve">Treasury Bonds </t>
  </si>
  <si>
    <t>أذونات الخزانة</t>
  </si>
  <si>
    <t xml:space="preserve">Al-Salam Islamic Securities </t>
  </si>
  <si>
    <t>صكوك السلم الإسلامية</t>
  </si>
  <si>
    <t xml:space="preserve">Islamic Leasing Securities </t>
  </si>
  <si>
    <t>صكوك التأجير الإسلامية</t>
  </si>
  <si>
    <t>*  Interest rates on US Dollar.</t>
  </si>
  <si>
    <t>*  أسعار الفائدة على الدولار الأمريكي.</t>
  </si>
  <si>
    <t>BD Exchange Rates Against Selected Currencies 1/</t>
  </si>
  <si>
    <t>أسعار صرف الدينار البحريني مقابل العملات الأجنبية الرئيسية 1/</t>
  </si>
  <si>
    <t>الدولار الأمريكي</t>
  </si>
  <si>
    <t>GBP</t>
  </si>
  <si>
    <t>الجنيه الإسترليني</t>
  </si>
  <si>
    <t>EURO</t>
  </si>
  <si>
    <t>اليورو</t>
  </si>
  <si>
    <t>Bahrain All Share Index (Point)</t>
  </si>
  <si>
    <t>مؤشر البحرين العام (نقطة)</t>
  </si>
  <si>
    <t>Market Capitalisation (B.D. Million)</t>
  </si>
  <si>
    <t>القيمة السوقية (مليون دينار)</t>
  </si>
  <si>
    <t>Market Capitalisation (USD Million)</t>
  </si>
  <si>
    <t>القيمة السوقية (مليون دولار)</t>
  </si>
  <si>
    <t>National Accounts</t>
  </si>
  <si>
    <t>الحسابات القومية</t>
  </si>
  <si>
    <t>GDP at Current Prices (B.D. Million)</t>
  </si>
  <si>
    <t>الناتج المحلي الإجمالي (بالأسعار الجارية) (مليون دينار)</t>
  </si>
  <si>
    <t>GDP Deflator (2001=100)</t>
  </si>
  <si>
    <t>الأرقام القياسية الضمنية للناتج المحلي الإجمالي (2001=100)</t>
  </si>
  <si>
    <t>1/   Last working day of each period.</t>
  </si>
  <si>
    <t>1/  آخر يوم عمل في نهاية كل فترة.</t>
  </si>
  <si>
    <t>مصرف البحرين المركزي</t>
  </si>
  <si>
    <t>Central Bank of Bahrain</t>
  </si>
  <si>
    <t>الموجودات / المطلوبات</t>
  </si>
  <si>
    <t>Assets / Liabilities</t>
  </si>
  <si>
    <t>B.D. Million</t>
  </si>
  <si>
    <t>مليون دينار</t>
  </si>
  <si>
    <t>Assets</t>
  </si>
  <si>
    <t>الموجودات</t>
  </si>
  <si>
    <t>Liabilities</t>
  </si>
  <si>
    <t>المطلوبات</t>
  </si>
  <si>
    <t>الأجنبية</t>
  </si>
  <si>
    <t xml:space="preserve">  Domestic</t>
  </si>
  <si>
    <t>المحلية</t>
  </si>
  <si>
    <t>Domestic</t>
  </si>
  <si>
    <t>نهاية الفترة</t>
  </si>
  <si>
    <t>Foreign</t>
  </si>
  <si>
    <t>مطالب على</t>
  </si>
  <si>
    <t>المجموع</t>
  </si>
  <si>
    <t>مطلوبات</t>
  </si>
  <si>
    <t>ودائع</t>
  </si>
  <si>
    <t xml:space="preserve">مطلوبات </t>
  </si>
  <si>
    <t>رأس المال</t>
  </si>
  <si>
    <t>End of Period</t>
  </si>
  <si>
    <t>ذهب</t>
  </si>
  <si>
    <t>عملات أجنبية</t>
  </si>
  <si>
    <t>المصارف المحلية</t>
  </si>
  <si>
    <t>الحكومة</t>
  </si>
  <si>
    <t>أخرى</t>
  </si>
  <si>
    <t>Total</t>
  </si>
  <si>
    <t>المتداول</t>
  </si>
  <si>
    <t>للمصارف المحلية</t>
  </si>
  <si>
    <t>لغير المصارف</t>
  </si>
  <si>
    <t>والاحتياطي</t>
  </si>
  <si>
    <t>Gold</t>
  </si>
  <si>
    <t>Claims on</t>
  </si>
  <si>
    <t>Other</t>
  </si>
  <si>
    <t>Currency in</t>
  </si>
  <si>
    <t>Liab. to</t>
  </si>
  <si>
    <t>Central</t>
  </si>
  <si>
    <t>Capital &amp;</t>
  </si>
  <si>
    <t>Exchange</t>
  </si>
  <si>
    <t>Banks</t>
  </si>
  <si>
    <t>Govt.</t>
  </si>
  <si>
    <t>Circulation</t>
  </si>
  <si>
    <t>Gov. Dep.</t>
  </si>
  <si>
    <t>Non-banks</t>
  </si>
  <si>
    <t>Reserves</t>
  </si>
  <si>
    <t>L. Total</t>
  </si>
  <si>
    <t>Mar.</t>
  </si>
  <si>
    <t>Apr.</t>
  </si>
  <si>
    <t>May</t>
  </si>
  <si>
    <t>Jun.</t>
  </si>
  <si>
    <t>Jul.</t>
  </si>
  <si>
    <t>Aug.</t>
  </si>
  <si>
    <t>Sep.</t>
  </si>
  <si>
    <t>Oct.</t>
  </si>
  <si>
    <t>Nov.</t>
  </si>
  <si>
    <t>Dec.</t>
  </si>
  <si>
    <t>Jan.</t>
  </si>
  <si>
    <t>Feb.</t>
  </si>
  <si>
    <t xml:space="preserve"> - 1 -</t>
  </si>
  <si>
    <t>Currency in Circulation 1/</t>
  </si>
  <si>
    <t>النقد المتداول</t>
  </si>
  <si>
    <t>Notes, by denomination</t>
  </si>
  <si>
    <t>أوراق النقد حسب الفئات</t>
  </si>
  <si>
    <t>النقد لدى</t>
  </si>
  <si>
    <t>مجموع</t>
  </si>
  <si>
    <t>المسكوكات</t>
  </si>
  <si>
    <t>المصارف</t>
  </si>
  <si>
    <t>خارج المصارف</t>
  </si>
  <si>
    <t>عشرون دينار</t>
  </si>
  <si>
    <t>عشرة دنانير</t>
  </si>
  <si>
    <t>خمسة دنانير</t>
  </si>
  <si>
    <t>دينار واحد</t>
  </si>
  <si>
    <t>نصف دينار</t>
  </si>
  <si>
    <t>أوراق النقد</t>
  </si>
  <si>
    <t>Coins</t>
  </si>
  <si>
    <t>BD 20</t>
  </si>
  <si>
    <t>BD 10</t>
  </si>
  <si>
    <t>BD 5</t>
  </si>
  <si>
    <t>BD 1</t>
  </si>
  <si>
    <t>BD 1/2</t>
  </si>
  <si>
    <t>held by</t>
  </si>
  <si>
    <t>Outside</t>
  </si>
  <si>
    <t>Notes</t>
  </si>
  <si>
    <t>banks</t>
  </si>
  <si>
    <t>1/  Notes and coins outside Central Bank of Bahrain.</t>
  </si>
  <si>
    <t>1/  أوراق النقد والمسكوكات خارج مصرف البحرين المركزي.</t>
  </si>
  <si>
    <t xml:space="preserve"> - 2 -</t>
  </si>
  <si>
    <t>Deposits 1/</t>
  </si>
  <si>
    <t>الودائع</t>
  </si>
  <si>
    <t>ودائع المصارف لدى</t>
  </si>
  <si>
    <t xml:space="preserve"> Private Sector</t>
  </si>
  <si>
    <t xml:space="preserve"> القطاع الخاص</t>
  </si>
  <si>
    <t>المصرف المركزي</t>
  </si>
  <si>
    <t>القاعدة النقدية</t>
  </si>
  <si>
    <t>تحت الطلب</t>
  </si>
  <si>
    <t>الأجل والتوفير</t>
  </si>
  <si>
    <t>بمفهومه الضيق</t>
  </si>
  <si>
    <t>بمفهومه المتوسط</t>
  </si>
  <si>
    <t>بمفهومه الواسع</t>
  </si>
  <si>
    <t>Banks Deposits</t>
  </si>
  <si>
    <t>Monetary</t>
  </si>
  <si>
    <t>Demand</t>
  </si>
  <si>
    <t>Time and</t>
  </si>
  <si>
    <t>General</t>
  </si>
  <si>
    <t>with Central</t>
  </si>
  <si>
    <t>Base (M0)</t>
  </si>
  <si>
    <t>Outside Banks</t>
  </si>
  <si>
    <t>Savings</t>
  </si>
  <si>
    <t>Government 2/</t>
  </si>
  <si>
    <t>5 = (1+2)</t>
  </si>
  <si>
    <t>6 = (3+5)</t>
  </si>
  <si>
    <t>7 = (4+6)</t>
  </si>
  <si>
    <t>Bank</t>
  </si>
  <si>
    <t>9 = (1+8)</t>
  </si>
  <si>
    <t>1/  BD and FC deposits of resident non-banks at Central Bank of Bahrain and Retail Banks.</t>
  </si>
  <si>
    <t xml:space="preserve">1/  الودائع بالدينار البحريني والعملات الأجنبية لغير المصارف لدى مصرف البحرين المركزي ومصارف قطاع التجزئة. </t>
  </si>
  <si>
    <t>2/  Central Government and the Social Insurance System.</t>
  </si>
  <si>
    <t>2/  الحكومة المركزية ونظام التأمينات الاجتماعية.</t>
  </si>
  <si>
    <t xml:space="preserve"> - 3 -</t>
  </si>
  <si>
    <t>صافي الموجودات الأجنبية</t>
  </si>
  <si>
    <t>الموجودات المحلية</t>
  </si>
  <si>
    <t>Net Foreign Assets</t>
  </si>
  <si>
    <t>Domestic Assets</t>
  </si>
  <si>
    <t>مصرف البحرين</t>
  </si>
  <si>
    <t>مصارف</t>
  </si>
  <si>
    <t>المطالب على</t>
  </si>
  <si>
    <t>صافي الموجودات</t>
  </si>
  <si>
    <t>المركزي</t>
  </si>
  <si>
    <t>قطاع التجزئة</t>
  </si>
  <si>
    <t>القطاع الخاص</t>
  </si>
  <si>
    <t>الأخرى</t>
  </si>
  <si>
    <t>Central  Bank</t>
  </si>
  <si>
    <t>Retail</t>
  </si>
  <si>
    <t>of Bahrain</t>
  </si>
  <si>
    <t>Government</t>
  </si>
  <si>
    <t>Private Sector</t>
  </si>
  <si>
    <t>Assets (Net)</t>
  </si>
  <si>
    <t xml:space="preserve"> - 4 -</t>
  </si>
  <si>
    <t>العـوامل المؤثرة في عرض النقد</t>
  </si>
  <si>
    <t>Factors Affecting Change in Money Supply</t>
  </si>
  <si>
    <t>التغيرات في صافي الموجودات الأجنبية</t>
  </si>
  <si>
    <t>التغيرات في الموجودات المحلية</t>
  </si>
  <si>
    <t>Change in Net Foreign Assets</t>
  </si>
  <si>
    <t>Change in Domestic Assets</t>
  </si>
  <si>
    <t>التغير</t>
  </si>
  <si>
    <t>أخرى (صافي)</t>
  </si>
  <si>
    <t>Change</t>
  </si>
  <si>
    <t>Other (Net)</t>
  </si>
  <si>
    <t xml:space="preserve"> - 5 -</t>
  </si>
  <si>
    <t>أسعار صرف الدينار البحريني مقابل بعض العملات المختارة 1/</t>
  </si>
  <si>
    <t>BD Per Unit of Foreign Currency</t>
  </si>
  <si>
    <t>دينار بحريني لكل وحدة عملة أجنبية</t>
  </si>
  <si>
    <t>GCC Currencies 2/</t>
  </si>
  <si>
    <t xml:space="preserve">         عملات دول مجلس التعاون الخليجي</t>
  </si>
  <si>
    <t>Major Currencies</t>
  </si>
  <si>
    <t xml:space="preserve">       العملات الرئيسية</t>
  </si>
  <si>
    <t>ريال سعودي</t>
  </si>
  <si>
    <t>دينار كويتي</t>
  </si>
  <si>
    <t>درهم إماراتي</t>
  </si>
  <si>
    <t>ريال عماني</t>
  </si>
  <si>
    <t>ريال قطري</t>
  </si>
  <si>
    <t>دولارأمريكي</t>
  </si>
  <si>
    <t>جنيه إسترليني</t>
  </si>
  <si>
    <t>ين ياباني</t>
  </si>
  <si>
    <t>فرنك سويسري</t>
  </si>
  <si>
    <t>Saudi Riyal</t>
  </si>
  <si>
    <t>Kuwaiti Dinar</t>
  </si>
  <si>
    <t>UAE Dirham</t>
  </si>
  <si>
    <t>Omani Riyal</t>
  </si>
  <si>
    <t>Qatari Riyal</t>
  </si>
  <si>
    <t>U.S. Dollar</t>
  </si>
  <si>
    <t>Pound Sterling</t>
  </si>
  <si>
    <t>Euro</t>
  </si>
  <si>
    <t>Japanese Yen 3/</t>
  </si>
  <si>
    <t>Swiss Franc</t>
  </si>
  <si>
    <t>1/  Last working day of each period.</t>
  </si>
  <si>
    <t>1/ آخر يوم عمل في نهاية كل فترة.</t>
  </si>
  <si>
    <t>2/ GCC currencies exchange rates are as per official peg except Kuwaiti Dinar as per market prices.</t>
  </si>
  <si>
    <t>2/ أسعار صرف عملات دول مجلس التعاون الخليجي متوافقة مع سعر الربط الرسمي باستثناء الدينار الكويتي وفقا لأسعار السوق.</t>
  </si>
  <si>
    <t>3/  Per 1000 Units.</t>
  </si>
  <si>
    <t>3/  لكل 1000 وحدة.</t>
  </si>
  <si>
    <t xml:space="preserve"> - 6 -</t>
  </si>
  <si>
    <t>مصارف قطاع التجزئة التقليدية - أسعار الفائدة على الودائع والقروض بالدينار البحريني 1/</t>
  </si>
  <si>
    <t>Conventional Retail Banks - Interest Rates on BD Deposits &amp; Loans 1/</t>
  </si>
  <si>
    <t>Percent Per Annum</t>
  </si>
  <si>
    <t>النسبة السنوية</t>
  </si>
  <si>
    <t xml:space="preserve">    Deposits</t>
  </si>
  <si>
    <t xml:space="preserve">     Business Loans </t>
  </si>
  <si>
    <t xml:space="preserve">     قروض قطاع الأعمال</t>
  </si>
  <si>
    <t xml:space="preserve">     Personal Loans</t>
  </si>
  <si>
    <t xml:space="preserve">     القروض الشخصية </t>
  </si>
  <si>
    <t xml:space="preserve">  Time 2/</t>
  </si>
  <si>
    <t xml:space="preserve">   لأجل</t>
  </si>
  <si>
    <t xml:space="preserve">   Secured</t>
  </si>
  <si>
    <t xml:space="preserve">   بضمان</t>
  </si>
  <si>
    <t>التوفير</t>
  </si>
  <si>
    <t>أقل من 3 شهور</t>
  </si>
  <si>
    <t xml:space="preserve"> 12-3 شهر</t>
  </si>
  <si>
    <t>الإنشاء والتعمير</t>
  </si>
  <si>
    <t>الصناعة</t>
  </si>
  <si>
    <t>التجارة</t>
  </si>
  <si>
    <t>(لا يشمل السحب على المكشوف)</t>
  </si>
  <si>
    <t>(يشمل السحب على المكشوف)</t>
  </si>
  <si>
    <t>العقار</t>
  </si>
  <si>
    <t>المركبة</t>
  </si>
  <si>
    <t xml:space="preserve"> الودائع</t>
  </si>
  <si>
    <t>الراتب</t>
  </si>
  <si>
    <t>بطاقات الائتمان</t>
  </si>
  <si>
    <t>Less than 3 months</t>
  </si>
  <si>
    <t>3-12 months</t>
  </si>
  <si>
    <t>Construction and Real Estate</t>
  </si>
  <si>
    <t>Manufacturing</t>
  </si>
  <si>
    <t>Trade</t>
  </si>
  <si>
    <t>Other 3/</t>
  </si>
  <si>
    <t>Total (Excludes overdraft approvals)</t>
  </si>
  <si>
    <t>Total (Includes overdraft approvals)</t>
  </si>
  <si>
    <t xml:space="preserve">by Mortgages </t>
  </si>
  <si>
    <t>Vehicle Title</t>
  </si>
  <si>
    <t xml:space="preserve">by Deposits </t>
  </si>
  <si>
    <t>Salary Assignment</t>
  </si>
  <si>
    <t>Total 4/</t>
  </si>
  <si>
    <t>Credit Cards</t>
  </si>
  <si>
    <t xml:space="preserve">1/  Weighted average rates derived from Conventional Retail Banks returns. The present survey asks for deposit rates offered, </t>
  </si>
  <si>
    <t xml:space="preserve">1/  أسعار الفائدة مشتقة من استمارات مصارف قطاع التجزئة التقليدية.  ويعنى المسح بأسعار الفائدة على الودائع والقروض </t>
  </si>
  <si>
    <t xml:space="preserve">     and loan rates charged on loans extended, during the last month of each quarter.</t>
  </si>
  <si>
    <t xml:space="preserve">     خلال آخر شهر من كل فصل.</t>
  </si>
  <si>
    <t>2/  Deposits in the BD 10,000-50,000 range, for period indicated, begining with June, 1998.</t>
  </si>
  <si>
    <t>2/  الودائع من 10,000 الى 50,000 دينار بحريني للفترة المذكورة  ، اعتباراً من يونيو 1998.</t>
  </si>
  <si>
    <t>3/  Includes non-banks financial and other services.</t>
  </si>
  <si>
    <t>3/  يشمل القطاع المالي (غير المصرفي) والخدمات الأخرى.</t>
  </si>
  <si>
    <t>4/  Includes other types of personal loans not shown separately.</t>
  </si>
  <si>
    <t>4/  يشمل القروض الشخصية الأخرى.</t>
  </si>
  <si>
    <t xml:space="preserve"> - 7 -</t>
  </si>
  <si>
    <t>Table No. (8) جدول رقم</t>
  </si>
  <si>
    <t xml:space="preserve">Business Loans </t>
  </si>
  <si>
    <t>قروض قطاع الأعمال</t>
  </si>
  <si>
    <t>Personal Loans</t>
  </si>
  <si>
    <t xml:space="preserve">القروض الشخصية </t>
  </si>
  <si>
    <t>Secured</t>
  </si>
  <si>
    <t>بضمان</t>
  </si>
  <si>
    <t>Highest</t>
  </si>
  <si>
    <t>أعلى</t>
  </si>
  <si>
    <t>Lowest</t>
  </si>
  <si>
    <t>أدنى</t>
  </si>
  <si>
    <t xml:space="preserve">Average                   </t>
  </si>
  <si>
    <t>المتوسط المرجح</t>
  </si>
  <si>
    <t>1/  Weighted Average.</t>
  </si>
  <si>
    <t>1/ متوسط مرجح.</t>
  </si>
  <si>
    <t xml:space="preserve"> - 8 -</t>
  </si>
  <si>
    <t>السحب على المكشوف</t>
  </si>
  <si>
    <t>Other 2/</t>
  </si>
  <si>
    <t>Total 3/</t>
  </si>
  <si>
    <t>Overdraft Approvals</t>
  </si>
  <si>
    <t>Arab Bank</t>
  </si>
  <si>
    <t>N/A</t>
  </si>
  <si>
    <t>البنك العربي</t>
  </si>
  <si>
    <t>Ahli United Bank</t>
  </si>
  <si>
    <t>البنك الأهلي المتحد</t>
  </si>
  <si>
    <t>Bank of Bahrain &amp; Kuwait</t>
  </si>
  <si>
    <t>بنك البحرين والكويت</t>
  </si>
  <si>
    <t>HSBC Bank Middle East</t>
  </si>
  <si>
    <t xml:space="preserve">بنك إتش إس بي سي الشرق الأوسط </t>
  </si>
  <si>
    <t>Future Bank</t>
  </si>
  <si>
    <t>بنك المستقبل</t>
  </si>
  <si>
    <t>Citibank</t>
  </si>
  <si>
    <t>سيتي بنك</t>
  </si>
  <si>
    <t>The Housing Bank for Trade &amp; Finance</t>
  </si>
  <si>
    <t>بنك الإسكان للتجارة والتمويل</t>
  </si>
  <si>
    <t>Habib Bank Limited</t>
  </si>
  <si>
    <t>حبيب بنك المحدود</t>
  </si>
  <si>
    <t>National Bank of Bahrain</t>
  </si>
  <si>
    <t>بنك البحرين الوطني</t>
  </si>
  <si>
    <t>BNP Paribas</t>
  </si>
  <si>
    <t>بي إن بي باريبا</t>
  </si>
  <si>
    <t>Standard Chartered Bank</t>
  </si>
  <si>
    <t>ستاندرد تشارترد بنك</t>
  </si>
  <si>
    <t>National Bank of Kuwait</t>
  </si>
  <si>
    <t>بنك الكويت الوطني</t>
  </si>
  <si>
    <t>State Bank of India</t>
  </si>
  <si>
    <t>ستيت بنك أوف إنديا</t>
  </si>
  <si>
    <t>United Bank Limitied</t>
  </si>
  <si>
    <t>يونايتد بنك ليمتد</t>
  </si>
  <si>
    <t>ICICI Bank Limitied</t>
  </si>
  <si>
    <t>آي سي آي سي آي بنك ليمتد</t>
  </si>
  <si>
    <t>Credit Libanais</t>
  </si>
  <si>
    <t>بنك الاعتماد اللبناني</t>
  </si>
  <si>
    <t>Eskan Bank</t>
  </si>
  <si>
    <t>بنك الإسكان</t>
  </si>
  <si>
    <t>National Bank of Abu Dhabi</t>
  </si>
  <si>
    <t>بنك أبوظبي الوطني</t>
  </si>
  <si>
    <t>Mashreq Bank</t>
  </si>
  <si>
    <t>بنك المشرق</t>
  </si>
  <si>
    <t>Gulf International Bank</t>
  </si>
  <si>
    <t>بنك الخليج الدولي</t>
  </si>
  <si>
    <t>Arab Banking Corporation</t>
  </si>
  <si>
    <t>المؤسسة العربية المصرفية</t>
  </si>
  <si>
    <t>Average</t>
  </si>
  <si>
    <t>المعدل</t>
  </si>
  <si>
    <t xml:space="preserve">1/  أسعار الفائدة مشتقة من استمارات مصارف قطاع التجزئة التقليدية.  ويعني المسح بأسعار الفائدة على الودائع والقروض </t>
  </si>
  <si>
    <t xml:space="preserve">     and loan rates charged on loans extended, during month.</t>
  </si>
  <si>
    <t xml:space="preserve">     خلال آخر شهر.</t>
  </si>
  <si>
    <t>2/  Includes loans to non-banks financial and other services' companies.</t>
  </si>
  <si>
    <t>2/  يشمل القروض الممنوحة للقطاع المالي (غير المصرفي) وشركات الخدمات الأخرى.</t>
  </si>
  <si>
    <t>3/  Does not includes overdraft approvals.</t>
  </si>
  <si>
    <t>3/  لا يشمل السحب على المكشوف.</t>
  </si>
  <si>
    <t xml:space="preserve"> - 9 -</t>
  </si>
  <si>
    <t xml:space="preserve"> - 10 -</t>
  </si>
  <si>
    <t>مجموع العروض</t>
  </si>
  <si>
    <t>متوسط سـعر</t>
  </si>
  <si>
    <t>متوسط سعر</t>
  </si>
  <si>
    <t>المقـدمة</t>
  </si>
  <si>
    <t>المخصصة</t>
  </si>
  <si>
    <t>الأذونات</t>
  </si>
  <si>
    <t>الفائـدة على</t>
  </si>
  <si>
    <t>السائدة على الودائع</t>
  </si>
  <si>
    <t>التاريخ</t>
  </si>
  <si>
    <t>(بملايين الدنانير)</t>
  </si>
  <si>
    <t>(بالنسبة المئوية)</t>
  </si>
  <si>
    <t>الأذونات المخصصة</t>
  </si>
  <si>
    <t>لثلاثة إلى ستة أشهـر</t>
  </si>
  <si>
    <t>Date of</t>
  </si>
  <si>
    <t>Treasury</t>
  </si>
  <si>
    <t xml:space="preserve">Average </t>
  </si>
  <si>
    <t>Average Int.</t>
  </si>
  <si>
    <t>Inter-bank Market</t>
  </si>
  <si>
    <t>Issue</t>
  </si>
  <si>
    <t>Tenders</t>
  </si>
  <si>
    <t>Bills</t>
  </si>
  <si>
    <t>Price of</t>
  </si>
  <si>
    <t>Rate of</t>
  </si>
  <si>
    <t>BD 3 to 6 Month</t>
  </si>
  <si>
    <t>Received</t>
  </si>
  <si>
    <t>Allotted</t>
  </si>
  <si>
    <t>Bills Allotted</t>
  </si>
  <si>
    <t>Allotted Bills</t>
  </si>
  <si>
    <t>Offered Rate</t>
  </si>
  <si>
    <t>(BD Million)</t>
  </si>
  <si>
    <t>(%)</t>
  </si>
  <si>
    <t>(% p.a.)</t>
  </si>
  <si>
    <t>01.05.2019</t>
  </si>
  <si>
    <t>08.05.2019</t>
  </si>
  <si>
    <t>12.05.2019</t>
  </si>
  <si>
    <t>15.05.2019</t>
  </si>
  <si>
    <t>29.05.2019</t>
  </si>
  <si>
    <t>30.05.2019</t>
  </si>
  <si>
    <t>02.06.2019</t>
  </si>
  <si>
    <t>05.06.2019</t>
  </si>
  <si>
    <t>12.06.2019</t>
  </si>
  <si>
    <t>26.06.2019</t>
  </si>
  <si>
    <t>27.06.2019</t>
  </si>
  <si>
    <t>30.06.2019</t>
  </si>
  <si>
    <t>03.07.2019</t>
  </si>
  <si>
    <t>10.07.2019</t>
  </si>
  <si>
    <t>24.07.2019</t>
  </si>
  <si>
    <t>25.07.2019</t>
  </si>
  <si>
    <t>31.07.2019</t>
  </si>
  <si>
    <t>04.08.2019</t>
  </si>
  <si>
    <t>07.08.2019</t>
  </si>
  <si>
    <t>14.08.2019</t>
  </si>
  <si>
    <t>28.08.2019</t>
  </si>
  <si>
    <t>29.08.2019</t>
  </si>
  <si>
    <t>01.09.2019</t>
  </si>
  <si>
    <t>04.09.2019</t>
  </si>
  <si>
    <t>11.09.2019</t>
  </si>
  <si>
    <t>25.09.2019</t>
  </si>
  <si>
    <t>26.09.2019</t>
  </si>
  <si>
    <t>29.09.2019</t>
  </si>
  <si>
    <t>02.10.2020</t>
  </si>
  <si>
    <t>09.10.2020</t>
  </si>
  <si>
    <t>23.10.2020</t>
  </si>
  <si>
    <t>24.10.2020</t>
  </si>
  <si>
    <t>30.10.2020</t>
  </si>
  <si>
    <t>06.11.2019</t>
  </si>
  <si>
    <t>10.11.2019</t>
  </si>
  <si>
    <t>13.11.2019</t>
  </si>
  <si>
    <t>27.11.2019</t>
  </si>
  <si>
    <t>28.11.2019</t>
  </si>
  <si>
    <t>01.12.2019</t>
  </si>
  <si>
    <t>04.12.2019</t>
  </si>
  <si>
    <t>11.12.2019</t>
  </si>
  <si>
    <t>25.12.2019</t>
  </si>
  <si>
    <t>26.12.2019</t>
  </si>
  <si>
    <t>29.12.2019</t>
  </si>
  <si>
    <t>01.01.2020</t>
  </si>
  <si>
    <t>08.01.2020</t>
  </si>
  <si>
    <t>22.01.2020</t>
  </si>
  <si>
    <t>23.01.2020</t>
  </si>
  <si>
    <t>29.01.2020</t>
  </si>
  <si>
    <t>02.02.2020</t>
  </si>
  <si>
    <t>05.02.2020</t>
  </si>
  <si>
    <t>12.02.2020</t>
  </si>
  <si>
    <t>26.02.2020</t>
  </si>
  <si>
    <t>27.02.2020</t>
  </si>
  <si>
    <t xml:space="preserve">Table No. (11) جدول رقم </t>
  </si>
  <si>
    <t>Conventional Instruments</t>
  </si>
  <si>
    <t>الأدوات التقليدية</t>
  </si>
  <si>
    <t>Islamic Instruments 1/</t>
  </si>
  <si>
    <t>الأدوات الإسلامية</t>
  </si>
  <si>
    <t xml:space="preserve">Development Bonds </t>
  </si>
  <si>
    <t>Treasury Bills 2/</t>
  </si>
  <si>
    <t>الرصيد القائم</t>
  </si>
  <si>
    <t xml:space="preserve"> Islamic Leasing Securities </t>
  </si>
  <si>
    <t>Al Salam Islamic Securities 3/</t>
  </si>
  <si>
    <t>المستحق</t>
  </si>
  <si>
    <t>إصدار جديد</t>
  </si>
  <si>
    <t>الرصيد</t>
  </si>
  <si>
    <t>Outstanding</t>
  </si>
  <si>
    <t>Grand Total</t>
  </si>
  <si>
    <t>Matured</t>
  </si>
  <si>
    <t>New Issue</t>
  </si>
  <si>
    <t>Balance</t>
  </si>
  <si>
    <t>1/  Islamic Instruments are issued in BD &amp; US Dollar.</t>
  </si>
  <si>
    <t>1/  الأدوات الإسلامية تصدر بالدينار البحريني وبالدولار الأمريكي.</t>
  </si>
  <si>
    <t>2/  Treasury bills have a maturity of 91 days, 182 days &amp; 12 Months.</t>
  </si>
  <si>
    <t>2/  أذونات الخزانة تستحق بعد 91  و182 يوم و12 شهراً.</t>
  </si>
  <si>
    <t>3/  Al Salam Islamic securities have a maturity of 91 days.</t>
  </si>
  <si>
    <t>3/  صكوك السلم الإسلامية تستحق بعد 91  يوم.</t>
  </si>
  <si>
    <t>*    Based on Ministry of Finance instructions, an exchange rate of 0.376 will be used</t>
  </si>
  <si>
    <t xml:space="preserve">*    بناء على تعليمات وزارة المالية سيتم استخدام سعر صرف الدولار الأمريكي 0.376 وذلك لجميع إصدارات الوزارة </t>
  </si>
  <si>
    <t xml:space="preserve">     when evaluating the USD Government Issues in BD.</t>
  </si>
  <si>
    <t xml:space="preserve">     بالدولار الأمريكي عند تقييمها بالدينار البحريني.  </t>
  </si>
  <si>
    <t xml:space="preserve"> - 11 -</t>
  </si>
  <si>
    <t>الميزانية الموحدة للجهاز المصرفي: مصارف قطاع التجزئة ومصارف قطاع الجملة</t>
  </si>
  <si>
    <t>Aggregated Balance Sheet of the Banking System: Retail Banks and Wholesale Banks</t>
  </si>
  <si>
    <t>(لا يشمل مصرف البحرين المركزي)</t>
  </si>
  <si>
    <t>(Excluding Central Bank of Bahrain)</t>
  </si>
  <si>
    <t>U.S. Dollar Million</t>
  </si>
  <si>
    <t>مليون دولار أمريكي</t>
  </si>
  <si>
    <t xml:space="preserve">Domestic </t>
  </si>
  <si>
    <t>(غير المصارف)</t>
  </si>
  <si>
    <t xml:space="preserve">أخرى </t>
  </si>
  <si>
    <t>Banks 2/</t>
  </si>
  <si>
    <t>Private</t>
  </si>
  <si>
    <t>Res</t>
  </si>
  <si>
    <t>Non-Banks</t>
  </si>
  <si>
    <t>Government 1/</t>
  </si>
  <si>
    <t>Asst.</t>
  </si>
  <si>
    <t>Liab.</t>
  </si>
  <si>
    <t>A</t>
  </si>
  <si>
    <t>L</t>
  </si>
  <si>
    <t>1/  Central Government and the Social Insurance System.</t>
  </si>
  <si>
    <t>1/ الحكومة المركزية ونظام التأمينات الاجتماعية.</t>
  </si>
  <si>
    <t>2/  Includes Central Monetary Authorities.</t>
  </si>
  <si>
    <t>2/  يشمل السلطات النقدية المركزية.</t>
  </si>
  <si>
    <t xml:space="preserve"> - 12 -</t>
  </si>
  <si>
    <t>الميزانية الموحدة لمصارف قطاع التجزئة</t>
  </si>
  <si>
    <t>Retail Banks - Aggregated Balance Sheet</t>
  </si>
  <si>
    <t>مملكة</t>
  </si>
  <si>
    <t xml:space="preserve"> الشراء لأجل </t>
  </si>
  <si>
    <t>للعملات</t>
  </si>
  <si>
    <t>نقداً</t>
  </si>
  <si>
    <t>General Government</t>
  </si>
  <si>
    <t>memo:</t>
  </si>
  <si>
    <t>Cash</t>
  </si>
  <si>
    <t xml:space="preserve"> Private  Non-Banks</t>
  </si>
  <si>
    <t>القروض</t>
  </si>
  <si>
    <t>السندات</t>
  </si>
  <si>
    <t>Foreign Assets</t>
  </si>
  <si>
    <t xml:space="preserve"> Total  Assets</t>
  </si>
  <si>
    <t>Forward Currency</t>
  </si>
  <si>
    <t>1/</t>
  </si>
  <si>
    <t>2/</t>
  </si>
  <si>
    <t>Loans</t>
  </si>
  <si>
    <t>Securities</t>
  </si>
  <si>
    <t>Purchased</t>
  </si>
  <si>
    <t>Total-R</t>
  </si>
  <si>
    <t>Total-L</t>
  </si>
  <si>
    <t>1/  Includes Head Offices and Affiliates.</t>
  </si>
  <si>
    <t xml:space="preserve">1/  يشمل المكاتب الرئيسية والشركات الزميلة. </t>
  </si>
  <si>
    <t>2/  Loans and Holdings of Securities.</t>
  </si>
  <si>
    <t>2/  القروض والسندات.</t>
  </si>
  <si>
    <t xml:space="preserve"> - 13 -</t>
  </si>
  <si>
    <t>Domestic Liabilities</t>
  </si>
  <si>
    <t>المطلوبات المحلية</t>
  </si>
  <si>
    <t>البيع لأجل</t>
  </si>
  <si>
    <t xml:space="preserve">مجموع </t>
  </si>
  <si>
    <t xml:space="preserve">(غير المصارف) </t>
  </si>
  <si>
    <t>والإحتياطي</t>
  </si>
  <si>
    <t xml:space="preserve">      Private Non-Banks 2/</t>
  </si>
  <si>
    <t>General Government 2/</t>
  </si>
  <si>
    <t>Capital &amp; Reserves</t>
  </si>
  <si>
    <t>Foreign Liabilities 1/</t>
  </si>
  <si>
    <t>Total Liabilities</t>
  </si>
  <si>
    <t>Forward Currency Sold</t>
  </si>
  <si>
    <t>Total-A</t>
  </si>
  <si>
    <t>1/  Includes Capital and Reserves.</t>
  </si>
  <si>
    <t>1/  يشمل رأس المال والإحتياطي.</t>
  </si>
  <si>
    <t>2/ Includes some non-deposit (non-monetary) liabilities.</t>
  </si>
  <si>
    <t>2/  يشمل بعض المطلوبات (غير الودائع).</t>
  </si>
  <si>
    <t xml:space="preserve"> - 14 -</t>
  </si>
  <si>
    <t>مصارف قطاع التجزئة - الموجودات والمطلوبات الأجنبية</t>
  </si>
  <si>
    <t>Retail Banks - Foreign Assets and Liabilities</t>
  </si>
  <si>
    <t xml:space="preserve"> Assets</t>
  </si>
  <si>
    <t>غير المصارف</t>
  </si>
  <si>
    <t>ومنه السندات</t>
  </si>
  <si>
    <t xml:space="preserve">Banks </t>
  </si>
  <si>
    <t>of which Securities</t>
  </si>
  <si>
    <t xml:space="preserve">Net Foreign Assets </t>
  </si>
  <si>
    <t xml:space="preserve"> - 15 -</t>
  </si>
  <si>
    <t xml:space="preserve">    الموجودات الأجنبية    Foreign Assets                 </t>
  </si>
  <si>
    <t xml:space="preserve">       مجموع الموجودات      Total Assets                 </t>
  </si>
  <si>
    <t>القطاع الخاص (غير المصارف)</t>
  </si>
  <si>
    <t>Private Non-Banks</t>
  </si>
  <si>
    <t>دينار بحريني</t>
  </si>
  <si>
    <t>FC</t>
  </si>
  <si>
    <t xml:space="preserve"> - 16 -</t>
  </si>
  <si>
    <t xml:space="preserve">    المطلوبات الأجنبية    Foreign Liabilities                 </t>
  </si>
  <si>
    <t xml:space="preserve">       مجموع المطلوبات      Total Liabilities                 </t>
  </si>
  <si>
    <t xml:space="preserve"> - 17 -</t>
  </si>
  <si>
    <t>Table No. (18) جدول رقم</t>
  </si>
  <si>
    <t>Domestic Deposits</t>
  </si>
  <si>
    <t>الودائع المحلية</t>
  </si>
  <si>
    <t xml:space="preserve">        Private Sector</t>
  </si>
  <si>
    <t>الودائع الأجنبية</t>
  </si>
  <si>
    <t>مجموع الودائع</t>
  </si>
  <si>
    <t>الأجل</t>
  </si>
  <si>
    <t>Foreign Deposits</t>
  </si>
  <si>
    <t>Total Deposits</t>
  </si>
  <si>
    <t>Time 1/</t>
  </si>
  <si>
    <t>1/  Includes Certificates of Deposit.</t>
  </si>
  <si>
    <t>1/  يشمل شهادات الإيداع.</t>
  </si>
  <si>
    <t xml:space="preserve"> - 18 -</t>
  </si>
  <si>
    <t>توزيع إجمالي القروض والتسهيلات حسب القطاعات الاقتصادية المقيمة (باستثناء المصارف) 1/</t>
  </si>
  <si>
    <t>Outstanding Loans and Advances to Non-Bank Residents by Economic Sector 1/</t>
  </si>
  <si>
    <t xml:space="preserve">     Business Sector</t>
  </si>
  <si>
    <t xml:space="preserve">     قطاع الأعمال</t>
  </si>
  <si>
    <t xml:space="preserve">     Personal Sector</t>
  </si>
  <si>
    <t xml:space="preserve">     قطاع الأشخاص </t>
  </si>
  <si>
    <t xml:space="preserve"> of which</t>
  </si>
  <si>
    <t xml:space="preserve">  ومنها</t>
  </si>
  <si>
    <t>المناجم والمحاجر</t>
  </si>
  <si>
    <t>الزراعة وصيد الأسماك والألبان</t>
  </si>
  <si>
    <t>القطاع المالي (غير المصارف)</t>
  </si>
  <si>
    <t>قطاعات أخرى</t>
  </si>
  <si>
    <t>النقل والاتصالات</t>
  </si>
  <si>
    <t>الفنادق والمطاعم</t>
  </si>
  <si>
    <t>قطاع الحكومة</t>
  </si>
  <si>
    <t>MFG</t>
  </si>
  <si>
    <t>Mining &amp; Quarrying</t>
  </si>
  <si>
    <t>Agriclture, Fishing &amp; Dairy</t>
  </si>
  <si>
    <t>Construction &amp; Real Estate</t>
  </si>
  <si>
    <t>Non-Bank Financial</t>
  </si>
  <si>
    <t>Other Sectors</t>
  </si>
  <si>
    <t>Trans. &amp; Comm.</t>
  </si>
  <si>
    <t>Hotels &amp; Rest.</t>
  </si>
  <si>
    <t>General Gov.</t>
  </si>
  <si>
    <t>Credit Card Receivables</t>
  </si>
  <si>
    <t>1/  Excludes Securities.</t>
  </si>
  <si>
    <t xml:space="preserve">1/  لا يشمل السندات. </t>
  </si>
  <si>
    <t xml:space="preserve"> - 19 -</t>
  </si>
  <si>
    <t>توزيع إجمالي القروض والتسهيلات لغير المصارف</t>
  </si>
  <si>
    <t>المصارف وشركات التمويل</t>
  </si>
  <si>
    <t>Outstanding Loans and Advances to Non-Bank Residents</t>
  </si>
  <si>
    <t>Banks and Financing Companies</t>
  </si>
  <si>
    <t>شركات التمويل</t>
  </si>
  <si>
    <t>Financing Companies 1/</t>
  </si>
  <si>
    <t xml:space="preserve"> - 20 -</t>
  </si>
  <si>
    <t>مصارف قطاع التجزئة: الموجودات والمطلوبات حسب التصنيف الجغرافي 1/</t>
  </si>
  <si>
    <t>Retail Banks: Geographical Classification of Assets and Liabilities 1/</t>
  </si>
  <si>
    <t>دول مجلس</t>
  </si>
  <si>
    <t xml:space="preserve">الدول العربية </t>
  </si>
  <si>
    <t>أوروبا</t>
  </si>
  <si>
    <t>البحرين</t>
  </si>
  <si>
    <t>التعاون</t>
  </si>
  <si>
    <t>الدول الأمريكية</t>
  </si>
  <si>
    <t>الغربية</t>
  </si>
  <si>
    <t>آسيا</t>
  </si>
  <si>
    <t>Kingdom of</t>
  </si>
  <si>
    <t>GCC</t>
  </si>
  <si>
    <t>Other Arab</t>
  </si>
  <si>
    <t>Americas</t>
  </si>
  <si>
    <t>Western</t>
  </si>
  <si>
    <t>Asia</t>
  </si>
  <si>
    <t>Bahrain</t>
  </si>
  <si>
    <t>Countries</t>
  </si>
  <si>
    <t>Europe</t>
  </si>
  <si>
    <t>1/  Includes Islamic Banks.</t>
  </si>
  <si>
    <t>1/  يشمل المصارف الإسلامية.</t>
  </si>
  <si>
    <t xml:space="preserve">2/  Includes Argentina, Bahamas, Brazil, British Virgin Islands, Canada, Cayman Islands, Mexico, </t>
  </si>
  <si>
    <t xml:space="preserve">2/  تشمل الأرجنتين، البهاما، البرازيل، الجزر العذراء البريطانية، كندا، جزر كايمان، المكسيك، الأنتيل الهولندية، </t>
  </si>
  <si>
    <t xml:space="preserve">     Netherlands Antilles, Panama, Puerto Rico, United States, Venezuela and Others.</t>
  </si>
  <si>
    <t xml:space="preserve">     بنما، بورتو ريكو، الولايات المتحدة، فنزويلا وأخرى.</t>
  </si>
  <si>
    <t xml:space="preserve"> - 21 -</t>
  </si>
  <si>
    <t>مصارف قطاع التجزئة: الموجودات والمطلوبات حسب أهم العملات 1/</t>
  </si>
  <si>
    <t>Retail Banks: Classification of Assets and Liabilities by Major Currencies 1/</t>
  </si>
  <si>
    <t>الدينار</t>
  </si>
  <si>
    <t xml:space="preserve">عملات دول </t>
  </si>
  <si>
    <t>الدولار</t>
  </si>
  <si>
    <t xml:space="preserve">الجنيه </t>
  </si>
  <si>
    <t>الين</t>
  </si>
  <si>
    <t>البحريني</t>
  </si>
  <si>
    <t>مجلس التعاون</t>
  </si>
  <si>
    <t>الأمريكي</t>
  </si>
  <si>
    <t>الإسترليني</t>
  </si>
  <si>
    <t>الياباني</t>
  </si>
  <si>
    <t>Bahraini</t>
  </si>
  <si>
    <t xml:space="preserve">GCC </t>
  </si>
  <si>
    <t>U.S.</t>
  </si>
  <si>
    <t>Pound</t>
  </si>
  <si>
    <t xml:space="preserve">Japanese </t>
  </si>
  <si>
    <t>Dinar</t>
  </si>
  <si>
    <t>Currencies</t>
  </si>
  <si>
    <t>Dollar</t>
  </si>
  <si>
    <t>Sterling</t>
  </si>
  <si>
    <t>Yen</t>
  </si>
  <si>
    <t xml:space="preserve"> - 22 -</t>
  </si>
  <si>
    <t>Table No. (23) جدول رقم</t>
  </si>
  <si>
    <t>Percentage</t>
  </si>
  <si>
    <t>النسبة المئوية</t>
  </si>
  <si>
    <t xml:space="preserve">القروض لغير المصارف / مجموع الموجودات </t>
  </si>
  <si>
    <t xml:space="preserve">القروض للقطاع الخاص(غير المصارف) / مجموع الموجودات </t>
  </si>
  <si>
    <t xml:space="preserve">القروض لغير المصارف / مجموع الودائع </t>
  </si>
  <si>
    <t xml:space="preserve">الموجودات الأجنبية / مجموع الموجودات </t>
  </si>
  <si>
    <t xml:space="preserve">المطلوبات الأجنبية / مجموع المطلوبات </t>
  </si>
  <si>
    <t xml:space="preserve">مجموع الودائع / مجموع المطلوبات </t>
  </si>
  <si>
    <t xml:space="preserve">الودائع بالدينار البحريني / مجموع الودائع </t>
  </si>
  <si>
    <t xml:space="preserve">ودائع القطاع الخاص / مجموع الودائع </t>
  </si>
  <si>
    <t xml:space="preserve">ودائع القطاع الخاص تحت الطلب / مجموع الودائع </t>
  </si>
  <si>
    <t>Loans to Non-Banks / Total Assets</t>
  </si>
  <si>
    <t>Loans to Private Non-Banks / Total Assets</t>
  </si>
  <si>
    <t>Loans to Non-Banks / Total Deposits</t>
  </si>
  <si>
    <t>Foreign Assets / Total Assets</t>
  </si>
  <si>
    <t>Foreign Liabilities / Total Liabilities</t>
  </si>
  <si>
    <t>Total Deposits / Total Liabilities</t>
  </si>
  <si>
    <t xml:space="preserve">  BD Deposits / Total Deposits</t>
  </si>
  <si>
    <t>Private Sector Deposits / Total Deposits</t>
  </si>
  <si>
    <t>Private Sector Demand Deposits / Total Deposits</t>
  </si>
  <si>
    <t xml:space="preserve"> - 23 -</t>
  </si>
  <si>
    <t>C:\Documents and Settings\erd_nada\My Documents\Excel\Qsb\[QsbBanks.xls]Sheet1</t>
  </si>
  <si>
    <t>مصارف قطاع التجزئة التقليدية: الميزانية الموحدة للنوافذ الإسلامية</t>
  </si>
  <si>
    <t>Conventional Retail Banks: Aggregated Balance Sheet of Islamic Windows</t>
  </si>
  <si>
    <t>الموجودات *</t>
  </si>
  <si>
    <t>Assets *</t>
  </si>
  <si>
    <t xml:space="preserve">  الموجودات المحلية</t>
  </si>
  <si>
    <t xml:space="preserve">   Foreign Assets</t>
  </si>
  <si>
    <t xml:space="preserve">  الموجودات الأجنبية</t>
  </si>
  <si>
    <t>استثمار مع</t>
  </si>
  <si>
    <t>المكاتب الرئيسية</t>
  </si>
  <si>
    <t>البنود خارج</t>
  </si>
  <si>
    <t>والشركات الزميلة</t>
  </si>
  <si>
    <t>الميزانية</t>
  </si>
  <si>
    <t>Invest.</t>
  </si>
  <si>
    <t>Others</t>
  </si>
  <si>
    <t>H.O. &amp;</t>
  </si>
  <si>
    <t>Off</t>
  </si>
  <si>
    <t>with Banks</t>
  </si>
  <si>
    <t>with Private</t>
  </si>
  <si>
    <t>with Govt.</t>
  </si>
  <si>
    <t>Affiliates</t>
  </si>
  <si>
    <t>Sheet 3/</t>
  </si>
  <si>
    <t>1/  Includes Unrestricted Investment Accounts.</t>
  </si>
  <si>
    <t>1/  يشمل حسابات الإستثمار المطلقة.</t>
  </si>
  <si>
    <t xml:space="preserve">2/  Includes Head Offices and Affiliates. </t>
  </si>
  <si>
    <t>2/  يشمل المكاتب الرئيسية والشركات الزميلة.</t>
  </si>
  <si>
    <t>3/  Includes Restricted Investment Accounts.</t>
  </si>
  <si>
    <t>3/  يشمل حسابات الاستثمار المقيدة.</t>
  </si>
  <si>
    <t>* Islamic Windows' Assets and Liabilities may not be equal due to the presence of conventional transactions.</t>
  </si>
  <si>
    <t>* موجودات ومطلوبات النوافذ الإسلامية قد لا تتطابق نظرا لوجود معاملات تقليدية.</t>
  </si>
  <si>
    <t xml:space="preserve"> - 24 -</t>
  </si>
  <si>
    <t>المطلوبات *</t>
  </si>
  <si>
    <t>Liabilities *</t>
  </si>
  <si>
    <t>Foreign Liabilities</t>
  </si>
  <si>
    <t>المطلوبات الأجنبية</t>
  </si>
  <si>
    <t xml:space="preserve"> والاحتياطي</t>
  </si>
  <si>
    <t xml:space="preserve">المجموع </t>
  </si>
  <si>
    <t xml:space="preserve"> - 25 -</t>
  </si>
  <si>
    <t xml:space="preserve">الميزانية الموحدة لمصارف قطاع الجملة </t>
  </si>
  <si>
    <t>Wholesale Banks - Aggregated Balance Sheet</t>
  </si>
  <si>
    <t>الموجودات الأجنبية</t>
  </si>
  <si>
    <t>الشراء لأجل</t>
  </si>
  <si>
    <t>Forward</t>
  </si>
  <si>
    <t>A-L</t>
  </si>
  <si>
    <t xml:space="preserve">1/  Includes Head Offices and Affiliates. </t>
  </si>
  <si>
    <t>1/ يشمل المكاتب الرئيسية والشركات الزميلة.</t>
  </si>
  <si>
    <t>2/  Includes Securities.</t>
  </si>
  <si>
    <t>2/  يشمل السندات.</t>
  </si>
  <si>
    <t xml:space="preserve"> - 26 -</t>
  </si>
  <si>
    <t>الميزانية الموحدة لمصارف قطاع الجملة</t>
  </si>
  <si>
    <t>Sold</t>
  </si>
  <si>
    <t>1/  يشمل المكاتب الرئيسية والشركات الزميلة.</t>
  </si>
  <si>
    <t>2/  Includes Capital &amp; Reserves.</t>
  </si>
  <si>
    <t>2/  يشمل رأس المال والإحتياطي.</t>
  </si>
  <si>
    <t xml:space="preserve"> - 27 -</t>
  </si>
  <si>
    <t>مصارف قطاع الجملة: الموجودات والمطلوبات حسب التصنيف الجغرافي 1/</t>
  </si>
  <si>
    <t>Wholesale Banks: Geographical Classification of Assets and Liabilities 1/</t>
  </si>
  <si>
    <t xml:space="preserve"> - 28 -</t>
  </si>
  <si>
    <t>مصارف قطاع الجملة: الموجودات والمطلوبات حسب أهم العملات 1/</t>
  </si>
  <si>
    <t>Wholesale Banks: Classification of Assets and Liabilities by Major Currencies 1/</t>
  </si>
  <si>
    <t xml:space="preserve"> - 29 -</t>
  </si>
  <si>
    <t>الميزانية الموحدة للمصارف الإسلامية: مصارف قطاع التجزئة ومصارف قطاع الجملة</t>
  </si>
  <si>
    <t>Aggregated Balance Sheet of the Islamic Banks: Retail Banks and Wholesale Banks</t>
  </si>
  <si>
    <t xml:space="preserve"> - 30 -</t>
  </si>
  <si>
    <t>مليون  دولار أمريكي</t>
  </si>
  <si>
    <t xml:space="preserve"> - 31 -</t>
  </si>
  <si>
    <t>المصارف الإسلامية: الموجودات والمطلوبات حسب التصنيف الجغرافي</t>
  </si>
  <si>
    <t>Islamic Banks: Geographical Classification of Assets and Liabilities</t>
  </si>
  <si>
    <t xml:space="preserve">1/  Includes Argentina, Bahamas, Brazil, British Virgin Islands, Canada, Cayman Islands, Mexico, </t>
  </si>
  <si>
    <t xml:space="preserve">1/  تشمل الأرجنتين، البهاما، البرازيل، الجزر العذراء البريطانية، كندا، جزر كايمان، المكسيك، الأنتيل الهولندية، </t>
  </si>
  <si>
    <t xml:space="preserve"> - 32 -</t>
  </si>
  <si>
    <t>المصارف الإسلامية: الموجودات والمطلوبات حسب أهم العملات</t>
  </si>
  <si>
    <t>Islamic Banks: Classification of Assets and Liabilities by Major Currencies</t>
  </si>
  <si>
    <t xml:space="preserve"> - 33 -</t>
  </si>
  <si>
    <t>Classification</t>
  </si>
  <si>
    <t>حسابات الاستثمار المقيدة</t>
  </si>
  <si>
    <t>حسابات الاستثمار غير المقيدة</t>
  </si>
  <si>
    <t>تمويل ذاتي - أموال المصرف</t>
  </si>
  <si>
    <t>المجموع الكلي</t>
  </si>
  <si>
    <t>التصنيف</t>
  </si>
  <si>
    <t>Restricted Investment Account</t>
  </si>
  <si>
    <t>Unrestricted Investment Account</t>
  </si>
  <si>
    <t>Self Finance - Own Fund</t>
  </si>
  <si>
    <t>المقيمة</t>
  </si>
  <si>
    <t>غير المقيمة</t>
  </si>
  <si>
    <t>Residents</t>
  </si>
  <si>
    <t>Non-Residents</t>
  </si>
  <si>
    <t>عملات أخرى</t>
  </si>
  <si>
    <t>OC</t>
  </si>
  <si>
    <t>Short-term investment and treasury securities</t>
  </si>
  <si>
    <t>استثمارات قصيرة الأجل وسندات الخزينة</t>
  </si>
  <si>
    <t>Long-term investments</t>
  </si>
  <si>
    <t>استثمارات طويلة الأجل</t>
  </si>
  <si>
    <t>Murabaha</t>
  </si>
  <si>
    <t>المرابحة</t>
  </si>
  <si>
    <t xml:space="preserve">Ijara </t>
  </si>
  <si>
    <t>الإجارة</t>
  </si>
  <si>
    <t>Ijara installment receivables</t>
  </si>
  <si>
    <t>أقساط الإجارة المستحقة</t>
  </si>
  <si>
    <t>Mudaraba</t>
  </si>
  <si>
    <t>المضاربة</t>
  </si>
  <si>
    <t>Musharaka</t>
  </si>
  <si>
    <t>المشاركة</t>
  </si>
  <si>
    <t xml:space="preserve">Salam </t>
  </si>
  <si>
    <t>السلم</t>
  </si>
  <si>
    <t>Real Estate</t>
  </si>
  <si>
    <t>عقارات</t>
  </si>
  <si>
    <t>سندات</t>
  </si>
  <si>
    <t>Istisna'a</t>
  </si>
  <si>
    <t>الاستصناع</t>
  </si>
  <si>
    <t>Istisna'a receivables</t>
  </si>
  <si>
    <t>دين مستحق على الاستصناع</t>
  </si>
  <si>
    <t>Qard Hasan</t>
  </si>
  <si>
    <t>قرض حسن</t>
  </si>
  <si>
    <t>Investment in Unconsolidated Subsidiaries and Associates</t>
  </si>
  <si>
    <t>استثمارات في شركات شقيقة وتابعة غير مدمجة</t>
  </si>
  <si>
    <t>Property, plant, and equipments (PPE)</t>
  </si>
  <si>
    <t>العقارات، المصانع والمعدات</t>
  </si>
  <si>
    <t>Balances at banks</t>
  </si>
  <si>
    <t>أرصدة المصرف</t>
  </si>
  <si>
    <t xml:space="preserve"> - 34 -</t>
  </si>
  <si>
    <r>
      <t xml:space="preserve">Table No. (35) </t>
    </r>
    <r>
      <rPr>
        <b/>
        <sz val="14"/>
        <rFont val="Arial (Arabic)"/>
        <family val="2"/>
        <charset val="178"/>
      </rPr>
      <t xml:space="preserve">جدول رقم </t>
    </r>
  </si>
  <si>
    <t xml:space="preserve">القطاع المصرفي </t>
  </si>
  <si>
    <t>Entire Banking Sector</t>
  </si>
  <si>
    <t>جودة الأصول</t>
  </si>
  <si>
    <t>الربحية</t>
  </si>
  <si>
    <t>السيولة</t>
  </si>
  <si>
    <t>Capital Adequacy 1/</t>
  </si>
  <si>
    <t>Asset Quality</t>
  </si>
  <si>
    <t>Profitability</t>
  </si>
  <si>
    <t>Liquidity</t>
  </si>
  <si>
    <t>نسبة رأس المال التنظيمي إلى الأصول المرجحة بالمخاطر</t>
  </si>
  <si>
    <t xml:space="preserve"> نسبة رأس المال الأساسي التنظيمي إلى الأصول المرجحة بالمخاطر</t>
  </si>
  <si>
    <t>نسبة القروض المتعثرة إلى مجموع القروض الإجمالية</t>
  </si>
  <si>
    <t>نسبة مخصصات القروض المتعثرة إلى إجمالي القروض المتعثرة</t>
  </si>
  <si>
    <t xml:space="preserve">معدل العائد على الأصول </t>
  </si>
  <si>
    <t>معدل العائد على  أسهم رأس المال</t>
  </si>
  <si>
    <t xml:space="preserve"> نسبة الأصول السائلة إلى مجموع الأصول </t>
  </si>
  <si>
    <t>نسبة القروض إلى الودائع</t>
  </si>
  <si>
    <t>Total Capital Adequacy Ratio</t>
  </si>
  <si>
    <t>Tier 1 Capital Adequacy Ratio</t>
  </si>
  <si>
    <t>Non-Performing Loans Ratio (% of Gross Loans)</t>
  </si>
  <si>
    <t>Specific Provisions</t>
  </si>
  <si>
    <t>Return on Assets</t>
  </si>
  <si>
    <t>Return on Equity 1/</t>
  </si>
  <si>
    <t>Liquid Assets Ratio</t>
  </si>
  <si>
    <t>Loans/Deposit Ratio</t>
  </si>
  <si>
    <t>Q4*</t>
  </si>
  <si>
    <t>1/ For Locally Incorporated Banks only</t>
  </si>
  <si>
    <t xml:space="preserve"> 1/  للمصارف المدرجة محلياً</t>
  </si>
  <si>
    <t>* Provisional data.</t>
  </si>
  <si>
    <t>* بيانات أولية.</t>
  </si>
  <si>
    <t xml:space="preserve"> - 35 -</t>
  </si>
  <si>
    <r>
      <t xml:space="preserve">Table No. (36) </t>
    </r>
    <r>
      <rPr>
        <b/>
        <sz val="14"/>
        <rFont val="Arial (Arabic)"/>
        <family val="2"/>
        <charset val="178"/>
      </rPr>
      <t xml:space="preserve">جدول رقم </t>
    </r>
  </si>
  <si>
    <t>المصارف التقليدية</t>
  </si>
  <si>
    <t>Conventional Banks</t>
  </si>
  <si>
    <t>مصارف التجزئة</t>
  </si>
  <si>
    <t>مصارف الجملة</t>
  </si>
  <si>
    <t>Wholesale</t>
  </si>
  <si>
    <t>1/  للمصارف المدرجة محلياً</t>
  </si>
  <si>
    <t xml:space="preserve"> - 36 -</t>
  </si>
  <si>
    <r>
      <t xml:space="preserve">Table No. (37) </t>
    </r>
    <r>
      <rPr>
        <b/>
        <sz val="14"/>
        <rFont val="Arial (Arabic)"/>
        <family val="2"/>
        <charset val="178"/>
      </rPr>
      <t xml:space="preserve">جدول رقم </t>
    </r>
  </si>
  <si>
    <t xml:space="preserve"> - 37 -</t>
  </si>
  <si>
    <t>Table No. (38) جدول رقم</t>
  </si>
  <si>
    <t>B. D. Million</t>
  </si>
  <si>
    <t xml:space="preserve">مليون دينار </t>
  </si>
  <si>
    <t xml:space="preserve"> نهاية الفترة</t>
  </si>
  <si>
    <t>(1) الفئة</t>
  </si>
  <si>
    <t>(2) الفئة</t>
  </si>
  <si>
    <t>(3) الفئة</t>
  </si>
  <si>
    <t>مجموع الفئات</t>
  </si>
  <si>
    <t>Category (1)</t>
  </si>
  <si>
    <t>Category (2)</t>
  </si>
  <si>
    <t>Category (3)</t>
  </si>
  <si>
    <t>Total IB</t>
  </si>
  <si>
    <t xml:space="preserve">مجموع موجودات الميزانية </t>
  </si>
  <si>
    <t>مجموع الموجودات المدارة لصالح العملاء</t>
  </si>
  <si>
    <t>مجموع الموجودات</t>
  </si>
  <si>
    <t>Balance Sheet Total Assets</t>
  </si>
  <si>
    <t>Total Assets Under Management</t>
  </si>
  <si>
    <r>
      <rPr>
        <sz val="12.5"/>
        <rFont val="Arial"/>
        <family val="2"/>
      </rPr>
      <t xml:space="preserve">ويتضمن: </t>
    </r>
    <r>
      <rPr>
        <b/>
        <sz val="12.5"/>
        <rFont val="Arial"/>
        <family val="2"/>
      </rPr>
      <t>مجموع الموجودات المستثمرة لصالح الشركات الاستثمارية</t>
    </r>
  </si>
  <si>
    <t>Total Assets (c) = (a+b)</t>
  </si>
  <si>
    <t>Balance Sheet Total Assets (d)</t>
  </si>
  <si>
    <t>Total Assets (f) = (d+e)</t>
  </si>
  <si>
    <t>Balance Sheet Total Assets (g)</t>
  </si>
  <si>
    <t>Total Assets  (Cat 1,2,3) (h) = (c+f+g)</t>
  </si>
  <si>
    <t>Total (a)</t>
  </si>
  <si>
    <r>
      <rPr>
        <sz val="12.5"/>
        <rFont val="Arial"/>
        <family val="2"/>
      </rPr>
      <t>of which:</t>
    </r>
    <r>
      <rPr>
        <b/>
        <sz val="12.5"/>
        <rFont val="Arial"/>
        <family val="2"/>
      </rPr>
      <t xml:space="preserve"> Total Investment as Principal</t>
    </r>
  </si>
  <si>
    <t xml:space="preserve">Total (b) </t>
  </si>
  <si>
    <t>Total (e)</t>
  </si>
  <si>
    <t xml:space="preserve"> - 38 -</t>
  </si>
  <si>
    <t>BD Thousand</t>
  </si>
  <si>
    <t>ألف دينار</t>
  </si>
  <si>
    <t xml:space="preserve">ودائع لدى </t>
  </si>
  <si>
    <t xml:space="preserve">مستحق من </t>
  </si>
  <si>
    <t xml:space="preserve">موجودات </t>
  </si>
  <si>
    <t>موجودات</t>
  </si>
  <si>
    <t xml:space="preserve">قروض من </t>
  </si>
  <si>
    <t xml:space="preserve">مستحق الى </t>
  </si>
  <si>
    <t>الغير</t>
  </si>
  <si>
    <t>أجنبية</t>
  </si>
  <si>
    <t xml:space="preserve">Deposits in </t>
  </si>
  <si>
    <t>Due from</t>
  </si>
  <si>
    <t xml:space="preserve">Loans from </t>
  </si>
  <si>
    <t>Due to</t>
  </si>
  <si>
    <t>Equity &amp;</t>
  </si>
  <si>
    <t>Check sum</t>
  </si>
  <si>
    <t>Others 1/</t>
  </si>
  <si>
    <t>1/ includes other money changers and travellers' cheque companies.</t>
  </si>
  <si>
    <t>1\ يشمل على مكاتب الصرافة الأخرى وشركات إصدار الشيكات السياحية.</t>
  </si>
  <si>
    <t xml:space="preserve"> - 39 -</t>
  </si>
  <si>
    <t xml:space="preserve">Table No. (40) جدول رقم </t>
  </si>
  <si>
    <t>أنظمة المدفوعات</t>
  </si>
  <si>
    <t>During the Period</t>
  </si>
  <si>
    <t>النظام الآني للتسويات الإجمالية</t>
  </si>
  <si>
    <t>نظام البحرين لمقاصة الشيكات الإلكتروني</t>
  </si>
  <si>
    <t>نظام التحويلات المالية الإلكتروني</t>
  </si>
  <si>
    <t>Real Time Gross Settlement (RTGS) System 1/</t>
  </si>
  <si>
    <t>Electronic Funds Transfer System (EFTS) and Electronic Bill Payment and Presentment (EBPP) 3/</t>
  </si>
  <si>
    <t>تحويلات الزبائن</t>
  </si>
  <si>
    <t>التحويلات المصرفية بين المصارف التجارية</t>
  </si>
  <si>
    <t>Bahrain Cheque Truncation System (BCTS) 
2/</t>
  </si>
  <si>
    <t>فوري +</t>
  </si>
  <si>
    <t>فوري</t>
  </si>
  <si>
    <t>فواتير</t>
  </si>
  <si>
    <t>Customer Transactions</t>
  </si>
  <si>
    <t>Interbank Transactions</t>
  </si>
  <si>
    <t>Fawri +</t>
  </si>
  <si>
    <t>Fawri</t>
  </si>
  <si>
    <t>Fawateer 4/</t>
  </si>
  <si>
    <t>1/ بدأ عمل النظام الآني للتسويات الإجمالية في 14 يونيو 2007</t>
  </si>
  <si>
    <t>2/ بدأ عمل نظام البحرين لمقاصة الشيكات الإلكتروني في 13 مايو 2012</t>
  </si>
  <si>
    <t>3/ بدأ عمل نظام التحويلات المالية الإلكتروني  (فوري و فوري+ فقط) في 5 نوفمبر 2015</t>
  </si>
  <si>
    <t>4/ The Electronic Bill Processing and Payment (EBPP) i.e. Fawateer went live on 3rd Novober 2016</t>
  </si>
  <si>
    <t>4/ بدأ عمل نظام عرض ودفع الفواتير الإلكترونية في 3 أكتوبر 2016</t>
  </si>
  <si>
    <t xml:space="preserve">- 40 - </t>
  </si>
  <si>
    <t xml:space="preserve">Table No. (41) جدول رقم </t>
  </si>
  <si>
    <t>إجمالي الشيكات الصادرة</t>
  </si>
  <si>
    <t>اجمالي الشيكات المرتجعة</t>
  </si>
  <si>
    <t>الشيكات المرتجعة لأسباب تقنية</t>
  </si>
  <si>
    <t>الشيكات المرتجعة لأسباب مالية</t>
  </si>
  <si>
    <t>Total Cheques Issued</t>
  </si>
  <si>
    <t>Total Returned Cheques</t>
  </si>
  <si>
    <t>Returned Cheques for Technical Reasons</t>
  </si>
  <si>
    <t>Returned Cheques for Financial Reasons</t>
  </si>
  <si>
    <t>العدد</t>
  </si>
  <si>
    <t>القيمة
(مليون دينار)</t>
  </si>
  <si>
    <t>كنسبة من إجمالي عدد الشيكات الصادرة</t>
  </si>
  <si>
    <t>كنسبة من إجمالي قيمة الشيكات الصادرة</t>
  </si>
  <si>
    <t>Volume</t>
  </si>
  <si>
    <t>Value
(B.D. Million)</t>
  </si>
  <si>
    <t>% of Total Cheques Issued</t>
  </si>
  <si>
    <t>1/ بدأ عمل نظام البحرين لمقاصة الشيكات الإلكتروني بتاريخ الأحد، 13 مايو 2012.</t>
  </si>
  <si>
    <t xml:space="preserve">- 41 - </t>
  </si>
  <si>
    <t>Points of Sales Transactions</t>
  </si>
  <si>
    <t>الفترة
Period</t>
  </si>
  <si>
    <t>عدد العمليات</t>
  </si>
  <si>
    <t>قيمة العمليات (دينار)</t>
  </si>
  <si>
    <t>عدد أجهزة نقاط البيع
(نهاية الفترة)
No. of POS terminals 
(end of period)</t>
  </si>
  <si>
    <t xml:space="preserve">Number of transactions </t>
  </si>
  <si>
    <t xml:space="preserve">Value of transactions (BD) </t>
  </si>
  <si>
    <t>Cards issued in Bahrain</t>
  </si>
  <si>
    <t>Cards issued outside Bahrain</t>
  </si>
  <si>
    <t xml:space="preserve">- 42 - </t>
  </si>
  <si>
    <t>Value of Transactions in B.D.</t>
  </si>
  <si>
    <t>قيمة المعاملات بالدينار البحريني</t>
  </si>
  <si>
    <t>Sector</t>
  </si>
  <si>
    <t>القطاع</t>
  </si>
  <si>
    <t>September</t>
  </si>
  <si>
    <t>October</t>
  </si>
  <si>
    <t>November</t>
  </si>
  <si>
    <t>December</t>
  </si>
  <si>
    <t>January</t>
  </si>
  <si>
    <t>February</t>
  </si>
  <si>
    <t>القيمة</t>
  </si>
  <si>
    <t>No. of trans.</t>
  </si>
  <si>
    <t>Value</t>
  </si>
  <si>
    <t>Education</t>
  </si>
  <si>
    <t>التعليم</t>
  </si>
  <si>
    <t>Lodging - Hotels, Motels, Resorts</t>
  </si>
  <si>
    <t>الإقامة - الفنادق والمنتجعات</t>
  </si>
  <si>
    <t>Restaurants</t>
  </si>
  <si>
    <t>المطاعم</t>
  </si>
  <si>
    <t>Health</t>
  </si>
  <si>
    <t>الصحة</t>
  </si>
  <si>
    <t>Government Services</t>
  </si>
  <si>
    <t>الخدمات الحكومية</t>
  </si>
  <si>
    <t>Construction - Contractors, Building Materials and Maintenance &amp; Related Services</t>
  </si>
  <si>
    <t>البناء - المقاولون ، مواد البناء والصيانة والخدمات ذات الصلة</t>
  </si>
  <si>
    <t>Supermarket</t>
  </si>
  <si>
    <t>أسواق السوبرماركت</t>
  </si>
  <si>
    <t>Jewelry Stores</t>
  </si>
  <si>
    <t>متاجر المجوهرات</t>
  </si>
  <si>
    <t>Department Store</t>
  </si>
  <si>
    <t>المتاجر</t>
  </si>
  <si>
    <t>Clothing and Footwear</t>
  </si>
  <si>
    <t>الملابس والأحذية</t>
  </si>
  <si>
    <t>Electronic and Digital Goods</t>
  </si>
  <si>
    <t>مبيعات الأجهزة الإلكترونية والرقمية</t>
  </si>
  <si>
    <t xml:space="preserve">Insurance </t>
  </si>
  <si>
    <t>التأمين</t>
  </si>
  <si>
    <t>Telecommunication</t>
  </si>
  <si>
    <t>الاتصالات</t>
  </si>
  <si>
    <t>Transportation</t>
  </si>
  <si>
    <t>وسائل النقل</t>
  </si>
  <si>
    <t>Automobile and Truck Dealers - Sales, Service, Repairs, Parts and Leasing</t>
  </si>
  <si>
    <t>تجار السيارات والشاحنات</t>
  </si>
  <si>
    <t>Travel</t>
  </si>
  <si>
    <t>السفر</t>
  </si>
  <si>
    <t>Family Entertainment &amp; Tourism</t>
  </si>
  <si>
    <t>الترفيه العائلي والسياحة</t>
  </si>
  <si>
    <t>Equipment, Furniture &amp; Home Furnishings Stores (except appliances)</t>
  </si>
  <si>
    <t>متاجر الأثاث</t>
  </si>
  <si>
    <t>Book Stores &amp; Stationary</t>
  </si>
  <si>
    <t>متاجر الكتب والقرطاسية</t>
  </si>
  <si>
    <t>Miscellaneous Goods &amp; Services</t>
  </si>
  <si>
    <t>سلع وخدمات غير مصنفة أعلاه</t>
  </si>
  <si>
    <t xml:space="preserve">Government Services includes: Court Costs including Alimony and Child Support, Fines, Bail and Bond Payments, Tax Payments,
</t>
  </si>
  <si>
    <t xml:space="preserve">تشمل الخدمات الحكومية: تكاليف المحكمة بما في ذلك النفقة ودعم الطفل، الغرامات، دفع الكفالة والسندات، المدفوعات الضريبية، </t>
  </si>
  <si>
    <t>Government Services not elsewhere classified, Government Postal Services, and Intra-Government Purchases</t>
  </si>
  <si>
    <t>الخدمات الحكومية غير المصنفة في مكان آخر، الخدمات البريدية الحكومية، والمشتريات الحكومية.</t>
  </si>
  <si>
    <t xml:space="preserve">- 43 - </t>
  </si>
  <si>
    <t xml:space="preserve">- 44 - </t>
  </si>
  <si>
    <t xml:space="preserve">- 45 - </t>
  </si>
  <si>
    <t xml:space="preserve">- 46 - </t>
  </si>
  <si>
    <t>Thousands</t>
  </si>
  <si>
    <t>بالألف</t>
  </si>
  <si>
    <t>Nationality / Sex</t>
  </si>
  <si>
    <t>الجنسية / النوع</t>
  </si>
  <si>
    <t>السنة</t>
  </si>
  <si>
    <t>بحريني</t>
  </si>
  <si>
    <t>Non-Bahraini</t>
  </si>
  <si>
    <t>غير بحريني</t>
  </si>
  <si>
    <t>Year</t>
  </si>
  <si>
    <t>ذكور</t>
  </si>
  <si>
    <t>إناث</t>
  </si>
  <si>
    <t>Males</t>
  </si>
  <si>
    <t>Females</t>
  </si>
  <si>
    <t>Source: Central Informatics Organisation.</t>
  </si>
  <si>
    <t xml:space="preserve">المصدر:  الجهـاز المركزي للمعلومات. </t>
  </si>
  <si>
    <t xml:space="preserve"> - 47 -</t>
  </si>
  <si>
    <t xml:space="preserve">ميزان المدفوعات </t>
  </si>
  <si>
    <t>Items</t>
  </si>
  <si>
    <t>2017*</t>
  </si>
  <si>
    <t>2019*</t>
  </si>
  <si>
    <t>البيان</t>
  </si>
  <si>
    <t>الفصل الأول</t>
  </si>
  <si>
    <t>الفصل الثاني</t>
  </si>
  <si>
    <t>الفصل الثالث</t>
  </si>
  <si>
    <t>الفصل الرابع</t>
  </si>
  <si>
    <t xml:space="preserve"> Current Account (a+b+c+d)</t>
  </si>
  <si>
    <t xml:space="preserve"> الحساب الجاري (أ+ب+ج+د)</t>
  </si>
  <si>
    <t>a.  Goods</t>
  </si>
  <si>
    <t>أ -  السلع</t>
  </si>
  <si>
    <t>Exports (fob)</t>
  </si>
  <si>
    <t>الصادرات (فوب)</t>
  </si>
  <si>
    <t xml:space="preserve"> -  Oil</t>
  </si>
  <si>
    <t xml:space="preserve"> - النفطية</t>
  </si>
  <si>
    <t xml:space="preserve"> -  Non-Oil</t>
  </si>
  <si>
    <t xml:space="preserve"> - غيرالنفطية</t>
  </si>
  <si>
    <t>Imports (fob)</t>
  </si>
  <si>
    <t>الواردات (فوب)</t>
  </si>
  <si>
    <t>b.  Services (net)</t>
  </si>
  <si>
    <t>ب -  الخدمات (صافي)</t>
  </si>
  <si>
    <t>Credit</t>
  </si>
  <si>
    <t>دائن</t>
  </si>
  <si>
    <t>Debit</t>
  </si>
  <si>
    <t>مدين</t>
  </si>
  <si>
    <t xml:space="preserve"> -  Maintenance </t>
  </si>
  <si>
    <t xml:space="preserve"> -  الصيانة</t>
  </si>
  <si>
    <t xml:space="preserve"> -  Transportation</t>
  </si>
  <si>
    <t xml:space="preserve"> -  النقل</t>
  </si>
  <si>
    <t xml:space="preserve"> -  Travel</t>
  </si>
  <si>
    <t xml:space="preserve"> -  السفر</t>
  </si>
  <si>
    <t xml:space="preserve"> -  Construction</t>
  </si>
  <si>
    <t xml:space="preserve"> -  الإنشاء</t>
  </si>
  <si>
    <t xml:space="preserve"> -  Insurance </t>
  </si>
  <si>
    <t xml:space="preserve"> -  التأمين</t>
  </si>
  <si>
    <t xml:space="preserve"> -  Financial Services</t>
  </si>
  <si>
    <t xml:space="preserve"> -  خدمات مالية</t>
  </si>
  <si>
    <t xml:space="preserve"> -  Communication services</t>
  </si>
  <si>
    <t xml:space="preserve"> -  خدمات الاتصالات</t>
  </si>
  <si>
    <t xml:space="preserve"> -  Other Business Services</t>
  </si>
  <si>
    <t xml:space="preserve"> -  خدمات أخرى</t>
  </si>
  <si>
    <t>c.  Primary Income (net)</t>
  </si>
  <si>
    <t>ج -  الدخل الأساسي (صافي)</t>
  </si>
  <si>
    <t>Investment Income</t>
  </si>
  <si>
    <t>دخل الاستثمار</t>
  </si>
  <si>
    <t xml:space="preserve"> -  Direct Investment Income</t>
  </si>
  <si>
    <t xml:space="preserve"> -  الاستثمار المباشر</t>
  </si>
  <si>
    <t xml:space="preserve"> -  Portfolio Income</t>
  </si>
  <si>
    <t xml:space="preserve"> -  استثمارات الحافظة</t>
  </si>
  <si>
    <t xml:space="preserve"> -  Other Investment Income</t>
  </si>
  <si>
    <t xml:space="preserve"> -  استثمارات أخرى</t>
  </si>
  <si>
    <t>d.  Secondary income (Current Transfers) (net)</t>
  </si>
  <si>
    <t>د -  الدخل الثانوي (التحويلات الجارية ) (صافي)</t>
  </si>
  <si>
    <t xml:space="preserve"> -  Workers' Remittances</t>
  </si>
  <si>
    <t xml:space="preserve"> -  تحويلات العاملين</t>
  </si>
  <si>
    <t xml:space="preserve"> Capital and Financial Account (net) (a+b)</t>
  </si>
  <si>
    <t xml:space="preserve"> الحساب الرأسمالي والمالي (صافي) (أ+ب)</t>
  </si>
  <si>
    <t>a.  Capital Account (net)</t>
  </si>
  <si>
    <t xml:space="preserve">أ -  الحساب الرأسمالي </t>
  </si>
  <si>
    <t xml:space="preserve"> -  Capital Transfers</t>
  </si>
  <si>
    <t xml:space="preserve"> -  التحويلات الرأسمالية</t>
  </si>
  <si>
    <t>b.  Financial Account 1/</t>
  </si>
  <si>
    <t>ب -  الحساب المالي 1/</t>
  </si>
  <si>
    <t>Direct Investment</t>
  </si>
  <si>
    <t>الاستثمار المباشر</t>
  </si>
  <si>
    <t xml:space="preserve"> -  Abroad</t>
  </si>
  <si>
    <t xml:space="preserve"> -  في الخارج</t>
  </si>
  <si>
    <t xml:space="preserve"> -  In Bahrain</t>
  </si>
  <si>
    <t xml:space="preserve"> -  في البحرين</t>
  </si>
  <si>
    <t>Portfolio Investment (net)</t>
  </si>
  <si>
    <t>استثمارات الحافظة (صافي)</t>
  </si>
  <si>
    <t xml:space="preserve"> -  Assets</t>
  </si>
  <si>
    <t xml:space="preserve"> -  الأصول</t>
  </si>
  <si>
    <t xml:space="preserve"> -  Liabilities</t>
  </si>
  <si>
    <t xml:space="preserve"> -  الخصوم</t>
  </si>
  <si>
    <t>Other Investment (net)</t>
  </si>
  <si>
    <t>استثمارات أخرى (صافي)</t>
  </si>
  <si>
    <t>Reserve Assets (net)</t>
  </si>
  <si>
    <t>الاصول الاحتياطية (صافي)</t>
  </si>
  <si>
    <t xml:space="preserve"> Errors and Omissions</t>
  </si>
  <si>
    <t xml:space="preserve"> السهو والخطأ</t>
  </si>
  <si>
    <t>1/  A negative sign means net outflows/increases in external assets.</t>
  </si>
  <si>
    <t>1/  الإشارة السالبة تعني تدفق للخارج أو زيادة  في الموجودات الأجنبية.</t>
  </si>
  <si>
    <t>*  Provisional data.</t>
  </si>
  <si>
    <t xml:space="preserve">*    بيانات أولية. </t>
  </si>
  <si>
    <t xml:space="preserve"> - 48 -</t>
  </si>
  <si>
    <t>Table No. (49) جدول رقم</t>
  </si>
  <si>
    <t>IIP, net</t>
  </si>
  <si>
    <t>وضع الاستثمار الدولي (صافي)</t>
  </si>
  <si>
    <t>الأصول الأجنبية</t>
  </si>
  <si>
    <t>Direct Investment Abroad</t>
  </si>
  <si>
    <t>الاستثمار المباشر في الخارج</t>
  </si>
  <si>
    <t>Portfolio Investment</t>
  </si>
  <si>
    <t>استثمارات الحافظة</t>
  </si>
  <si>
    <t>Other Investment</t>
  </si>
  <si>
    <t>استثمارات أخرى</t>
  </si>
  <si>
    <t>Reserve Assets</t>
  </si>
  <si>
    <t>الأصول الاحتياطية</t>
  </si>
  <si>
    <t>الخصوم الأجنبية</t>
  </si>
  <si>
    <t>Direct Investment in Bahrain</t>
  </si>
  <si>
    <t>الاستثمار المباشر في البحرين</t>
  </si>
  <si>
    <t>*  Provisional Data.</t>
  </si>
  <si>
    <t>*  بيانات أولية.</t>
  </si>
  <si>
    <t xml:space="preserve"> - 49 -</t>
  </si>
  <si>
    <t>بورصة البحرين - مؤشرات التداول للشركات المساهمة العامة</t>
  </si>
  <si>
    <t>Bahrain Bourse - Market Indicators of Listed Companies</t>
  </si>
  <si>
    <t>عدد الشركات</t>
  </si>
  <si>
    <t>كمية الأسهم المتداولة</t>
  </si>
  <si>
    <t>قيمة الأسهم</t>
  </si>
  <si>
    <t>عدد</t>
  </si>
  <si>
    <t>المؤشر العام</t>
  </si>
  <si>
    <t>مؤشر البحرين العام</t>
  </si>
  <si>
    <t>القيمة  السوقية</t>
  </si>
  <si>
    <t>نسبة الأرباح الموزعة</t>
  </si>
  <si>
    <t>المدرجة</t>
  </si>
  <si>
    <t>(الف)</t>
  </si>
  <si>
    <r>
      <t>المتداولة (</t>
    </r>
    <r>
      <rPr>
        <b/>
        <sz val="8"/>
        <rFont val="Arial (Arabic)"/>
        <family val="2"/>
        <charset val="178"/>
      </rPr>
      <t xml:space="preserve"> </t>
    </r>
    <r>
      <rPr>
        <b/>
        <sz val="11"/>
        <rFont val="Arial (Arabic)"/>
        <family val="2"/>
        <charset val="178"/>
      </rPr>
      <t>ألف دينار)</t>
    </r>
  </si>
  <si>
    <t>الصفقات</t>
  </si>
  <si>
    <t>(نقطة)</t>
  </si>
  <si>
    <t>(مليون دينار)</t>
  </si>
  <si>
    <t>معدل الدوران</t>
  </si>
  <si>
    <t>العائد على السهم</t>
  </si>
  <si>
    <t xml:space="preserve">الى السعر </t>
  </si>
  <si>
    <t>الفترة</t>
  </si>
  <si>
    <t>Number of</t>
  </si>
  <si>
    <t>Volume of</t>
  </si>
  <si>
    <t>Value of</t>
  </si>
  <si>
    <t xml:space="preserve">Bahrain All </t>
  </si>
  <si>
    <t>Market</t>
  </si>
  <si>
    <t>Shares</t>
  </si>
  <si>
    <t>Dividend</t>
  </si>
  <si>
    <t>Period</t>
  </si>
  <si>
    <t xml:space="preserve">Listed </t>
  </si>
  <si>
    <t>Shares Traded</t>
  </si>
  <si>
    <t>Shares Traded 1/</t>
  </si>
  <si>
    <t>Transactions</t>
  </si>
  <si>
    <t>Index</t>
  </si>
  <si>
    <t>Share Index</t>
  </si>
  <si>
    <t xml:space="preserve"> Capitalisation 2/</t>
  </si>
  <si>
    <t>Turnover 3/</t>
  </si>
  <si>
    <t>P/E</t>
  </si>
  <si>
    <t>Yield %</t>
  </si>
  <si>
    <t>Companies</t>
  </si>
  <si>
    <t>(Thousand)</t>
  </si>
  <si>
    <t>(B.D. Thousand)</t>
  </si>
  <si>
    <t>(Point)</t>
  </si>
  <si>
    <t>(B.D. Million)</t>
  </si>
  <si>
    <t xml:space="preserve"> --</t>
  </si>
  <si>
    <t>8.327.07</t>
  </si>
  <si>
    <t>--</t>
  </si>
  <si>
    <t>Apr.*</t>
  </si>
  <si>
    <t>May*</t>
  </si>
  <si>
    <t>1/  Includes Shares Traded by Preferred, Closed &amp; Non-Bahraini Stock.</t>
  </si>
  <si>
    <t>1/  تشمل تداول الأسهم الممتازة والمقفلة وغير البحرينية.</t>
  </si>
  <si>
    <t>2/  End of Period - Doesn't Include Preferred, Closed &amp; Non-Bahraini Stock.</t>
  </si>
  <si>
    <t>2/  نهاية الفترة  - لا تشمل الأسهم الممتازة  والمقفلة وغير البحرينية.</t>
  </si>
  <si>
    <t>3/  Shares Turnover = (Value of Shares Traded / Market Capitalisation) X 100.</t>
  </si>
  <si>
    <t>* The total value of shares are not inclusive of shares traded in the IPO market</t>
  </si>
  <si>
    <t>* قيمة الأسهم المتداولة لا تشمل  الأسهم المتداولة في السوق الأكتتابات الأولية (IPO)</t>
  </si>
  <si>
    <t>Source:  Bahrain Bourse.</t>
  </si>
  <si>
    <t>المصدر:  بورصة البحرين.</t>
  </si>
  <si>
    <t xml:space="preserve"> - 50 -</t>
  </si>
  <si>
    <t xml:space="preserve">بورصة البحرين - قيمة الأسهم المتداولة حسب القطاعات </t>
  </si>
  <si>
    <t>Bahrain Bourse - Value of Shares Traded by Sector</t>
  </si>
  <si>
    <t>B.D. Thousand</t>
  </si>
  <si>
    <t>الف دينار</t>
  </si>
  <si>
    <t>الشركات</t>
  </si>
  <si>
    <t>المصارف التجارية</t>
  </si>
  <si>
    <t>الاستثمار</t>
  </si>
  <si>
    <t>الخدمات</t>
  </si>
  <si>
    <t>الفنادق والسياحة</t>
  </si>
  <si>
    <t>الشركات المقفلة</t>
  </si>
  <si>
    <t xml:space="preserve"> غير البحرينية</t>
  </si>
  <si>
    <t xml:space="preserve"> الأسهم الممتازة</t>
  </si>
  <si>
    <t>Commercial</t>
  </si>
  <si>
    <t>Investment</t>
  </si>
  <si>
    <t>Insurance</t>
  </si>
  <si>
    <t>Services</t>
  </si>
  <si>
    <t>Industrial</t>
  </si>
  <si>
    <t xml:space="preserve">Hotel &amp; </t>
  </si>
  <si>
    <t>Closed</t>
  </si>
  <si>
    <t>Non-</t>
  </si>
  <si>
    <t>Preferred</t>
  </si>
  <si>
    <t>Tourism</t>
  </si>
  <si>
    <t xml:space="preserve"> - 51 -</t>
  </si>
  <si>
    <t xml:space="preserve">بورصة البحرين - مؤشر الأسعار حسب القطاعات </t>
  </si>
  <si>
    <t xml:space="preserve">Bahrain Bourse - Bahrain Index by Sector </t>
  </si>
  <si>
    <t>(1989 - 1990 = 100)</t>
  </si>
  <si>
    <t>Point</t>
  </si>
  <si>
    <t>نقطة</t>
  </si>
  <si>
    <t>مؤشر</t>
  </si>
  <si>
    <t>البحرين العام</t>
  </si>
  <si>
    <t>Bahrain All</t>
  </si>
  <si>
    <t>3.279.94</t>
  </si>
  <si>
    <t xml:space="preserve"> - 52 -</t>
  </si>
  <si>
    <t>بورصة البحرين - قيمة تعاملات المستثمرين في السوق ونسب التملك في أسهم الشركات المساهمة العامة المسجلة</t>
  </si>
  <si>
    <t>Bahrain Bourse - Trading Value of Investors' Participation and Percentage of Shares Ownership in Listed Companies</t>
  </si>
  <si>
    <t>قيمة تعاملات المستثمرين ( ألف دينار )</t>
  </si>
  <si>
    <t>نسبة توزيع ملكية الأسهم</t>
  </si>
  <si>
    <t>مجموع عدد الأسهم</t>
  </si>
  <si>
    <t>Trading Value of Investors' Participation (BD Thousand) 1/</t>
  </si>
  <si>
    <t>% of Shares Ownership</t>
  </si>
  <si>
    <t>الصادرة والمدفوعة</t>
  </si>
  <si>
    <t>دول مجلس التعاون</t>
  </si>
  <si>
    <t>الدول الأخرى</t>
  </si>
  <si>
    <t>Total Shares</t>
  </si>
  <si>
    <t>N//A</t>
  </si>
  <si>
    <t>1/  Presents buying and selling sides.</t>
  </si>
  <si>
    <t>1/  تمثل جانبي البيع والشراء.</t>
  </si>
  <si>
    <t>Note: figures may vary fom the published bulletins due to the settlement dates.</t>
  </si>
  <si>
    <t>ملاحظة:  توجد فروقات بين تعاملات المستثمرين في هذا الجدول وبين مطبوعات السوق وذلك بسبب تواريخ التسوية.</t>
  </si>
  <si>
    <t xml:space="preserve"> - 53 -</t>
  </si>
  <si>
    <t xml:space="preserve">Table No. (54)  جدول رقم    </t>
  </si>
  <si>
    <t xml:space="preserve"> - 54 -</t>
  </si>
  <si>
    <t>صناديق الاستثمار- إجمالي الاستثمارات القائمة</t>
  </si>
  <si>
    <t xml:space="preserve"> Mutual Funds - Total Outstanding Investments</t>
  </si>
  <si>
    <t>U.S. Dollar Thousand</t>
  </si>
  <si>
    <t>ألف دولار أمريكي</t>
  </si>
  <si>
    <t>نوع المصرف</t>
  </si>
  <si>
    <t>Investors</t>
  </si>
  <si>
    <t>المستثمرون</t>
  </si>
  <si>
    <t>إجمالي المبالغ</t>
  </si>
  <si>
    <t>مؤسسات</t>
  </si>
  <si>
    <t>أفراد</t>
  </si>
  <si>
    <t>إجمالي المبالغ المستثمرة في صناديق الاستثمار</t>
  </si>
  <si>
    <t>Type of Bank</t>
  </si>
  <si>
    <t>Institutions</t>
  </si>
  <si>
    <t>Individuals</t>
  </si>
  <si>
    <t>Total Amount Invested in the Funds</t>
  </si>
  <si>
    <t xml:space="preserve">  2017  Q4</t>
  </si>
  <si>
    <t xml:space="preserve">  Retail Banks</t>
  </si>
  <si>
    <t xml:space="preserve">  Wholesale Banks</t>
  </si>
  <si>
    <t xml:space="preserve">  Other Institutions</t>
  </si>
  <si>
    <t xml:space="preserve">  Grand Total</t>
  </si>
  <si>
    <t xml:space="preserve">  2018  Q1</t>
  </si>
  <si>
    <t xml:space="preserve">  2018  Q2</t>
  </si>
  <si>
    <t xml:space="preserve">  2018  Q3</t>
  </si>
  <si>
    <t xml:space="preserve">  2018  Q4</t>
  </si>
  <si>
    <t xml:space="preserve">  2019  Q1</t>
  </si>
  <si>
    <t xml:space="preserve">  2019  Q2</t>
  </si>
  <si>
    <t xml:space="preserve">  2019  Q3</t>
  </si>
  <si>
    <t xml:space="preserve">  2019  Q4</t>
  </si>
  <si>
    <t>March</t>
  </si>
  <si>
    <t>Bahrain Development Bank</t>
  </si>
  <si>
    <t>بنك البحرين للتنمية</t>
  </si>
  <si>
    <t>01.03.2020</t>
  </si>
  <si>
    <t>04.03.2020</t>
  </si>
  <si>
    <t>11.03.2020</t>
  </si>
  <si>
    <t>25.03.2020</t>
  </si>
  <si>
    <t>26.03.2020</t>
  </si>
  <si>
    <t>29.03.2020</t>
  </si>
  <si>
    <t>Conventional Retail Banks - Highest and Lowest Interest Rates Offered on BD Loans - April 2020 - 1/</t>
  </si>
  <si>
    <t>مصارف قطاع التجزئة التقليدية - أعلى وأدنى أسعار فائدة مقدمة على القروض بالدينار البحريني لشهر أبريل 2020 - 1/</t>
  </si>
  <si>
    <t>الحسابات المقيدة وغير المقيدة للمصارف الإسلامية (مجمعة) أبريل 2020</t>
  </si>
  <si>
    <t>Classification of Restricted &amp; Unrestricted account for Islamic Banks (Consolidated) April 2020</t>
  </si>
  <si>
    <t>April</t>
  </si>
  <si>
    <t>22.04.2020</t>
  </si>
  <si>
    <t>23.04.2020</t>
  </si>
  <si>
    <t>29.04.2020</t>
  </si>
  <si>
    <t>01.04.2020</t>
  </si>
  <si>
    <t>08.04.2020</t>
  </si>
  <si>
    <r>
      <t xml:space="preserve">Tables List   </t>
    </r>
    <r>
      <rPr>
        <b/>
        <sz val="14"/>
        <rFont val="Arial (Arabic)"/>
        <family val="2"/>
        <charset val="178"/>
      </rPr>
      <t>قائمـة الجـداول</t>
    </r>
  </si>
  <si>
    <r>
      <t xml:space="preserve">Table  </t>
    </r>
    <r>
      <rPr>
        <b/>
        <sz val="14"/>
        <rFont val="Arial (Arabic)"/>
        <family val="2"/>
        <charset val="178"/>
      </rPr>
      <t>الجدول</t>
    </r>
  </si>
  <si>
    <r>
      <t xml:space="preserve">Table No. (53) </t>
    </r>
    <r>
      <rPr>
        <b/>
        <sz val="14"/>
        <rFont val="Arial (Arabic)"/>
        <family val="2"/>
        <charset val="178"/>
      </rPr>
      <t xml:space="preserve">جدول رقم </t>
    </r>
  </si>
  <si>
    <r>
      <t xml:space="preserve">( ألف </t>
    </r>
    <r>
      <rPr>
        <b/>
        <sz val="11"/>
        <rFont val="Arial (Arabic)"/>
        <family val="2"/>
        <charset val="178"/>
      </rPr>
      <t>Thousand )</t>
    </r>
  </si>
  <si>
    <r>
      <t xml:space="preserve">Table No. (52) </t>
    </r>
    <r>
      <rPr>
        <b/>
        <sz val="13"/>
        <rFont val="Arial (Arabic)"/>
        <family val="2"/>
        <charset val="178"/>
      </rPr>
      <t xml:space="preserve">جدول رقم </t>
    </r>
  </si>
  <si>
    <r>
      <t xml:space="preserve">Table No. (51) </t>
    </r>
    <r>
      <rPr>
        <b/>
        <sz val="13"/>
        <rFont val="Arial (Arabic)"/>
        <family val="2"/>
        <charset val="178"/>
      </rPr>
      <t xml:space="preserve">جدول رقم </t>
    </r>
  </si>
  <si>
    <r>
      <t xml:space="preserve">Table No. (50) </t>
    </r>
    <r>
      <rPr>
        <b/>
        <sz val="14"/>
        <rFont val="Arial (Arabic)"/>
        <family val="2"/>
        <charset val="178"/>
      </rPr>
      <t xml:space="preserve">جدول رقم </t>
    </r>
  </si>
  <si>
    <r>
      <t>3/  معدل الدوران = ( قيمة الأسهم المتداولة / القيمة السوقية )  X</t>
    </r>
    <r>
      <rPr>
        <sz val="8"/>
        <rFont val="Arial"/>
        <family val="2"/>
        <charset val="178"/>
      </rPr>
      <t xml:space="preserve"> </t>
    </r>
    <r>
      <rPr>
        <sz val="1"/>
        <rFont val="Arial"/>
        <family val="2"/>
        <charset val="178"/>
      </rPr>
      <t xml:space="preserve"> ا </t>
    </r>
    <r>
      <rPr>
        <sz val="11"/>
        <rFont val="Arial"/>
        <family val="2"/>
        <charset val="178"/>
      </rPr>
      <t>100.</t>
    </r>
  </si>
  <si>
    <r>
      <t xml:space="preserve">Table No. (48)  </t>
    </r>
    <r>
      <rPr>
        <b/>
        <sz val="13"/>
        <rFont val="Arial (Arabic)"/>
        <family val="2"/>
        <charset val="178"/>
      </rPr>
      <t>جدول رقم</t>
    </r>
  </si>
  <si>
    <r>
      <t xml:space="preserve">Table No. (47) </t>
    </r>
    <r>
      <rPr>
        <b/>
        <sz val="13"/>
        <rFont val="Arial (Arabic)"/>
        <family val="2"/>
        <charset val="178"/>
      </rPr>
      <t>جدول رقم</t>
    </r>
  </si>
  <si>
    <t xml:space="preserve">Table No. (46) جدول رقم </t>
  </si>
  <si>
    <t xml:space="preserve">Table No. (45) جدول رقم </t>
  </si>
  <si>
    <t xml:space="preserve">Table No. (44) جدول رقم </t>
  </si>
  <si>
    <t xml:space="preserve">Table No. (43) جدول رقم </t>
  </si>
  <si>
    <r>
      <t xml:space="preserve">Table No. (42) </t>
    </r>
    <r>
      <rPr>
        <b/>
        <sz val="14"/>
        <rFont val="Arial (Arabic)"/>
        <family val="2"/>
        <charset val="178"/>
      </rPr>
      <t xml:space="preserve">جدول رقم </t>
    </r>
  </si>
  <si>
    <r>
      <t xml:space="preserve">  2012</t>
    </r>
    <r>
      <rPr>
        <b/>
        <vertAlign val="superscript"/>
        <sz val="11"/>
        <rFont val="Arial"/>
        <family val="2"/>
      </rPr>
      <t xml:space="preserve"> 1</t>
    </r>
  </si>
  <si>
    <r>
      <t>1/ The Bahrain Cheque Truncation System (BCTS) went live on Sunday, 13</t>
    </r>
    <r>
      <rPr>
        <vertAlign val="superscript"/>
        <sz val="10"/>
        <rFont val="Arial"/>
        <family val="2"/>
      </rPr>
      <t>th</t>
    </r>
    <r>
      <rPr>
        <sz val="10"/>
        <rFont val="Arial"/>
        <family val="2"/>
      </rPr>
      <t xml:space="preserve"> May, 2012.</t>
    </r>
  </si>
  <si>
    <r>
      <t>1/ The Real Time Gross Settlement (RTGS) System went live on 14</t>
    </r>
    <r>
      <rPr>
        <vertAlign val="superscript"/>
        <sz val="10"/>
        <rFont val="Arial"/>
        <family val="2"/>
      </rPr>
      <t>th</t>
    </r>
    <r>
      <rPr>
        <sz val="10"/>
        <rFont val="Arial"/>
        <family val="2"/>
      </rPr>
      <t xml:space="preserve"> June 2007</t>
    </r>
  </si>
  <si>
    <r>
      <t>2/ The Bahrain Cheque Truncation System (BCTS) went live on 13</t>
    </r>
    <r>
      <rPr>
        <vertAlign val="superscript"/>
        <sz val="10"/>
        <rFont val="Arial"/>
        <family val="2"/>
      </rPr>
      <t>th</t>
    </r>
    <r>
      <rPr>
        <sz val="10"/>
        <rFont val="Arial"/>
        <family val="2"/>
      </rPr>
      <t xml:space="preserve"> May, 2012</t>
    </r>
  </si>
  <si>
    <r>
      <t>3/ The Electronic Fund Transfer System (EFTS) went live on 5</t>
    </r>
    <r>
      <rPr>
        <vertAlign val="superscript"/>
        <sz val="10"/>
        <rFont val="Arial"/>
        <family val="2"/>
      </rPr>
      <t>th</t>
    </r>
    <r>
      <rPr>
        <sz val="10"/>
        <rFont val="Arial"/>
        <family val="2"/>
      </rPr>
      <t xml:space="preserve"> November 2015 (only with Fawri+ and Fawri)</t>
    </r>
  </si>
  <si>
    <r>
      <t xml:space="preserve">Table No. (39) </t>
    </r>
    <r>
      <rPr>
        <b/>
        <sz val="14"/>
        <rFont val="Arial (Arabic)"/>
        <family val="2"/>
        <charset val="178"/>
      </rPr>
      <t xml:space="preserve">جدول رقم </t>
    </r>
  </si>
  <si>
    <r>
      <t xml:space="preserve">Table No. (34) </t>
    </r>
    <r>
      <rPr>
        <b/>
        <sz val="14"/>
        <rFont val="Arial (Arabic)"/>
        <family val="2"/>
        <charset val="178"/>
      </rPr>
      <t>جدول رقم</t>
    </r>
  </si>
  <si>
    <r>
      <t xml:space="preserve">Table No. (33) </t>
    </r>
    <r>
      <rPr>
        <b/>
        <sz val="14"/>
        <rFont val="Arial (Arabic)"/>
        <family val="2"/>
        <charset val="178"/>
      </rPr>
      <t>جدول رقم</t>
    </r>
  </si>
  <si>
    <r>
      <t xml:space="preserve">Table No. (32) </t>
    </r>
    <r>
      <rPr>
        <b/>
        <sz val="14"/>
        <rFont val="Arial (Arabic)"/>
        <family val="2"/>
        <charset val="178"/>
      </rPr>
      <t>جدول رقم</t>
    </r>
  </si>
  <si>
    <r>
      <t xml:space="preserve">Table No. (31) </t>
    </r>
    <r>
      <rPr>
        <b/>
        <sz val="14"/>
        <rFont val="Arial (Arabic)"/>
        <family val="2"/>
        <charset val="178"/>
      </rPr>
      <t xml:space="preserve">جدول رقم </t>
    </r>
  </si>
  <si>
    <r>
      <t xml:space="preserve">Table No. (30) </t>
    </r>
    <r>
      <rPr>
        <b/>
        <sz val="14"/>
        <rFont val="Arial (Arabic)"/>
        <family val="2"/>
        <charset val="178"/>
      </rPr>
      <t xml:space="preserve">جدول رقم </t>
    </r>
  </si>
  <si>
    <r>
      <t xml:space="preserve">Table No. (29) </t>
    </r>
    <r>
      <rPr>
        <b/>
        <sz val="14"/>
        <rFont val="Arial (Arabic)"/>
        <family val="2"/>
        <charset val="178"/>
      </rPr>
      <t>جدول رقم</t>
    </r>
  </si>
  <si>
    <r>
      <t xml:space="preserve">Table No. (28) </t>
    </r>
    <r>
      <rPr>
        <b/>
        <sz val="14"/>
        <rFont val="Arial (Arabic)"/>
        <family val="2"/>
        <charset val="178"/>
      </rPr>
      <t>جدول رقم</t>
    </r>
  </si>
  <si>
    <r>
      <t xml:space="preserve">Table No. (27) </t>
    </r>
    <r>
      <rPr>
        <b/>
        <sz val="14"/>
        <rFont val="Arial (Arabic)"/>
        <family val="2"/>
        <charset val="178"/>
      </rPr>
      <t>جدول رقم</t>
    </r>
  </si>
  <si>
    <r>
      <t xml:space="preserve">Table No. (26) </t>
    </r>
    <r>
      <rPr>
        <b/>
        <sz val="14"/>
        <rFont val="Arial (Arabic)"/>
        <family val="2"/>
        <charset val="178"/>
      </rPr>
      <t>جدول رقم</t>
    </r>
  </si>
  <si>
    <r>
      <t xml:space="preserve">Table No. (25) </t>
    </r>
    <r>
      <rPr>
        <b/>
        <sz val="14"/>
        <rFont val="Arial (Arabic)"/>
        <family val="2"/>
        <charset val="178"/>
      </rPr>
      <t xml:space="preserve">جدول رقم </t>
    </r>
  </si>
  <si>
    <r>
      <t xml:space="preserve">Table No. (24) </t>
    </r>
    <r>
      <rPr>
        <b/>
        <sz val="14"/>
        <rFont val="Arial (Arabic)"/>
        <family val="2"/>
        <charset val="178"/>
      </rPr>
      <t xml:space="preserve">جدول رقم </t>
    </r>
  </si>
  <si>
    <r>
      <t xml:space="preserve">Table No. (22) </t>
    </r>
    <r>
      <rPr>
        <b/>
        <sz val="14"/>
        <rFont val="Arial (Arabic)"/>
        <family val="2"/>
        <charset val="178"/>
      </rPr>
      <t>جدول رقم</t>
    </r>
  </si>
  <si>
    <r>
      <t xml:space="preserve">Table No. (21) </t>
    </r>
    <r>
      <rPr>
        <b/>
        <sz val="14"/>
        <rFont val="Arial (Arabic)"/>
        <family val="2"/>
        <charset val="178"/>
      </rPr>
      <t>جدول رقم</t>
    </r>
  </si>
  <si>
    <r>
      <t xml:space="preserve">Table No. (20) </t>
    </r>
    <r>
      <rPr>
        <b/>
        <sz val="14"/>
        <rFont val="Arial (Arabic)"/>
        <family val="2"/>
        <charset val="178"/>
      </rPr>
      <t xml:space="preserve">جدول رقم </t>
    </r>
  </si>
  <si>
    <r>
      <t xml:space="preserve">Table No. (19) </t>
    </r>
    <r>
      <rPr>
        <b/>
        <sz val="14"/>
        <rFont val="Arial (Arabic)"/>
        <family val="2"/>
        <charset val="178"/>
      </rPr>
      <t>جدول رقم</t>
    </r>
  </si>
  <si>
    <r>
      <t xml:space="preserve">Table No. (17) </t>
    </r>
    <r>
      <rPr>
        <b/>
        <sz val="14"/>
        <rFont val="Arial (Arabic)"/>
        <family val="2"/>
        <charset val="178"/>
      </rPr>
      <t>جدول رقم</t>
    </r>
  </si>
  <si>
    <r>
      <t xml:space="preserve">Table No. (16) </t>
    </r>
    <r>
      <rPr>
        <b/>
        <sz val="14"/>
        <rFont val="Arial (Arabic)"/>
        <family val="2"/>
        <charset val="178"/>
      </rPr>
      <t>جدول رقم</t>
    </r>
  </si>
  <si>
    <r>
      <t xml:space="preserve">Table No. (15) </t>
    </r>
    <r>
      <rPr>
        <b/>
        <sz val="12"/>
        <rFont val="Arial (Arabic)"/>
        <family val="2"/>
        <charset val="178"/>
      </rPr>
      <t>جدول رقم</t>
    </r>
  </si>
  <si>
    <r>
      <t xml:space="preserve">Table No. (14) </t>
    </r>
    <r>
      <rPr>
        <b/>
        <sz val="14"/>
        <rFont val="Arial (Arabic)"/>
        <family val="2"/>
        <charset val="178"/>
      </rPr>
      <t>جدول رقم</t>
    </r>
  </si>
  <si>
    <r>
      <t xml:space="preserve">Table No. (13) </t>
    </r>
    <r>
      <rPr>
        <b/>
        <sz val="14"/>
        <rFont val="Arial (Arabic)"/>
        <family val="2"/>
        <charset val="178"/>
      </rPr>
      <t>جدول رقم</t>
    </r>
  </si>
  <si>
    <r>
      <t xml:space="preserve">Table No. (12) </t>
    </r>
    <r>
      <rPr>
        <b/>
        <sz val="14"/>
        <rFont val="Arial (Arabic)"/>
        <family val="2"/>
        <charset val="178"/>
      </rPr>
      <t xml:space="preserve">جدول رقم </t>
    </r>
  </si>
  <si>
    <r>
      <t xml:space="preserve">Table No. (10) </t>
    </r>
    <r>
      <rPr>
        <b/>
        <sz val="14"/>
        <rFont val="Arial (Arabic)"/>
        <family val="2"/>
        <charset val="178"/>
      </rPr>
      <t>جـدول رقـم</t>
    </r>
  </si>
  <si>
    <r>
      <t xml:space="preserve">Table No. (9) </t>
    </r>
    <r>
      <rPr>
        <b/>
        <sz val="14"/>
        <rFont val="Arial (Arabic)"/>
        <family val="2"/>
        <charset val="178"/>
      </rPr>
      <t>جدول رقم</t>
    </r>
  </si>
  <si>
    <r>
      <t>مصارف قطاع التجزئة التقليدية - أسعار الفائدة على القروض الشخصية وقروض قطاع الأعمال حسب المصارف -</t>
    </r>
    <r>
      <rPr>
        <b/>
        <sz val="14"/>
        <rFont val="Arial (Arabic)"/>
      </rPr>
      <t xml:space="preserve"> أبريل 2020</t>
    </r>
    <r>
      <rPr>
        <b/>
        <sz val="14"/>
        <rFont val="Arial (Arabic)"/>
        <family val="2"/>
        <charset val="178"/>
      </rPr>
      <t xml:space="preserve"> - 1/</t>
    </r>
  </si>
  <si>
    <r>
      <t>Conventional Retail Banks - Interest Rates on Personal and Business Loans by Banks -</t>
    </r>
    <r>
      <rPr>
        <b/>
        <sz val="14"/>
        <rFont val="Arial"/>
        <family val="2"/>
      </rPr>
      <t xml:space="preserve"> April 2020</t>
    </r>
    <r>
      <rPr>
        <b/>
        <sz val="14"/>
        <rFont val="Arial"/>
        <family val="2"/>
        <charset val="178"/>
      </rPr>
      <t xml:space="preserve"> - 1/</t>
    </r>
  </si>
  <si>
    <r>
      <t xml:space="preserve">Table No. (7) </t>
    </r>
    <r>
      <rPr>
        <b/>
        <sz val="14"/>
        <rFont val="Arial (Arabic)"/>
        <family val="2"/>
        <charset val="178"/>
      </rPr>
      <t>جدول رقم</t>
    </r>
  </si>
  <si>
    <r>
      <t xml:space="preserve">Table No. (6) </t>
    </r>
    <r>
      <rPr>
        <b/>
        <sz val="14"/>
        <rFont val="Arial (Arabic)"/>
        <family val="2"/>
        <charset val="178"/>
      </rPr>
      <t>جدول رقم</t>
    </r>
  </si>
  <si>
    <r>
      <t xml:space="preserve">Table No. (5) </t>
    </r>
    <r>
      <rPr>
        <b/>
        <sz val="14"/>
        <rFont val="Arial (Arabic)"/>
        <family val="2"/>
        <charset val="178"/>
      </rPr>
      <t xml:space="preserve">جدول رقم </t>
    </r>
  </si>
  <si>
    <r>
      <t xml:space="preserve">Table No. (4) </t>
    </r>
    <r>
      <rPr>
        <b/>
        <sz val="12"/>
        <rFont val="Arial (Arabic)"/>
        <family val="2"/>
        <charset val="178"/>
      </rPr>
      <t xml:space="preserve">جدول رقم </t>
    </r>
  </si>
  <si>
    <r>
      <t xml:space="preserve">Table No. (3) </t>
    </r>
    <r>
      <rPr>
        <b/>
        <sz val="14"/>
        <rFont val="Arial (Arabic)"/>
        <family val="2"/>
        <charset val="178"/>
      </rPr>
      <t xml:space="preserve">جدول رقم </t>
    </r>
  </si>
  <si>
    <r>
      <t xml:space="preserve">Table No. (2) </t>
    </r>
    <r>
      <rPr>
        <b/>
        <sz val="14"/>
        <rFont val="Arial (Arabic)"/>
        <family val="2"/>
        <charset val="178"/>
      </rPr>
      <t xml:space="preserve">جدول رقم </t>
    </r>
  </si>
  <si>
    <r>
      <t xml:space="preserve">Table No. (1) </t>
    </r>
    <r>
      <rPr>
        <b/>
        <sz val="14"/>
        <rFont val="Arial (Arabic)"/>
        <family val="2"/>
        <charset val="178"/>
      </rPr>
      <t>جدول رقم</t>
    </r>
  </si>
  <si>
    <r>
      <t xml:space="preserve">معدل النمو </t>
    </r>
    <r>
      <rPr>
        <b/>
        <sz val="11"/>
        <rFont val="Simple Bold Jut Out"/>
        <charset val="178"/>
      </rPr>
      <t>%</t>
    </r>
  </si>
  <si>
    <r>
      <t xml:space="preserve">أسعار الفائدة في الأسواق المالية والتعاملات بين المصارف </t>
    </r>
    <r>
      <rPr>
        <b/>
        <sz val="11"/>
        <rFont val="Mudir MT"/>
        <charset val="178"/>
      </rPr>
      <t>%</t>
    </r>
    <r>
      <rPr>
        <b/>
        <sz val="11"/>
        <rFont val="Arial"/>
        <family val="2"/>
      </rPr>
      <t xml:space="preserve"> *</t>
    </r>
  </si>
  <si>
    <r>
      <t xml:space="preserve">أذونات الخزانة قصيرة الأجل </t>
    </r>
    <r>
      <rPr>
        <b/>
        <sz val="11"/>
        <rFont val="Mudir MT"/>
        <charset val="178"/>
      </rPr>
      <t>%</t>
    </r>
  </si>
  <si>
    <r>
      <t xml:space="preserve">سندات التنمية الحكومية طويلة الأجل </t>
    </r>
    <r>
      <rPr>
        <b/>
        <sz val="11"/>
        <rFont val="Mudir MT"/>
        <charset val="178"/>
      </rPr>
      <t>%</t>
    </r>
  </si>
  <si>
    <r>
      <t xml:space="preserve">Japanese Yen </t>
    </r>
    <r>
      <rPr>
        <sz val="8"/>
        <rFont val="Arial"/>
        <family val="2"/>
      </rPr>
      <t>@</t>
    </r>
  </si>
  <si>
    <r>
      <t xml:space="preserve">الين الياباني </t>
    </r>
    <r>
      <rPr>
        <sz val="8"/>
        <rFont val="Arial"/>
        <family val="2"/>
      </rPr>
      <t>@</t>
    </r>
  </si>
  <si>
    <r>
      <t xml:space="preserve"> </t>
    </r>
    <r>
      <rPr>
        <sz val="8"/>
        <rFont val="Arial"/>
        <family val="2"/>
      </rPr>
      <t>@</t>
    </r>
    <r>
      <rPr>
        <sz val="10"/>
        <rFont val="Arial"/>
        <family val="2"/>
      </rPr>
      <t xml:space="preserve">   Per 1000 units.</t>
    </r>
  </si>
  <si>
    <r>
      <t xml:space="preserve"> </t>
    </r>
    <r>
      <rPr>
        <sz val="8"/>
        <rFont val="Arial"/>
        <family val="2"/>
      </rPr>
      <t>@</t>
    </r>
    <r>
      <rPr>
        <sz val="10"/>
        <rFont val="Arial"/>
        <family val="2"/>
      </rPr>
      <t xml:space="preserve">  لكل 1000 وحدة.</t>
    </r>
  </si>
  <si>
    <r>
      <t>Current Account:</t>
    </r>
    <r>
      <rPr>
        <sz val="11.8"/>
        <rFont val="Arial"/>
        <family val="2"/>
      </rPr>
      <t xml:space="preserve"> It covers all the imported and exported goods and services, primary and secondary income accounts in the balance of payments. 
• Primary Income includes all the investment income, direct investment, portfolio investment, and others. Whereas, Secondary Income cover workers’ remittances.  
• In current account, when credits exceed the debits, in other words, when the difference is positive the result is called as current account surplus. 
• In contrast, the result is called a deficit when the debits exceed the credits.  when the debits exceed the credits, in other words, when the difference is negative the result is called as current account deficit. 
</t>
    </r>
    <r>
      <rPr>
        <b/>
        <sz val="11.8"/>
        <rFont val="Arial"/>
        <family val="2"/>
      </rPr>
      <t>Capital Account:</t>
    </r>
    <r>
      <rPr>
        <sz val="11.8"/>
        <rFont val="Arial"/>
        <family val="2"/>
      </rPr>
      <t xml:space="preserve"> It covers capital transfers. 
</t>
    </r>
    <r>
      <rPr>
        <b/>
        <sz val="11.8"/>
        <rFont val="Arial"/>
        <family val="2"/>
      </rPr>
      <t>Financial Account:</t>
    </r>
    <r>
      <rPr>
        <sz val="11.8"/>
        <rFont val="Arial"/>
        <family val="2"/>
      </rPr>
      <t xml:space="preserve"> It covers the changes in external financial assets and liabilities of a country and the corresponding records of these changes, it calculates the nets of the direct investment, portfolio investment, other investment, and reserve assets.
</t>
    </r>
    <r>
      <rPr>
        <b/>
        <sz val="11.8"/>
        <rFont val="Arial"/>
        <family val="2"/>
      </rPr>
      <t>On the assets side of the different items of the financial account,</t>
    </r>
    <r>
      <rPr>
        <sz val="11.8"/>
        <rFont val="Arial"/>
        <family val="2"/>
      </rPr>
      <t xml:space="preserve"> a negative sign means an increase in foreign assets compared with the previous period, while a positive sign means a decrease in foreign assets.
</t>
    </r>
    <r>
      <rPr>
        <b/>
        <sz val="11.8"/>
        <rFont val="Arial"/>
        <family val="2"/>
      </rPr>
      <t>On the liabilities side of the different items of the financial account,</t>
    </r>
    <r>
      <rPr>
        <sz val="11.8"/>
        <rFont val="Arial"/>
        <family val="2"/>
      </rPr>
      <t xml:space="preserve"> a negative sign means a decrease in foreign liabilities, while a positive sign means an increase in foreign liabilities. 
</t>
    </r>
  </si>
  <si>
    <t>مؤشرات السلامة المالية للقطاع المصرفي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</si>
</sst>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44" formatCode="_(&quot;$&quot;* #,##0.00_);_(&quot;$&quot;* \(#,##0.00\);_(&quot;$&quot;* &quot;-&quot;??_);_(@_)"/>
    <numFmt numFmtId="43" formatCode="_(* #,##0.00_);_(* \(#,##0.00\);_(* &quot;-&quot;??_);_(@_)"/>
    <numFmt numFmtId="164" formatCode="0.0"/>
    <numFmt numFmtId="165" formatCode="#,##0.0"/>
    <numFmt numFmtId="166" formatCode="\ \ 0"/>
    <numFmt numFmtId="167" formatCode="#,##0.0\ \ \ \ \ ;\-#,##0.0\ \ \ \ \ ;\-\-\ \ \ \ "/>
    <numFmt numFmtId="168" formatCode="#,##0.0\ \ \ \ \ \ \ ;\-#,##0.0\ \ \ \ \ \ \ ;\-\-\ \ \ \ "/>
    <numFmt numFmtId="169" formatCode="#,##0.0\ \ \ \ \ \ \ \ ;\-#,##0.0\ \ \ \ \ \ \ \ ;\-\-\ \ \ \ "/>
    <numFmt numFmtId="170" formatCode="#,##0.0;\-#,##0.0;\-\-"/>
    <numFmt numFmtId="171" formatCode="#,##0.0\ \ \ \ ;\-#,##0.0\ \ \ \ ;\-\-\ \ \ \ "/>
    <numFmt numFmtId="172" formatCode="#,##0.0\ \ \ \ \ \ ;\-#,##0.0\ \ \ \ \ \ ;\-\-\ \ \ \ "/>
    <numFmt numFmtId="173" formatCode="\(0\)"/>
    <numFmt numFmtId="174" formatCode="0.0\ \ \ \ \ \ \ "/>
    <numFmt numFmtId="175" formatCode="#,##0.0\ \ \ \ \ \ \ \ \ \ ;\-#,##0.0\ \ \ \ \ \ \ \ \ \ ;\-\-\ \ \ \ \ "/>
    <numFmt numFmtId="176" formatCode="#,##0.0\ ;\-#,##0.0\ ;\-\-\ "/>
    <numFmt numFmtId="177" formatCode="#,##0.0\ \ ;\-#,##0.0\ \ ;\-\-\ \ "/>
    <numFmt numFmtId="178" formatCode="#,##0.0\ \ \ ;\-#,##0.0\ \ \ ;\-\-\ \ \ "/>
    <numFmt numFmtId="179" formatCode="#,##0.0\ \ \ \ ;\-#,##0.0\ \ \ \ ;\-\-\ \ \ "/>
    <numFmt numFmtId="180" formatCode="#,##0.0\ \ \ \ \ \ ;\-#,##0.0\ \ \ \ \ \ ;\-\-\ \ \ "/>
    <numFmt numFmtId="181" formatCode="#,##0.0\ \ \ \ \ \ \ \ ;\-#,##0.0\ \ \ \ \ \ \ \ ;\-\-\ \ \ \ \ "/>
    <numFmt numFmtId="182" formatCode="#,##0.0\ \ \ \ \ \ \ \ \ ;\-#,##0.0\ \ \ \ \ \ \ \ \ ;\-\-\ \ \ \ \ "/>
    <numFmt numFmtId="183" formatCode="#,##0.0\ \ \ \ \ ;\-#,##0.0\ \ \ \ \ ;\-\-\ \ \ \ \ "/>
    <numFmt numFmtId="184" formatCode="#,##0.0\ \ \ \ \ \ \ ;\-#,##0.0\ \ \ \ \ \ \ ;\-\-\ \ \ \ \ \ "/>
    <numFmt numFmtId="185" formatCode="#,##0.0\ \ \ \ \ \ ;\-#,##0.0\ \ \ \ \ \ ;\-\-\ \ \ \ \ "/>
    <numFmt numFmtId="186" formatCode="#,##0.0\ \ \ \ \ \ \ \ \ \ \ ;\-#,##0.0\ \ \ \ \ \ \ \ \ \ \ ;\-\-\ \ \ \ \ \ "/>
    <numFmt numFmtId="187" formatCode="#,##0.0\ \ \ \ \ \ \ ;\-#,##0.0\ \ \ \ \ \ \ ;\-\-\ \ \ \ \ "/>
    <numFmt numFmtId="188" formatCode="#,##0.0\ \ \ \ \ ;\-#,##0.0\ \ \ \ \ ;\-\-\ \ \ "/>
    <numFmt numFmtId="189" formatCode="#,##0.0\ \ \ ;\-#,##0.0\ \ \ ;\-\-\ \ "/>
    <numFmt numFmtId="190" formatCode="#,##0.0\ \ \ \ \ \ \ \ \ \ ;\-#,##0.0\ \ \ \ \ \ \ \ \ \ ;\-\-\ \ \ \ \ \ "/>
    <numFmt numFmtId="191" formatCode="#,##0.0\ \ \ \ \ \ ;\-#,##0.0\ \ \ \ \ \ ;\-\-\ \ "/>
    <numFmt numFmtId="192" formatCode="#,##0.0\ \ \ \ \ \ \ \ \ \ \ ;\-#,##0.0\ \ \ \ \ \ \ \ \ \ \ ;\-\-\ \ \ \ \ \ \ \ \ \ \ "/>
    <numFmt numFmtId="193" formatCode="#,##0.0\ \ \ \ \ \ \ \ \ \ \ \ \ ;\-#,##0.0\ \ \ \ \ \ \ \ \ \ \ \ \ ;\-\-\ \ \ \ \ \ \ "/>
    <numFmt numFmtId="194" formatCode="#,##0.0\ \ \ \ \ \ \ \ \ \ \ \ \ ;\-#,##0.0\ \ \ \ \ \ \ \ \ \ \ \ \ ;\-\-\ \ \ \ \ "/>
    <numFmt numFmtId="195" formatCode="#,##0.0\ \ \ \ \ \ ;\-#,##0.0\ \ \ \ ;\-\-\ \ \ \ \ \ "/>
    <numFmt numFmtId="196" formatCode="#,##0.0\ \ \ \ \ \ \ ;\-#,##0.0\ \ \ \ \ \ \ ;\-\-\ \ \ "/>
    <numFmt numFmtId="197" formatCode="#,##0.0\ \ \ \ \ \ \ \ \ \ ;\-#,##0.0\ \ \ \ \ \ \ \ \ \ ;\-\-\ \ \ \ \ \ \ \ \ \ "/>
    <numFmt numFmtId="198" formatCode="#,##0.0;#,##0.0;\-\-"/>
    <numFmt numFmtId="199" formatCode="#,##0.000"/>
    <numFmt numFmtId="200" formatCode="#,##0.0\ \ \ \ \ ;\-#,##0.0\ \ \ \ \ ;0.0\ \ \ \ \ "/>
    <numFmt numFmtId="201" formatCode="#,##0.0\ \ \ \ \ ;\-#,##0.0\ \ \ \ "/>
    <numFmt numFmtId="202" formatCode="#,##0.0\ \ \ \ ;\-#,##0.0\ \ \ \ ;\-\-\ \ \ \ \ "/>
    <numFmt numFmtId="203" formatCode="#,##0.0\ \ \ \ \ \ \ \ \ ;\-#,##0.0\ \ \ \ \ \ \ \ ;\-\-\ \ \ \ \ \ "/>
    <numFmt numFmtId="204" formatCode="#,##0.0\ \ \ \ \ \ \ ;\-#,##0.0\ \ \ \ \ \ \ ;\-\-\ "/>
    <numFmt numFmtId="205" formatCode="#,##0.0;\-#,##0.0\ ;\-\-"/>
    <numFmt numFmtId="206" formatCode="\ \ 0.0"/>
    <numFmt numFmtId="207" formatCode="#,##0.0\ \ \ \ \ \ ;\-#,##0.0\ \ \ \ \ "/>
    <numFmt numFmtId="208" formatCode="#,##0.0\ \ ;\-#,##0.0\ \ ;\-\-\ "/>
    <numFmt numFmtId="209" formatCode="\ 0"/>
    <numFmt numFmtId="210" formatCode="0.000"/>
    <numFmt numFmtId="211" formatCode="\ \ 0.00"/>
    <numFmt numFmtId="212" formatCode="#,##0.0\ "/>
    <numFmt numFmtId="213" formatCode="#,##0.0\ \ \ \ \ \ \ \ \ ;\-#,##0.0\ \ \ \ \ \ \ \ \ ;\-\-\ \ \ \ \ \ "/>
    <numFmt numFmtId="214" formatCode="#,##0.0\ \ \ \ \ \ \ \ \ \ ;\-#,##0.0\ \ \ \ \ \ \ \ \ \ ;\-\-\ \ \ \ \ \ \ \ "/>
    <numFmt numFmtId="215" formatCode="#,##0.0\ \ \ \ \ ;\-#,##0.0\ \ \ \ \ ;\-\-\ \ \ \ \ \ "/>
    <numFmt numFmtId="216" formatCode="#,##0.0\ \ ;\-#,##0.\ \ \ ;\-\-\ "/>
    <numFmt numFmtId="217" formatCode="_(* #,##0.0_);_(* \(#,##0.0\);_(* &quot;-&quot;??_);_(@_)"/>
    <numFmt numFmtId="218" formatCode="0.0000"/>
    <numFmt numFmtId="219" formatCode="#,##0.0\ \ \ "/>
    <numFmt numFmtId="220" formatCode="#,##0.0\ \ \ \ \ ;\-#,##0.0\ \ \ \ \ ;\-\-\ "/>
    <numFmt numFmtId="221" formatCode="#,##0.0\ \ \ \ \ ;\-#,##0.0\ \ \ \ \ ;\-\-\ \ "/>
    <numFmt numFmtId="222" formatCode="#,##0.0\ \ \ \ ;\-#,##0.0\ \ \ \ ;\-\-\ "/>
    <numFmt numFmtId="223" formatCode="#,##0.0\ \ ;\-#,##0.0\ \ ;\-\-\ \ \ "/>
    <numFmt numFmtId="224" formatCode="#,##0.0\ \ \ \ ;\-#,##0.0\ \ \ \ ;\-\-\ \ "/>
    <numFmt numFmtId="225" formatCode="#,##0.0\ \ \ ;\-#,##0.0\ \ \ ;\-\-\ "/>
    <numFmt numFmtId="226" formatCode="#,##0.0\ \ \ \ \ \ \ ;\-#,##0.0\ \ \ \ \ \ \ ;0.0\ \ \ \ \ \ \ "/>
    <numFmt numFmtId="227" formatCode="_(* #,##0_);_(* \(#,##0\);_(* &quot;-&quot;??_);_(@_)"/>
    <numFmt numFmtId="228" formatCode="0.0%"/>
  </numFmts>
  <fonts count="74">
    <font>
      <sz val="10"/>
      <name val="Arial"/>
      <charset val="178"/>
    </font>
    <font>
      <sz val="11"/>
      <color theme="1"/>
      <name val="Calibri"/>
      <family val="2"/>
      <scheme val="minor"/>
    </font>
    <font>
      <sz val="10"/>
      <name val="Arabic Transparent"/>
      <charset val="178"/>
    </font>
    <font>
      <sz val="10"/>
      <name val="Arial"/>
      <family val="2"/>
    </font>
    <font>
      <sz val="12"/>
      <name val="Arial"/>
      <family val="2"/>
      <charset val="178"/>
    </font>
    <font>
      <b/>
      <sz val="14"/>
      <name val="Arial"/>
      <family val="2"/>
      <charset val="178"/>
    </font>
    <font>
      <sz val="10"/>
      <name val="Arial"/>
      <family val="2"/>
      <charset val="178"/>
    </font>
    <font>
      <b/>
      <sz val="10"/>
      <name val="Arial"/>
      <family val="2"/>
      <charset val="178"/>
    </font>
    <font>
      <sz val="10"/>
      <name val="Arial (Arabic)"/>
      <family val="2"/>
      <charset val="178"/>
    </font>
    <font>
      <b/>
      <sz val="14"/>
      <name val="Arial (Arabic)"/>
      <family val="2"/>
      <charset val="178"/>
    </font>
    <font>
      <b/>
      <sz val="12"/>
      <name val="Arial"/>
      <family val="2"/>
      <charset val="178"/>
    </font>
    <font>
      <sz val="10"/>
      <name val="MS Sans Serif"/>
      <family val="2"/>
    </font>
    <font>
      <b/>
      <sz val="12"/>
      <name val="Arial (Arabic)"/>
      <family val="2"/>
      <charset val="178"/>
    </font>
    <font>
      <sz val="12"/>
      <name val="Arial (Arabic)"/>
      <family val="2"/>
      <charset val="178"/>
    </font>
    <font>
      <sz val="12"/>
      <name val="Arial"/>
      <family val="2"/>
    </font>
    <font>
      <sz val="12"/>
      <name val="Arial CE"/>
      <family val="2"/>
      <charset val="178"/>
    </font>
    <font>
      <sz val="11"/>
      <name val="Arial"/>
      <family val="2"/>
      <charset val="178"/>
    </font>
    <font>
      <b/>
      <sz val="11"/>
      <name val="Arial (Arabic)"/>
      <family val="2"/>
      <charset val="178"/>
    </font>
    <font>
      <sz val="11"/>
      <name val="Arial (Arabic)"/>
      <family val="2"/>
      <charset val="178"/>
    </font>
    <font>
      <b/>
      <sz val="11"/>
      <name val="Arial"/>
      <family val="2"/>
      <charset val="178"/>
    </font>
    <font>
      <sz val="11"/>
      <name val="Arial"/>
      <family val="2"/>
    </font>
    <font>
      <sz val="14"/>
      <name val="Arial"/>
      <family val="2"/>
      <charset val="178"/>
    </font>
    <font>
      <b/>
      <sz val="13"/>
      <name val="Arial (Arabic)"/>
      <family val="2"/>
      <charset val="178"/>
    </font>
    <font>
      <sz val="8"/>
      <name val="Arial"/>
      <family val="2"/>
      <charset val="178"/>
    </font>
    <font>
      <sz val="9"/>
      <name val="Arial"/>
      <family val="2"/>
      <charset val="178"/>
    </font>
    <font>
      <sz val="9"/>
      <name val="Arial (Arabic)"/>
      <family val="2"/>
      <charset val="178"/>
    </font>
    <font>
      <sz val="12"/>
      <name val="Times New Roman"/>
      <family val="1"/>
    </font>
    <font>
      <b/>
      <sz val="12"/>
      <name val="Arial"/>
      <family val="2"/>
    </font>
    <font>
      <sz val="9"/>
      <name val="Arial"/>
      <family val="2"/>
    </font>
    <font>
      <b/>
      <sz val="11"/>
      <name val="Arial"/>
      <family val="2"/>
    </font>
    <font>
      <sz val="8"/>
      <name val="Arial"/>
      <family val="2"/>
    </font>
    <font>
      <sz val="12"/>
      <name val="Times New Roman"/>
      <family val="1"/>
      <charset val="178"/>
    </font>
    <font>
      <sz val="10.5"/>
      <name val="Arial (Arabic)"/>
      <family val="2"/>
      <charset val="178"/>
    </font>
    <font>
      <b/>
      <sz val="10"/>
      <name val="Arial (Arabic)"/>
      <family val="2"/>
      <charset val="178"/>
    </font>
    <font>
      <b/>
      <sz val="9"/>
      <name val="Arial"/>
      <family val="2"/>
      <charset val="178"/>
    </font>
    <font>
      <b/>
      <u/>
      <sz val="12"/>
      <name val="Arial"/>
      <family val="2"/>
      <charset val="178"/>
    </font>
    <font>
      <b/>
      <sz val="8"/>
      <name val="Arial (Arabic)"/>
      <family val="2"/>
      <charset val="178"/>
    </font>
    <font>
      <sz val="9.5"/>
      <name val="Arial"/>
      <family val="2"/>
      <charset val="178"/>
    </font>
    <font>
      <sz val="10"/>
      <name val="Times New Roman"/>
      <family val="1"/>
      <charset val="178"/>
    </font>
    <font>
      <b/>
      <sz val="13"/>
      <name val="Arial"/>
      <family val="2"/>
    </font>
    <font>
      <b/>
      <sz val="14"/>
      <name val="Arial"/>
      <family val="2"/>
    </font>
    <font>
      <sz val="11.5"/>
      <name val="Arial"/>
      <family val="2"/>
      <charset val="178"/>
    </font>
    <font>
      <sz val="11"/>
      <color rgb="FF000000"/>
      <name val="Calibri"/>
      <family val="2"/>
      <scheme val="minor"/>
    </font>
    <font>
      <b/>
      <sz val="12.5"/>
      <name val="Arial"/>
      <family val="2"/>
    </font>
    <font>
      <sz val="12.5"/>
      <name val="Arial"/>
      <family val="2"/>
    </font>
    <font>
      <sz val="9"/>
      <color indexed="81"/>
      <name val="Tahoma"/>
      <family val="2"/>
    </font>
    <font>
      <b/>
      <sz val="10"/>
      <name val="Arial"/>
      <family val="2"/>
    </font>
    <font>
      <sz val="12"/>
      <color theme="1"/>
      <name val="Calibri"/>
      <family val="2"/>
      <scheme val="minor"/>
    </font>
    <font>
      <sz val="11.8"/>
      <name val="Arial"/>
      <family val="2"/>
    </font>
    <font>
      <sz val="10.5"/>
      <name val="Arial"/>
      <family val="2"/>
      <charset val="178"/>
    </font>
    <font>
      <sz val="14"/>
      <name val="Arial"/>
      <family val="2"/>
    </font>
    <font>
      <sz val="14"/>
      <name val="Arial (Arabic)"/>
      <family val="2"/>
      <charset val="178"/>
    </font>
    <font>
      <b/>
      <u/>
      <sz val="14"/>
      <name val="Arial"/>
      <family val="2"/>
      <charset val="178"/>
    </font>
    <font>
      <sz val="10.5"/>
      <name val="Arial"/>
      <family val="2"/>
    </font>
    <font>
      <b/>
      <u/>
      <sz val="10.5"/>
      <name val="Arial"/>
      <family val="2"/>
      <charset val="178"/>
    </font>
    <font>
      <b/>
      <u/>
      <sz val="14"/>
      <name val="Arial (Arabic)"/>
      <family val="2"/>
      <charset val="178"/>
    </font>
    <font>
      <b/>
      <u/>
      <sz val="12"/>
      <name val="Arial (Arabic)"/>
      <family val="2"/>
      <charset val="178"/>
    </font>
    <font>
      <b/>
      <sz val="13"/>
      <name val="Arial"/>
      <family val="2"/>
      <charset val="178"/>
    </font>
    <font>
      <sz val="1"/>
      <name val="Arial"/>
      <family val="2"/>
      <charset val="178"/>
    </font>
    <font>
      <sz val="13"/>
      <name val="Arial"/>
      <family val="2"/>
    </font>
    <font>
      <sz val="10"/>
      <name val="Times New Roman"/>
      <family val="1"/>
    </font>
    <font>
      <b/>
      <sz val="12"/>
      <name val="Times New Roman"/>
      <family val="1"/>
    </font>
    <font>
      <b/>
      <vertAlign val="superscript"/>
      <sz val="11"/>
      <name val="Arial"/>
      <family val="2"/>
    </font>
    <font>
      <vertAlign val="superscript"/>
      <sz val="10"/>
      <name val="Arial"/>
      <family val="2"/>
    </font>
    <font>
      <sz val="13"/>
      <name val="Times New Roman"/>
      <family val="1"/>
      <charset val="178"/>
    </font>
    <font>
      <b/>
      <sz val="15"/>
      <name val="Arial"/>
      <family val="2"/>
      <charset val="178"/>
    </font>
    <font>
      <b/>
      <sz val="15"/>
      <name val="Arial (Arabic)"/>
      <family val="2"/>
      <charset val="178"/>
    </font>
    <font>
      <b/>
      <sz val="14"/>
      <name val="Arial (Arabic)"/>
    </font>
    <font>
      <sz val="13"/>
      <name val="Arial"/>
      <family val="2"/>
      <charset val="178"/>
    </font>
    <font>
      <b/>
      <sz val="16"/>
      <name val="Arial"/>
      <family val="2"/>
    </font>
    <font>
      <b/>
      <sz val="11"/>
      <name val="Simple Bold Jut Out"/>
      <charset val="178"/>
    </font>
    <font>
      <b/>
      <sz val="11"/>
      <name val="Mudir MT"/>
      <charset val="178"/>
    </font>
    <font>
      <sz val="1"/>
      <name val="Arial"/>
      <family val="2"/>
    </font>
    <font>
      <b/>
      <sz val="11.8"/>
      <name val="Arial"/>
      <family val="2"/>
    </font>
  </fonts>
  <fills count="11">
    <fill>
      <patternFill patternType="none"/>
    </fill>
    <fill>
      <patternFill patternType="gray125"/>
    </fill>
    <fill>
      <patternFill patternType="darkTrellis">
        <fgColor indexed="36"/>
        <bgColor indexed="73"/>
      </patternFill>
    </fill>
    <fill>
      <patternFill patternType="solid">
        <fgColor indexed="2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43">
    <border>
      <left/>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s>
  <cellStyleXfs count="29">
    <xf numFmtId="166" fontId="0" fillId="2" borderId="0" quotePrefix="1" applyFill="0" applyAlignment="0">
      <alignment horizontal="fill" vertical="justify" textRotation="180" wrapText="1"/>
      <protection locked="0" hidden="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0" fontId="2" fillId="0" borderId="0" applyNumberFormat="0">
      <alignment horizontal="right"/>
    </xf>
    <xf numFmtId="0" fontId="11" fillId="0" borderId="0" applyNumberFormat="0">
      <alignment horizontal="left"/>
    </xf>
    <xf numFmtId="0" fontId="42" fillId="0" borderId="0"/>
    <xf numFmtId="0" fontId="3"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166" fontId="3" fillId="2" borderId="0" quotePrefix="1" applyFill="0" applyAlignment="0">
      <alignment horizontal="fill" vertical="justify" textRotation="180" wrapText="1"/>
      <protection locked="0" hidden="1"/>
    </xf>
    <xf numFmtId="0" fontId="11" fillId="0" borderId="0"/>
    <xf numFmtId="0" fontId="11" fillId="0" borderId="0"/>
    <xf numFmtId="0" fontId="11"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0" fontId="6" fillId="0" borderId="0" applyNumberFormat="0">
      <alignment horizontal="right"/>
    </xf>
    <xf numFmtId="166" fontId="3" fillId="2" borderId="0" quotePrefix="1" applyFill="0" applyAlignment="0">
      <alignment horizontal="fill" vertical="justify" textRotation="180" wrapText="1"/>
      <protection locked="0" hidden="1"/>
    </xf>
    <xf numFmtId="0" fontId="1" fillId="0" borderId="0"/>
    <xf numFmtId="0" fontId="47" fillId="0" borderId="0"/>
  </cellStyleXfs>
  <cellXfs count="2246">
    <xf numFmtId="0" fontId="0" fillId="0" borderId="0" xfId="0" applyNumberFormat="1" applyFill="1" applyAlignment="1" applyProtection="1"/>
    <xf numFmtId="0" fontId="6" fillId="0" borderId="0" xfId="0" applyNumberFormat="1" applyFont="1" applyFill="1" applyAlignment="1" applyProtection="1">
      <alignment horizontal="centerContinuous" wrapText="1"/>
    </xf>
    <xf numFmtId="0" fontId="6" fillId="0" borderId="0" xfId="0" applyNumberFormat="1" applyFont="1" applyFill="1" applyBorder="1" applyAlignment="1" applyProtection="1">
      <alignment wrapText="1"/>
    </xf>
    <xf numFmtId="0" fontId="3" fillId="0" borderId="0" xfId="0" applyNumberFormat="1" applyFont="1" applyFill="1" applyAlignment="1" applyProtection="1">
      <alignment horizontal="centerContinuous"/>
    </xf>
    <xf numFmtId="0" fontId="3" fillId="0" borderId="0" xfId="0" applyNumberFormat="1" applyFont="1" applyFill="1" applyAlignment="1" applyProtection="1">
      <alignment horizontal="centerContinuous" wrapText="1"/>
    </xf>
    <xf numFmtId="0" fontId="6" fillId="0" borderId="0" xfId="0" applyNumberFormat="1" applyFont="1" applyFill="1" applyAlignment="1" applyProtection="1">
      <alignment wrapText="1"/>
    </xf>
    <xf numFmtId="0" fontId="6" fillId="0" borderId="0" xfId="0" applyNumberFormat="1" applyFont="1" applyFill="1" applyAlignment="1" applyProtection="1"/>
    <xf numFmtId="0" fontId="6" fillId="0" borderId="0" xfId="0" applyNumberFormat="1" applyFont="1" applyFill="1" applyAlignment="1" applyProtection="1">
      <alignment horizontal="right" wrapText="1"/>
    </xf>
    <xf numFmtId="0" fontId="6" fillId="0" borderId="0" xfId="0" applyNumberFormat="1" applyFont="1" applyFill="1" applyAlignment="1" applyProtection="1">
      <alignment horizontal="centerContinuous"/>
    </xf>
    <xf numFmtId="0" fontId="4" fillId="0" borderId="0" xfId="0" applyNumberFormat="1" applyFont="1" applyFill="1" applyAlignment="1" applyProtection="1"/>
    <xf numFmtId="22" fontId="6" fillId="0" borderId="0" xfId="0" applyNumberFormat="1" applyFont="1" applyFill="1" applyBorder="1" applyAlignment="1">
      <alignment horizontal="centerContinuous"/>
      <protection locked="0" hidden="1"/>
    </xf>
    <xf numFmtId="0" fontId="4" fillId="0" borderId="0" xfId="0" applyNumberFormat="1" applyFont="1" applyFill="1" applyBorder="1" applyAlignment="1" applyProtection="1">
      <alignment horizontal="centerContinuous"/>
    </xf>
    <xf numFmtId="0" fontId="14" fillId="0" borderId="0" xfId="0" applyNumberFormat="1" applyFont="1" applyFill="1" applyAlignment="1" applyProtection="1">
      <alignment horizontal="centerContinuous"/>
    </xf>
    <xf numFmtId="0" fontId="14" fillId="0" borderId="0" xfId="0" applyNumberFormat="1" applyFont="1" applyFill="1" applyAlignment="1" applyProtection="1">
      <alignment horizontal="centerContinuous" wrapText="1"/>
    </xf>
    <xf numFmtId="0" fontId="14" fillId="0" borderId="0" xfId="0" applyNumberFormat="1" applyFont="1" applyFill="1" applyAlignment="1" applyProtection="1"/>
    <xf numFmtId="0" fontId="14" fillId="0" borderId="0" xfId="0" applyNumberFormat="1" applyFont="1" applyFill="1" applyBorder="1" applyAlignment="1" applyProtection="1">
      <alignment horizontal="centerContinuous" wrapText="1"/>
    </xf>
    <xf numFmtId="0" fontId="14" fillId="0" borderId="0" xfId="0" applyNumberFormat="1" applyFont="1" applyFill="1" applyAlignment="1" applyProtection="1">
      <alignment wrapText="1"/>
    </xf>
    <xf numFmtId="0" fontId="15" fillId="0" borderId="0" xfId="0" applyNumberFormat="1" applyFont="1" applyFill="1" applyAlignment="1" applyProtection="1"/>
    <xf numFmtId="0" fontId="5" fillId="0" borderId="0" xfId="0" applyNumberFormat="1" applyFont="1" applyFill="1" applyAlignment="1" applyProtection="1">
      <alignment horizontal="centerContinuous"/>
    </xf>
    <xf numFmtId="0" fontId="14" fillId="0" borderId="0" xfId="0" applyNumberFormat="1" applyFont="1" applyFill="1" applyBorder="1" applyAlignment="1" applyProtection="1"/>
    <xf numFmtId="166" fontId="6" fillId="0" borderId="0" xfId="0" applyNumberFormat="1" applyFont="1" applyFill="1" applyBorder="1" applyAlignment="1">
      <alignment horizontal="left"/>
      <protection locked="0" hidden="1"/>
    </xf>
    <xf numFmtId="0" fontId="4" fillId="0" borderId="0" xfId="0" applyNumberFormat="1" applyFont="1" applyFill="1" applyAlignment="1" applyProtection="1">
      <alignment horizontal="left" vertical="top"/>
    </xf>
    <xf numFmtId="0" fontId="4" fillId="0" borderId="0" xfId="0" applyNumberFormat="1" applyFont="1" applyFill="1" applyBorder="1" applyAlignment="1" applyProtection="1">
      <alignment horizontal="centerContinuous" vertical="top" wrapText="1"/>
    </xf>
    <xf numFmtId="0" fontId="8" fillId="0" borderId="0" xfId="0" applyNumberFormat="1" applyFont="1" applyFill="1" applyBorder="1" applyAlignment="1" applyProtection="1"/>
    <xf numFmtId="0" fontId="13" fillId="0" borderId="0" xfId="0" applyNumberFormat="1" applyFont="1" applyFill="1" applyAlignment="1" applyProtection="1"/>
    <xf numFmtId="0" fontId="12" fillId="0" borderId="0" xfId="0" applyNumberFormat="1" applyFont="1" applyFill="1" applyAlignment="1" applyProtection="1">
      <alignment horizontal="centerContinuous"/>
    </xf>
    <xf numFmtId="0" fontId="3" fillId="0" borderId="0" xfId="0" applyNumberFormat="1" applyFont="1" applyFill="1" applyAlignment="1" applyProtection="1">
      <alignment wrapText="1"/>
    </xf>
    <xf numFmtId="0" fontId="12" fillId="0" borderId="1" xfId="0" applyNumberFormat="1" applyFont="1" applyFill="1" applyBorder="1" applyAlignment="1" applyProtection="1">
      <alignment horizontal="centerContinuous"/>
    </xf>
    <xf numFmtId="0" fontId="3" fillId="0" borderId="0" xfId="0" applyNumberFormat="1" applyFont="1" applyFill="1" applyBorder="1" applyAlignment="1" applyProtection="1"/>
    <xf numFmtId="0" fontId="3" fillId="0" borderId="0" xfId="0" applyNumberFormat="1" applyFont="1" applyFill="1" applyAlignment="1" applyProtection="1"/>
    <xf numFmtId="0" fontId="4" fillId="0" borderId="0" xfId="0" applyNumberFormat="1" applyFont="1" applyFill="1" applyAlignment="1" applyProtection="1">
      <alignment wrapText="1"/>
    </xf>
    <xf numFmtId="0" fontId="4" fillId="0" borderId="0" xfId="0" applyNumberFormat="1" applyFont="1" applyFill="1" applyBorder="1" applyAlignment="1" applyProtection="1"/>
    <xf numFmtId="0" fontId="12" fillId="0" borderId="2" xfId="0" applyNumberFormat="1" applyFont="1" applyFill="1" applyBorder="1" applyAlignment="1" applyProtection="1">
      <alignment horizontal="centerContinuous" vertical="center"/>
    </xf>
    <xf numFmtId="0" fontId="12" fillId="0" borderId="1" xfId="0" applyNumberFormat="1" applyFont="1" applyFill="1" applyBorder="1" applyAlignment="1" applyProtection="1">
      <alignment horizontal="centerContinuous" vertical="center"/>
    </xf>
    <xf numFmtId="0" fontId="14" fillId="0" borderId="3" xfId="0" applyNumberFormat="1" applyFont="1" applyFill="1" applyBorder="1" applyAlignment="1" applyProtection="1">
      <alignment horizontal="centerContinuous" wrapText="1"/>
    </xf>
    <xf numFmtId="0" fontId="12" fillId="0" borderId="2" xfId="0" applyNumberFormat="1" applyFont="1" applyFill="1" applyBorder="1" applyAlignment="1" applyProtection="1">
      <alignment horizontal="centerContinuous" wrapText="1"/>
    </xf>
    <xf numFmtId="0" fontId="12" fillId="0" borderId="1" xfId="0" applyNumberFormat="1" applyFont="1" applyFill="1" applyBorder="1" applyAlignment="1" applyProtection="1">
      <alignment horizontal="centerContinuous" wrapText="1"/>
    </xf>
    <xf numFmtId="0" fontId="10" fillId="0" borderId="4" xfId="0" applyNumberFormat="1" applyFont="1" applyFill="1" applyBorder="1" applyAlignment="1" applyProtection="1">
      <alignment horizontal="centerContinuous" vertical="top" wrapText="1"/>
    </xf>
    <xf numFmtId="0" fontId="4" fillId="0" borderId="3" xfId="0" applyNumberFormat="1" applyFont="1" applyFill="1" applyBorder="1" applyAlignment="1" applyProtection="1">
      <alignment wrapText="1"/>
    </xf>
    <xf numFmtId="0" fontId="10" fillId="0" borderId="0" xfId="0" applyNumberFormat="1" applyFont="1" applyFill="1" applyAlignment="1" applyProtection="1">
      <alignment wrapText="1"/>
    </xf>
    <xf numFmtId="0" fontId="14" fillId="0" borderId="3" xfId="0" applyNumberFormat="1" applyFont="1" applyFill="1" applyBorder="1" applyAlignment="1" applyProtection="1">
      <alignment horizontal="left"/>
    </xf>
    <xf numFmtId="0" fontId="13" fillId="0" borderId="3" xfId="0" applyNumberFormat="1" applyFont="1" applyFill="1" applyBorder="1" applyAlignment="1" applyProtection="1"/>
    <xf numFmtId="0" fontId="4" fillId="0" borderId="3" xfId="0" applyNumberFormat="1" applyFont="1" applyFill="1" applyBorder="1" applyAlignment="1" applyProtection="1">
      <alignment horizontal="left" vertical="top"/>
    </xf>
    <xf numFmtId="0" fontId="16" fillId="0" borderId="0" xfId="0" applyNumberFormat="1" applyFont="1" applyFill="1" applyAlignment="1" applyProtection="1"/>
    <xf numFmtId="0" fontId="10" fillId="0" borderId="0" xfId="0" applyNumberFormat="1" applyFont="1" applyFill="1" applyAlignment="1" applyProtection="1"/>
    <xf numFmtId="0" fontId="10" fillId="0" borderId="5" xfId="0" applyNumberFormat="1" applyFont="1" applyFill="1" applyBorder="1" applyAlignment="1" applyProtection="1">
      <alignment horizontal="centerContinuous" vertical="center"/>
    </xf>
    <xf numFmtId="0" fontId="10" fillId="0" borderId="0"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xf>
    <xf numFmtId="0" fontId="10" fillId="0" borderId="7" xfId="0" applyNumberFormat="1" applyFont="1" applyFill="1" applyBorder="1" applyAlignment="1" applyProtection="1">
      <alignment vertical="center"/>
    </xf>
    <xf numFmtId="0" fontId="10" fillId="0" borderId="6" xfId="0" applyNumberFormat="1" applyFont="1" applyFill="1" applyBorder="1" applyAlignment="1" applyProtection="1">
      <alignment horizontal="centerContinuous" vertical="center"/>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xf numFmtId="0" fontId="10" fillId="0" borderId="3" xfId="0" applyNumberFormat="1" applyFont="1" applyFill="1" applyBorder="1" applyAlignment="1" applyProtection="1">
      <alignment horizontal="center" vertical="top"/>
    </xf>
    <xf numFmtId="0" fontId="10" fillId="0" borderId="8" xfId="0" applyNumberFormat="1" applyFont="1" applyFill="1" applyBorder="1" applyAlignment="1" applyProtection="1">
      <alignment horizontal="center"/>
    </xf>
    <xf numFmtId="0" fontId="10" fillId="0" borderId="0" xfId="0" applyNumberFormat="1" applyFont="1" applyFill="1" applyAlignment="1" applyProtection="1">
      <alignment vertical="top"/>
    </xf>
    <xf numFmtId="0" fontId="10" fillId="0" borderId="9"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center" wrapText="1"/>
    </xf>
    <xf numFmtId="0" fontId="10" fillId="0" borderId="2" xfId="0" applyNumberFormat="1" applyFont="1" applyFill="1" applyBorder="1" applyAlignment="1" applyProtection="1">
      <alignment wrapText="1"/>
    </xf>
    <xf numFmtId="0" fontId="10" fillId="0" borderId="9" xfId="0" applyNumberFormat="1" applyFont="1" applyFill="1" applyBorder="1" applyAlignment="1" applyProtection="1">
      <alignment horizontal="centerContinuous" wrapText="1"/>
    </xf>
    <xf numFmtId="0" fontId="10" fillId="0" borderId="0" xfId="0" applyNumberFormat="1" applyFont="1" applyFill="1" applyBorder="1" applyAlignment="1" applyProtection="1">
      <alignment horizontal="centerContinuous" wrapText="1"/>
    </xf>
    <xf numFmtId="0" fontId="10" fillId="0" borderId="1" xfId="0" applyNumberFormat="1" applyFont="1" applyFill="1" applyBorder="1" applyAlignment="1" applyProtection="1">
      <alignment wrapText="1"/>
    </xf>
    <xf numFmtId="0" fontId="10" fillId="0" borderId="4" xfId="0" applyNumberFormat="1" applyFont="1" applyFill="1" applyBorder="1" applyAlignment="1" applyProtection="1">
      <alignment horizontal="centerContinuous"/>
    </xf>
    <xf numFmtId="0" fontId="10" fillId="0" borderId="10" xfId="0" applyNumberFormat="1" applyFont="1" applyFill="1" applyBorder="1" applyAlignment="1" applyProtection="1">
      <alignment horizontal="centerContinuous" wrapText="1"/>
    </xf>
    <xf numFmtId="0" fontId="17" fillId="0" borderId="11"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Continuous"/>
    </xf>
    <xf numFmtId="0" fontId="17" fillId="0" borderId="9"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wrapText="1"/>
    </xf>
    <xf numFmtId="0" fontId="10" fillId="0" borderId="11"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Continuous" wrapText="1"/>
    </xf>
    <xf numFmtId="0" fontId="10" fillId="0" borderId="3" xfId="0" applyNumberFormat="1" applyFont="1" applyFill="1" applyBorder="1" applyAlignment="1" applyProtection="1">
      <alignment horizontal="centerContinuous"/>
    </xf>
    <xf numFmtId="0" fontId="10" fillId="0" borderId="4"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7" fillId="0" borderId="9" xfId="0" applyNumberFormat="1" applyFont="1" applyFill="1" applyBorder="1" applyAlignment="1" applyProtection="1"/>
    <xf numFmtId="0" fontId="10" fillId="0" borderId="9" xfId="0" applyNumberFormat="1" applyFont="1" applyFill="1" applyBorder="1" applyAlignment="1" applyProtection="1"/>
    <xf numFmtId="0" fontId="12" fillId="0" borderId="6"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Continuous"/>
    </xf>
    <xf numFmtId="0" fontId="10" fillId="0" borderId="0" xfId="0" applyNumberFormat="1" applyFont="1" applyFill="1" applyBorder="1" applyAlignment="1" applyProtection="1"/>
    <xf numFmtId="0" fontId="10" fillId="0" borderId="11" xfId="0" applyNumberFormat="1" applyFont="1" applyFill="1" applyBorder="1" applyAlignment="1" applyProtection="1"/>
    <xf numFmtId="0" fontId="12" fillId="0" borderId="11" xfId="0" applyNumberFormat="1" applyFont="1" applyFill="1" applyBorder="1" applyAlignment="1" applyProtection="1"/>
    <xf numFmtId="0" fontId="7" fillId="0" borderId="11" xfId="0" applyNumberFormat="1" applyFont="1" applyFill="1" applyBorder="1" applyAlignment="1" applyProtection="1"/>
    <xf numFmtId="0" fontId="12" fillId="0" borderId="0" xfId="0" applyNumberFormat="1" applyFont="1" applyFill="1" applyAlignment="1" applyProtection="1">
      <alignment horizontal="center"/>
    </xf>
    <xf numFmtId="0" fontId="12" fillId="0" borderId="9"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vertical="center"/>
    </xf>
    <xf numFmtId="0" fontId="10" fillId="0" borderId="9" xfId="0" applyNumberFormat="1" applyFont="1" applyFill="1" applyBorder="1" applyAlignment="1" applyProtection="1">
      <alignment horizontal="centerContinuous" vertical="center"/>
    </xf>
    <xf numFmtId="0" fontId="10" fillId="0" borderId="1" xfId="0" applyNumberFormat="1" applyFont="1" applyFill="1" applyBorder="1" applyAlignment="1" applyProtection="1">
      <alignment horizontal="centerContinuous" vertical="top"/>
    </xf>
    <xf numFmtId="0" fontId="10" fillId="0" borderId="9" xfId="0" applyNumberFormat="1" applyFont="1" applyFill="1" applyBorder="1" applyAlignment="1" applyProtection="1">
      <alignment horizontal="centerContinuous" vertical="top"/>
    </xf>
    <xf numFmtId="0" fontId="10" fillId="0" borderId="11" xfId="0" applyNumberFormat="1" applyFont="1" applyFill="1" applyBorder="1" applyAlignment="1" applyProtection="1">
      <alignment horizontal="center" vertical="top"/>
    </xf>
    <xf numFmtId="16" fontId="10" fillId="0" borderId="11" xfId="0" applyNumberFormat="1" applyFont="1" applyFill="1" applyBorder="1" applyAlignment="1" applyProtection="1">
      <alignment horizontal="center" vertical="top"/>
    </xf>
    <xf numFmtId="16" fontId="10" fillId="0" borderId="9"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Continuous" vertical="top"/>
    </xf>
    <xf numFmtId="0" fontId="10" fillId="0" borderId="10" xfId="0" applyNumberFormat="1" applyFont="1" applyFill="1" applyBorder="1" applyAlignment="1" applyProtection="1">
      <alignment horizontal="centerContinuous" vertical="top"/>
    </xf>
    <xf numFmtId="0" fontId="10" fillId="0" borderId="8" xfId="0" applyNumberFormat="1" applyFont="1" applyFill="1" applyBorder="1" applyAlignment="1" applyProtection="1">
      <alignment horizontal="center" vertical="top"/>
    </xf>
    <xf numFmtId="0" fontId="10" fillId="0" borderId="10" xfId="0" applyNumberFormat="1" applyFont="1" applyFill="1" applyBorder="1" applyAlignment="1" applyProtection="1">
      <alignment horizontal="center" vertical="top"/>
    </xf>
    <xf numFmtId="16" fontId="10" fillId="0" borderId="10" xfId="0" applyNumberFormat="1" applyFont="1" applyFill="1" applyBorder="1" applyAlignment="1" applyProtection="1">
      <alignment horizontal="center" vertical="top"/>
    </xf>
    <xf numFmtId="16" fontId="10" fillId="0" borderId="8" xfId="0" applyNumberFormat="1" applyFont="1" applyFill="1" applyBorder="1" applyAlignment="1" applyProtection="1">
      <alignment horizontal="center" vertical="top"/>
    </xf>
    <xf numFmtId="0" fontId="10" fillId="0" borderId="10"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11"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xf>
    <xf numFmtId="0" fontId="10" fillId="0" borderId="10" xfId="0" applyNumberFormat="1" applyFont="1" applyFill="1" applyBorder="1" applyAlignment="1" applyProtection="1">
      <alignment horizontal="centerContinuous"/>
    </xf>
    <xf numFmtId="0" fontId="12" fillId="0" borderId="0" xfId="0" applyNumberFormat="1" applyFont="1" applyFill="1" applyBorder="1" applyAlignment="1" applyProtection="1">
      <alignment horizontal="centerContinuous" vertical="center"/>
    </xf>
    <xf numFmtId="0" fontId="10" fillId="0" borderId="0" xfId="0" applyNumberFormat="1" applyFont="1" applyFill="1" applyBorder="1" applyAlignment="1" applyProtection="1">
      <alignment horizontal="centerContinuous" vertical="center"/>
    </xf>
    <xf numFmtId="0" fontId="12" fillId="0" borderId="11" xfId="0" applyNumberFormat="1" applyFont="1" applyFill="1" applyBorder="1" applyAlignment="1" applyProtection="1">
      <alignment vertical="center"/>
    </xf>
    <xf numFmtId="0" fontId="10" fillId="0" borderId="3" xfId="0" applyNumberFormat="1" applyFont="1" applyFill="1" applyBorder="1" applyAlignment="1" applyProtection="1">
      <alignment horizontal="centerContinuous" vertical="center"/>
    </xf>
    <xf numFmtId="0" fontId="10" fillId="0" borderId="10" xfId="0" applyNumberFormat="1" applyFont="1" applyFill="1" applyBorder="1" applyAlignment="1" applyProtection="1">
      <alignment horizontal="centerContinuous" vertical="center"/>
    </xf>
    <xf numFmtId="0" fontId="10" fillId="0" borderId="9"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center" vertical="top"/>
    </xf>
    <xf numFmtId="0" fontId="10" fillId="0" borderId="9" xfId="0" applyNumberFormat="1" applyFont="1" applyFill="1" applyBorder="1" applyAlignment="1" applyProtection="1">
      <alignment horizontal="center" vertical="top"/>
    </xf>
    <xf numFmtId="0" fontId="10" fillId="0" borderId="4" xfId="0" applyNumberFormat="1" applyFont="1" applyFill="1" applyBorder="1" applyAlignment="1" applyProtection="1">
      <alignment vertical="top"/>
    </xf>
    <xf numFmtId="0" fontId="10" fillId="0" borderId="10" xfId="0" applyNumberFormat="1" applyFont="1" applyFill="1" applyBorder="1" applyAlignment="1" applyProtection="1">
      <alignment vertical="top"/>
    </xf>
    <xf numFmtId="0" fontId="10" fillId="0" borderId="6" xfId="0" applyNumberFormat="1" applyFont="1" applyFill="1" applyBorder="1" applyAlignment="1" applyProtection="1">
      <alignment horizontal="centerContinuous"/>
    </xf>
    <xf numFmtId="0" fontId="12" fillId="0" borderId="0" xfId="0" applyNumberFormat="1" applyFont="1" applyFill="1" applyBorder="1" applyAlignment="1" applyProtection="1">
      <alignment horizontal="centerContinuous"/>
    </xf>
    <xf numFmtId="0" fontId="7" fillId="0" borderId="0" xfId="0" applyNumberFormat="1" applyFont="1" applyFill="1" applyAlignment="1" applyProtection="1">
      <alignment horizontal="centerContinuous"/>
    </xf>
    <xf numFmtId="0" fontId="7" fillId="0" borderId="9" xfId="0" applyNumberFormat="1" applyFont="1" applyFill="1" applyBorder="1" applyAlignment="1" applyProtection="1">
      <alignment horizontal="centerContinuous"/>
    </xf>
    <xf numFmtId="0" fontId="10" fillId="0" borderId="3" xfId="0" applyNumberFormat="1" applyFont="1" applyFill="1" applyBorder="1" applyAlignment="1" applyProtection="1"/>
    <xf numFmtId="0" fontId="10" fillId="0" borderId="10" xfId="0" applyNumberFormat="1" applyFont="1" applyFill="1" applyBorder="1" applyAlignment="1" applyProtection="1"/>
    <xf numFmtId="0" fontId="10" fillId="0" borderId="1" xfId="0" applyNumberFormat="1" applyFont="1" applyFill="1" applyBorder="1" applyAlignment="1" applyProtection="1">
      <alignment horizontal="centerContinuous" vertical="top" wrapText="1"/>
    </xf>
    <xf numFmtId="0" fontId="10"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Continuous" vertical="center"/>
    </xf>
    <xf numFmtId="0" fontId="10" fillId="0" borderId="5" xfId="0" applyNumberFormat="1" applyFont="1" applyFill="1" applyBorder="1" applyAlignment="1" applyProtection="1">
      <alignment vertical="center"/>
    </xf>
    <xf numFmtId="0" fontId="12" fillId="0" borderId="6"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Continuous" vertical="top"/>
    </xf>
    <xf numFmtId="0" fontId="10" fillId="0" borderId="1" xfId="0" applyNumberFormat="1" applyFont="1" applyFill="1" applyBorder="1" applyAlignment="1" applyProtection="1">
      <alignment horizontal="center" vertical="top"/>
    </xf>
    <xf numFmtId="0" fontId="10" fillId="0" borderId="7" xfId="0" applyNumberFormat="1" applyFont="1" applyFill="1" applyBorder="1" applyAlignment="1" applyProtection="1"/>
    <xf numFmtId="0" fontId="12" fillId="0" borderId="13"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wrapText="1"/>
    </xf>
    <xf numFmtId="0" fontId="10" fillId="0" borderId="8" xfId="0" applyNumberFormat="1" applyFont="1" applyFill="1" applyBorder="1" applyAlignment="1" applyProtection="1"/>
    <xf numFmtId="0" fontId="7" fillId="0" borderId="10" xfId="0" applyNumberFormat="1" applyFont="1" applyFill="1" applyBorder="1" applyAlignment="1" applyProtection="1"/>
    <xf numFmtId="0" fontId="7" fillId="0" borderId="14" xfId="0" applyNumberFormat="1" applyFont="1" applyFill="1" applyBorder="1" applyAlignment="1" applyProtection="1"/>
    <xf numFmtId="0" fontId="10" fillId="0" borderId="5" xfId="0" applyNumberFormat="1" applyFont="1" applyFill="1" applyBorder="1" applyAlignment="1" applyProtection="1"/>
    <xf numFmtId="0" fontId="7" fillId="0" borderId="7" xfId="0" applyNumberFormat="1" applyFont="1" applyFill="1" applyBorder="1" applyAlignment="1" applyProtection="1"/>
    <xf numFmtId="0" fontId="7" fillId="0" borderId="5" xfId="0" applyNumberFormat="1" applyFont="1" applyFill="1" applyBorder="1" applyAlignment="1" applyProtection="1">
      <alignment horizontal="centerContinuous"/>
    </xf>
    <xf numFmtId="0" fontId="12" fillId="0" borderId="7" xfId="0" applyNumberFormat="1" applyFont="1" applyFill="1" applyBorder="1" applyAlignment="1" applyProtection="1">
      <alignment horizontal="centerContinuous" vertical="center"/>
    </xf>
    <xf numFmtId="0" fontId="7" fillId="0" borderId="6" xfId="0" applyNumberFormat="1" applyFont="1" applyFill="1" applyBorder="1" applyAlignment="1" applyProtection="1">
      <alignment horizontal="centerContinuous" vertical="center"/>
    </xf>
    <xf numFmtId="0" fontId="10" fillId="0" borderId="8"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7" fillId="0" borderId="0" xfId="0" applyNumberFormat="1" applyFont="1" applyFill="1" applyAlignment="1" applyProtection="1"/>
    <xf numFmtId="0" fontId="12" fillId="0" borderId="7" xfId="0" applyNumberFormat="1" applyFont="1" applyFill="1" applyBorder="1" applyAlignment="1" applyProtection="1">
      <alignment horizontal="centerContinuous" wrapText="1"/>
    </xf>
    <xf numFmtId="0" fontId="10" fillId="0" borderId="1" xfId="0" applyNumberFormat="1" applyFont="1" applyFill="1" applyBorder="1" applyAlignment="1" applyProtection="1">
      <alignment horizontal="center" vertical="top" wrapText="1"/>
    </xf>
    <xf numFmtId="0" fontId="10" fillId="0" borderId="0" xfId="0" applyNumberFormat="1" applyFont="1" applyFill="1" applyAlignment="1" applyProtection="1">
      <alignment horizontal="center"/>
    </xf>
    <xf numFmtId="164" fontId="10" fillId="0" borderId="0" xfId="0" applyNumberFormat="1" applyFont="1" applyFill="1" applyAlignment="1" applyProtection="1">
      <alignment vertical="center"/>
    </xf>
    <xf numFmtId="164" fontId="10" fillId="0" borderId="0" xfId="0" applyNumberFormat="1" applyFont="1" applyFill="1" applyAlignment="1" applyProtection="1"/>
    <xf numFmtId="164" fontId="6" fillId="0" borderId="0" xfId="0" applyNumberFormat="1" applyFont="1" applyFill="1" applyAlignment="1" applyProtection="1">
      <alignment wrapText="1"/>
    </xf>
    <xf numFmtId="22" fontId="23" fillId="0" borderId="0" xfId="0" applyNumberFormat="1" applyFont="1" applyFill="1" applyAlignment="1" applyProtection="1">
      <alignment horizontal="centerContinuous"/>
    </xf>
    <xf numFmtId="0" fontId="23" fillId="0" borderId="0" xfId="0" applyNumberFormat="1" applyFont="1" applyFill="1" applyAlignment="1" applyProtection="1"/>
    <xf numFmtId="166" fontId="4" fillId="0" borderId="0" xfId="0" applyFont="1" applyFill="1" applyAlignment="1">
      <protection locked="0" hidden="1"/>
    </xf>
    <xf numFmtId="166" fontId="6" fillId="0" borderId="0" xfId="0" applyFont="1" applyFill="1" applyAlignment="1">
      <protection locked="0" hidden="1"/>
    </xf>
    <xf numFmtId="170" fontId="3" fillId="0" borderId="0" xfId="0" applyNumberFormat="1" applyFont="1" applyFill="1" applyAlignment="1" applyProtection="1">
      <alignment horizontal="centerContinuous"/>
    </xf>
    <xf numFmtId="170" fontId="13" fillId="0" borderId="0" xfId="0" applyNumberFormat="1" applyFont="1" applyFill="1" applyAlignment="1" applyProtection="1"/>
    <xf numFmtId="170" fontId="12" fillId="0" borderId="9" xfId="0" applyNumberFormat="1" applyFont="1" applyFill="1" applyBorder="1" applyAlignment="1" applyProtection="1">
      <alignment horizontal="center"/>
    </xf>
    <xf numFmtId="170" fontId="10" fillId="0" borderId="9" xfId="0" applyNumberFormat="1" applyFont="1" applyFill="1" applyBorder="1" applyAlignment="1" applyProtection="1">
      <alignment horizontal="center"/>
    </xf>
    <xf numFmtId="170" fontId="10" fillId="0" borderId="11" xfId="0" applyNumberFormat="1" applyFont="1" applyFill="1" applyBorder="1" applyAlignment="1" applyProtection="1">
      <alignment horizontal="center" vertical="top"/>
    </xf>
    <xf numFmtId="170" fontId="10" fillId="0" borderId="10" xfId="0" applyNumberFormat="1" applyFont="1" applyFill="1" applyBorder="1" applyAlignment="1" applyProtection="1">
      <alignment horizontal="center" vertical="top"/>
    </xf>
    <xf numFmtId="170" fontId="3" fillId="0" borderId="0" xfId="0" applyNumberFormat="1" applyFont="1" applyFill="1" applyAlignment="1" applyProtection="1"/>
    <xf numFmtId="170" fontId="23" fillId="0" borderId="0" xfId="0" applyNumberFormat="1" applyFont="1" applyFill="1" applyAlignment="1" applyProtection="1">
      <alignment horizontal="right"/>
    </xf>
    <xf numFmtId="0" fontId="12" fillId="0" borderId="1" xfId="0" applyNumberFormat="1" applyFont="1" applyFill="1" applyBorder="1" applyAlignment="1" applyProtection="1">
      <alignment vertical="center"/>
    </xf>
    <xf numFmtId="166" fontId="10" fillId="0" borderId="7" xfId="0" applyFont="1" applyFill="1" applyBorder="1" applyAlignment="1">
      <alignment vertical="center"/>
      <protection locked="0" hidden="1"/>
    </xf>
    <xf numFmtId="166" fontId="10" fillId="0" borderId="5" xfId="0" applyFont="1" applyFill="1" applyBorder="1" applyAlignment="1">
      <alignment vertical="center"/>
      <protection locked="0" hidden="1"/>
    </xf>
    <xf numFmtId="166" fontId="10" fillId="0" borderId="0" xfId="0" applyFont="1" applyFill="1" applyAlignment="1">
      <alignment vertical="center"/>
      <protection locked="0" hidden="1"/>
    </xf>
    <xf numFmtId="166" fontId="12" fillId="0" borderId="11" xfId="0" applyFont="1" applyFill="1" applyBorder="1" applyAlignment="1">
      <alignment horizontal="center"/>
      <protection locked="0" hidden="1"/>
    </xf>
    <xf numFmtId="166" fontId="12" fillId="0" borderId="1" xfId="0" applyFont="1" applyFill="1" applyBorder="1" applyAlignment="1">
      <alignment horizontal="centerContinuous" wrapText="1"/>
      <protection locked="0" hidden="1"/>
    </xf>
    <xf numFmtId="166" fontId="10" fillId="0" borderId="0" xfId="0" applyFont="1" applyFill="1" applyBorder="1" applyAlignment="1">
      <protection locked="0" hidden="1"/>
    </xf>
    <xf numFmtId="166" fontId="10" fillId="0" borderId="0" xfId="0" applyFont="1" applyFill="1" applyAlignment="1">
      <protection locked="0" hidden="1"/>
    </xf>
    <xf numFmtId="166" fontId="10" fillId="0" borderId="0" xfId="0" applyFont="1" applyFill="1" applyBorder="1" applyAlignment="1">
      <alignment horizontal="centerContinuous"/>
      <protection locked="0" hidden="1"/>
    </xf>
    <xf numFmtId="166" fontId="10" fillId="0" borderId="11" xfId="0" applyFont="1" applyFill="1" applyBorder="1" applyAlignment="1">
      <alignment horizontal="center" wrapText="1"/>
      <protection locked="0" hidden="1"/>
    </xf>
    <xf numFmtId="166" fontId="10" fillId="0" borderId="0" xfId="0" applyFont="1" applyFill="1" applyBorder="1" applyAlignment="1">
      <alignment horizontal="centerContinuous" vertical="center"/>
      <protection locked="0" hidden="1"/>
    </xf>
    <xf numFmtId="166" fontId="10" fillId="0" borderId="11" xfId="0" applyFont="1" applyFill="1" applyBorder="1" applyAlignment="1">
      <alignment horizontal="center" vertical="center" wrapText="1"/>
      <protection locked="0" hidden="1"/>
    </xf>
    <xf numFmtId="166" fontId="10" fillId="0" borderId="9" xfId="0" applyFont="1" applyFill="1" applyBorder="1" applyAlignment="1">
      <alignment horizontal="center" vertical="center" wrapText="1"/>
      <protection locked="0" hidden="1"/>
    </xf>
    <xf numFmtId="166" fontId="10" fillId="0" borderId="3" xfId="0" applyFont="1" applyFill="1" applyBorder="1" applyAlignment="1">
      <alignment horizontal="centerContinuous"/>
      <protection locked="0" hidden="1"/>
    </xf>
    <xf numFmtId="166" fontId="10" fillId="0" borderId="2" xfId="0" applyFont="1" applyFill="1" applyBorder="1" applyAlignment="1">
      <alignment vertical="center" wrapText="1"/>
      <protection locked="0" hidden="1"/>
    </xf>
    <xf numFmtId="0" fontId="4" fillId="0" borderId="3" xfId="0" applyNumberFormat="1" applyFont="1" applyFill="1" applyBorder="1" applyAlignment="1" applyProtection="1"/>
    <xf numFmtId="0" fontId="6" fillId="0" borderId="0" xfId="0" applyNumberFormat="1" applyFont="1" applyFill="1" applyBorder="1" applyAlignment="1" applyProtection="1">
      <alignment horizontal="centerContinuous" wrapText="1"/>
    </xf>
    <xf numFmtId="0" fontId="6" fillId="0" borderId="0" xfId="0" applyNumberFormat="1" applyFont="1" applyFill="1" applyBorder="1" applyAlignment="1" applyProtection="1"/>
    <xf numFmtId="0" fontId="10" fillId="0" borderId="15" xfId="0" applyNumberFormat="1" applyFont="1" applyFill="1" applyBorder="1" applyAlignment="1" applyProtection="1">
      <alignment horizontal="center" vertical="top"/>
    </xf>
    <xf numFmtId="166" fontId="10" fillId="0" borderId="5" xfId="0" applyFont="1" applyFill="1" applyBorder="1" applyAlignment="1">
      <alignment horizontal="centerContinuous" vertical="center"/>
      <protection locked="0" hidden="1"/>
    </xf>
    <xf numFmtId="166" fontId="10" fillId="0" borderId="1" xfId="0" applyFont="1" applyFill="1" applyBorder="1" applyAlignment="1">
      <alignment horizontal="center" wrapText="1"/>
      <protection locked="0" hidden="1"/>
    </xf>
    <xf numFmtId="166" fontId="10" fillId="0" borderId="0" xfId="0" applyFont="1" applyFill="1" applyBorder="1" applyAlignment="1">
      <alignment horizontal="center"/>
      <protection locked="0" hidden="1"/>
    </xf>
    <xf numFmtId="166" fontId="12" fillId="0" borderId="11" xfId="0" applyFont="1" applyFill="1" applyBorder="1" applyAlignment="1">
      <alignment horizontal="center" wrapText="1"/>
      <protection locked="0" hidden="1"/>
    </xf>
    <xf numFmtId="166" fontId="10" fillId="0" borderId="0" xfId="0" applyFont="1" applyFill="1" applyAlignment="1">
      <alignment horizontal="center"/>
      <protection locked="0" hidden="1"/>
    </xf>
    <xf numFmtId="166" fontId="10" fillId="0" borderId="1" xfId="0" applyFont="1" applyFill="1" applyBorder="1" applyAlignment="1">
      <alignment horizontal="centerContinuous" vertical="top" wrapText="1"/>
      <protection locked="0" hidden="1"/>
    </xf>
    <xf numFmtId="166" fontId="10" fillId="0" borderId="4" xfId="0" applyFont="1" applyFill="1" applyBorder="1" applyAlignment="1">
      <alignment horizontal="centerContinuous" vertical="top" wrapText="1"/>
      <protection locked="0" hidden="1"/>
    </xf>
    <xf numFmtId="166" fontId="14" fillId="0" borderId="0" xfId="0" applyFont="1" applyFill="1" applyAlignment="1">
      <protection locked="0" hidden="1"/>
    </xf>
    <xf numFmtId="166" fontId="10" fillId="0" borderId="5" xfId="0" applyFont="1" applyFill="1" applyBorder="1" applyAlignment="1">
      <alignment vertical="center" wrapText="1"/>
      <protection locked="0" hidden="1"/>
    </xf>
    <xf numFmtId="166" fontId="12" fillId="0" borderId="1" xfId="0" applyFont="1" applyFill="1" applyBorder="1" applyAlignment="1">
      <alignment horizontal="center"/>
      <protection locked="0" hidden="1"/>
    </xf>
    <xf numFmtId="0" fontId="12" fillId="0" borderId="16" xfId="0" applyNumberFormat="1" applyFont="1" applyFill="1" applyBorder="1" applyAlignment="1" applyProtection="1">
      <alignment horizontal="center"/>
    </xf>
    <xf numFmtId="0" fontId="10" fillId="0" borderId="11" xfId="0" applyNumberFormat="1" applyFont="1" applyFill="1" applyBorder="1" applyAlignment="1" applyProtection="1">
      <alignment horizontal="centerContinuous" vertical="center"/>
    </xf>
    <xf numFmtId="0" fontId="12" fillId="0" borderId="0" xfId="0" applyNumberFormat="1" applyFont="1" applyFill="1" applyBorder="1" applyAlignment="1" applyProtection="1">
      <alignment vertical="center"/>
    </xf>
    <xf numFmtId="0" fontId="12" fillId="0" borderId="11" xfId="0" applyNumberFormat="1" applyFont="1" applyFill="1" applyBorder="1" applyAlignment="1" applyProtection="1">
      <alignment horizontal="centerContinuous"/>
    </xf>
    <xf numFmtId="0" fontId="12" fillId="0" borderId="11" xfId="0" applyNumberFormat="1" applyFont="1" applyFill="1" applyBorder="1" applyAlignment="1" applyProtection="1">
      <alignment horizontal="center" wrapText="1"/>
    </xf>
    <xf numFmtId="0" fontId="12" fillId="0" borderId="9" xfId="0" applyNumberFormat="1" applyFont="1" applyFill="1" applyBorder="1" applyAlignment="1" applyProtection="1">
      <alignment horizontal="centerContinuous"/>
    </xf>
    <xf numFmtId="0" fontId="10" fillId="0" borderId="3" xfId="0" applyNumberFormat="1" applyFont="1" applyFill="1" applyBorder="1" applyAlignment="1" applyProtection="1">
      <alignment horizontal="centerContinuous" wrapText="1"/>
    </xf>
    <xf numFmtId="0" fontId="10" fillId="0" borderId="17"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Continuous"/>
    </xf>
    <xf numFmtId="166" fontId="10" fillId="0" borderId="1" xfId="0" applyFont="1" applyFill="1" applyBorder="1" applyAlignment="1">
      <alignment horizontal="center"/>
      <protection locked="0" hidden="1"/>
    </xf>
    <xf numFmtId="166" fontId="10" fillId="0" borderId="4" xfId="0" applyFont="1" applyFill="1" applyBorder="1" applyAlignment="1">
      <alignment horizontal="center" vertical="center"/>
      <protection locked="0" hidden="1"/>
    </xf>
    <xf numFmtId="166" fontId="12" fillId="0" borderId="15" xfId="0" applyFont="1" applyFill="1" applyBorder="1" applyAlignment="1">
      <alignment horizontal="center"/>
      <protection locked="0" hidden="1"/>
    </xf>
    <xf numFmtId="166" fontId="10" fillId="0" borderId="15" xfId="0" applyFont="1" applyFill="1" applyBorder="1" applyAlignment="1">
      <alignment horizontal="center"/>
      <protection locked="0" hidden="1"/>
    </xf>
    <xf numFmtId="166" fontId="10" fillId="0" borderId="15" xfId="0" applyFont="1" applyFill="1" applyBorder="1" applyAlignment="1">
      <alignment horizontal="center" vertical="center"/>
      <protection locked="0" hidden="1"/>
    </xf>
    <xf numFmtId="166" fontId="10" fillId="0" borderId="18" xfId="0" applyFont="1" applyFill="1" applyBorder="1" applyAlignment="1">
      <alignment horizontal="center" vertical="center"/>
      <protection locked="0" hidden="1"/>
    </xf>
    <xf numFmtId="0" fontId="16" fillId="0" borderId="0" xfId="0" applyNumberFormat="1" applyFont="1" applyFill="1" applyAlignment="1" applyProtection="1">
      <alignment horizontal="center"/>
    </xf>
    <xf numFmtId="166" fontId="10" fillId="0" borderId="8" xfId="0" applyFont="1" applyFill="1" applyBorder="1" applyAlignment="1">
      <alignment horizontal="center" vertical="center"/>
      <protection locked="0" hidden="1"/>
    </xf>
    <xf numFmtId="166" fontId="10" fillId="0" borderId="3" xfId="0" applyFont="1" applyFill="1" applyBorder="1" applyAlignment="1">
      <alignment horizontal="center" vertical="center"/>
      <protection locked="0" hidden="1"/>
    </xf>
    <xf numFmtId="0" fontId="17" fillId="0" borderId="3" xfId="0" applyNumberFormat="1" applyFont="1" applyFill="1" applyBorder="1" applyAlignment="1" applyProtection="1">
      <alignment horizontal="center" vertical="top" wrapText="1"/>
    </xf>
    <xf numFmtId="0" fontId="10" fillId="0" borderId="11" xfId="0" applyNumberFormat="1" applyFont="1" applyFill="1" applyBorder="1" applyAlignment="1" applyProtection="1">
      <alignment wrapText="1"/>
    </xf>
    <xf numFmtId="0" fontId="17" fillId="0" borderId="0" xfId="0" applyNumberFormat="1" applyFont="1" applyFill="1" applyBorder="1" applyAlignment="1" applyProtection="1">
      <alignment horizontal="center" vertical="top"/>
    </xf>
    <xf numFmtId="0" fontId="10" fillId="0" borderId="3" xfId="0" applyNumberFormat="1" applyFont="1" applyFill="1" applyBorder="1" applyAlignment="1" applyProtection="1">
      <alignment horizontal="centerContinuous" vertical="top" wrapText="1"/>
    </xf>
    <xf numFmtId="0" fontId="17" fillId="0" borderId="11" xfId="0" applyNumberFormat="1" applyFont="1" applyFill="1" applyBorder="1" applyAlignment="1" applyProtection="1">
      <alignment horizontal="center" vertical="top"/>
    </xf>
    <xf numFmtId="0" fontId="17" fillId="0" borderId="9" xfId="0" applyNumberFormat="1" applyFont="1" applyFill="1" applyBorder="1" applyAlignment="1" applyProtection="1">
      <alignment horizontal="center" vertical="top"/>
    </xf>
    <xf numFmtId="0" fontId="4" fillId="0" borderId="1" xfId="0" applyNumberFormat="1" applyFont="1" applyFill="1" applyBorder="1" applyAlignment="1" applyProtection="1"/>
    <xf numFmtId="0" fontId="10" fillId="0" borderId="4" xfId="0" applyNumberFormat="1" applyFont="1" applyFill="1" applyBorder="1" applyAlignment="1" applyProtection="1">
      <alignment horizontal="center" vertical="top"/>
    </xf>
    <xf numFmtId="0" fontId="12" fillId="0" borderId="3" xfId="0" applyNumberFormat="1" applyFont="1" applyFill="1" applyBorder="1" applyAlignment="1" applyProtection="1">
      <alignment horizontal="centerContinuous" vertical="top"/>
    </xf>
    <xf numFmtId="0" fontId="10" fillId="0" borderId="3" xfId="0" applyNumberFormat="1" applyFont="1" applyFill="1" applyBorder="1" applyAlignment="1" applyProtection="1">
      <alignment horizontal="center" vertical="center"/>
    </xf>
    <xf numFmtId="0" fontId="4" fillId="0" borderId="15" xfId="0" applyNumberFormat="1" applyFont="1" applyFill="1" applyBorder="1" applyAlignment="1" applyProtection="1"/>
    <xf numFmtId="0" fontId="10" fillId="0" borderId="15" xfId="0" applyNumberFormat="1" applyFont="1" applyFill="1" applyBorder="1" applyAlignment="1" applyProtection="1">
      <alignment wrapText="1"/>
    </xf>
    <xf numFmtId="0" fontId="10" fillId="0" borderId="18" xfId="0" applyNumberFormat="1" applyFont="1" applyFill="1" applyBorder="1" applyAlignment="1" applyProtection="1">
      <alignment horizontal="center" vertical="top"/>
    </xf>
    <xf numFmtId="0" fontId="10" fillId="0" borderId="5" xfId="0" applyNumberFormat="1" applyFont="1" applyFill="1" applyBorder="1" applyAlignment="1" applyProtection="1">
      <alignment horizontal="right" vertical="center"/>
    </xf>
    <xf numFmtId="170" fontId="10"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xf numFmtId="0" fontId="15" fillId="0" borderId="7" xfId="0" applyNumberFormat="1" applyFont="1" applyFill="1" applyBorder="1" applyAlignment="1" applyProtection="1"/>
    <xf numFmtId="0" fontId="6" fillId="0" borderId="7" xfId="0" applyNumberFormat="1" applyFont="1" applyFill="1" applyBorder="1" applyAlignment="1" applyProtection="1">
      <alignment wrapText="1"/>
    </xf>
    <xf numFmtId="0" fontId="23" fillId="0" borderId="7" xfId="0" applyNumberFormat="1" applyFont="1" applyFill="1" applyBorder="1" applyAlignment="1" applyProtection="1">
      <alignment horizontal="right"/>
    </xf>
    <xf numFmtId="0" fontId="2" fillId="0" borderId="7" xfId="0" applyNumberFormat="1" applyFont="1" applyFill="1" applyBorder="1" applyAlignment="1" applyProtection="1">
      <alignment horizontal="right"/>
    </xf>
    <xf numFmtId="0" fontId="3" fillId="0" borderId="7" xfId="0" applyNumberFormat="1" applyFont="1" applyFill="1" applyBorder="1" applyAlignment="1" applyProtection="1"/>
    <xf numFmtId="0" fontId="24" fillId="0" borderId="7" xfId="0" applyNumberFormat="1" applyFont="1" applyFill="1" applyBorder="1" applyAlignment="1" applyProtection="1"/>
    <xf numFmtId="164" fontId="6" fillId="0" borderId="0" xfId="0" applyNumberFormat="1" applyFont="1" applyFill="1" applyBorder="1" applyAlignment="1" applyProtection="1">
      <alignment wrapText="1"/>
    </xf>
    <xf numFmtId="0" fontId="22" fillId="0" borderId="5" xfId="0" applyNumberFormat="1" applyFont="1" applyFill="1" applyBorder="1" applyAlignment="1" applyProtection="1">
      <alignment vertical="center"/>
    </xf>
    <xf numFmtId="0" fontId="23" fillId="0" borderId="7" xfId="0" applyNumberFormat="1" applyFont="1" applyFill="1" applyBorder="1" applyAlignment="1" applyProtection="1"/>
    <xf numFmtId="0" fontId="10" fillId="0" borderId="16"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Continuous" vertical="center"/>
    </xf>
    <xf numFmtId="0" fontId="10" fillId="0" borderId="11"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wrapText="1"/>
    </xf>
    <xf numFmtId="0" fontId="12" fillId="0" borderId="19" xfId="0" applyNumberFormat="1" applyFont="1" applyFill="1" applyBorder="1" applyAlignment="1" applyProtection="1">
      <alignment horizontal="center"/>
    </xf>
    <xf numFmtId="165" fontId="4" fillId="0" borderId="0" xfId="0" applyNumberFormat="1" applyFont="1" applyFill="1" applyAlignment="1" applyProtection="1">
      <alignment horizontal="right"/>
    </xf>
    <xf numFmtId="170" fontId="25" fillId="0" borderId="7" xfId="0" applyNumberFormat="1" applyFont="1" applyFill="1" applyBorder="1" applyAlignment="1" applyProtection="1">
      <alignment horizontal="right" readingOrder="2"/>
    </xf>
    <xf numFmtId="0" fontId="8" fillId="0" borderId="7" xfId="0" applyNumberFormat="1" applyFont="1" applyFill="1" applyBorder="1" applyAlignment="1" applyProtection="1">
      <alignment horizontal="right" readingOrder="2"/>
    </xf>
    <xf numFmtId="0" fontId="8" fillId="0" borderId="0" xfId="0" applyNumberFormat="1" applyFont="1" applyFill="1" applyAlignment="1" applyProtection="1">
      <alignment horizontal="right" readingOrder="2"/>
    </xf>
    <xf numFmtId="0" fontId="8" fillId="0" borderId="0" xfId="0" applyNumberFormat="1" applyFont="1" applyFill="1" applyBorder="1" applyAlignment="1" applyProtection="1">
      <alignment horizontal="right" readingOrder="2"/>
    </xf>
    <xf numFmtId="0" fontId="10" fillId="0" borderId="5" xfId="0" applyNumberFormat="1" applyFont="1" applyFill="1" applyBorder="1" applyAlignment="1" applyProtection="1">
      <alignment horizontal="left"/>
    </xf>
    <xf numFmtId="0" fontId="10" fillId="0" borderId="7" xfId="0" applyNumberFormat="1" applyFont="1" applyFill="1" applyBorder="1" applyAlignment="1" applyProtection="1">
      <alignment horizontal="left"/>
    </xf>
    <xf numFmtId="165" fontId="10" fillId="0" borderId="0" xfId="0" applyNumberFormat="1" applyFont="1" applyFill="1" applyAlignment="1" applyProtection="1">
      <alignment horizontal="right" wrapText="1"/>
    </xf>
    <xf numFmtId="165" fontId="10" fillId="0" borderId="0" xfId="0" applyNumberFormat="1" applyFont="1" applyFill="1" applyAlignment="1" applyProtection="1">
      <alignment horizontal="right"/>
    </xf>
    <xf numFmtId="165" fontId="6" fillId="0" borderId="0" xfId="0" applyNumberFormat="1" applyFont="1" applyFill="1" applyAlignment="1" applyProtection="1">
      <alignment horizontal="center" wrapText="1"/>
    </xf>
    <xf numFmtId="0" fontId="7" fillId="0" borderId="5" xfId="0" applyNumberFormat="1" applyFont="1" applyFill="1" applyBorder="1" applyAlignment="1" applyProtection="1">
      <alignment vertical="center"/>
    </xf>
    <xf numFmtId="0" fontId="10" fillId="0" borderId="5" xfId="0" applyNumberFormat="1" applyFont="1" applyFill="1" applyBorder="1" applyAlignment="1" applyProtection="1">
      <alignment horizontal="right" readingOrder="2"/>
    </xf>
    <xf numFmtId="0" fontId="7" fillId="0" borderId="5" xfId="0" applyNumberFormat="1" applyFont="1" applyFill="1" applyBorder="1" applyAlignment="1" applyProtection="1">
      <alignment horizontal="right" readingOrder="2"/>
    </xf>
    <xf numFmtId="166" fontId="13" fillId="0" borderId="0" xfId="0" applyFont="1" applyFill="1" applyAlignment="1">
      <alignment horizontal="right"/>
      <protection locked="0" hidden="1"/>
    </xf>
    <xf numFmtId="22" fontId="23" fillId="0" borderId="0" xfId="0" applyNumberFormat="1" applyFont="1" applyFill="1" applyAlignment="1">
      <alignment horizontal="centerContinuous"/>
      <protection locked="0" hidden="1"/>
    </xf>
    <xf numFmtId="0" fontId="23" fillId="0" borderId="0" xfId="0" applyNumberFormat="1" applyFont="1" applyFill="1" applyBorder="1" applyAlignment="1" applyProtection="1">
      <alignment horizontal="right"/>
    </xf>
    <xf numFmtId="0" fontId="23" fillId="0" borderId="0" xfId="0" applyNumberFormat="1" applyFont="1" applyFill="1" applyAlignment="1" applyProtection="1">
      <alignment horizontal="centerContinuous"/>
    </xf>
    <xf numFmtId="0" fontId="4" fillId="0" borderId="0" xfId="0" applyNumberFormat="1" applyFont="1" applyFill="1" applyBorder="1" applyAlignment="1" applyProtection="1">
      <alignment horizontal="centerContinuous" vertical="top"/>
    </xf>
    <xf numFmtId="0" fontId="23" fillId="0" borderId="0" xfId="0" applyNumberFormat="1" applyFont="1" applyFill="1" applyBorder="1" applyAlignment="1" applyProtection="1">
      <alignment horizontal="centerContinuous"/>
    </xf>
    <xf numFmtId="22" fontId="23" fillId="0" borderId="0" xfId="0" applyNumberFormat="1" applyFont="1" applyFill="1" applyBorder="1" applyAlignment="1" applyProtection="1">
      <alignment horizontal="centerContinuous"/>
    </xf>
    <xf numFmtId="22" fontId="6" fillId="0" borderId="7" xfId="0" applyNumberFormat="1" applyFont="1" applyFill="1" applyBorder="1" applyAlignment="1">
      <alignment horizontal="centerContinuous"/>
      <protection locked="0" hidden="1"/>
    </xf>
    <xf numFmtId="166" fontId="16" fillId="0" borderId="7" xfId="0" applyFont="1" applyFill="1" applyBorder="1" applyAlignment="1">
      <alignment horizontal="right" readingOrder="2"/>
      <protection locked="0" hidden="1"/>
    </xf>
    <xf numFmtId="166" fontId="16" fillId="0" borderId="7" xfId="0" applyFont="1" applyFill="1" applyBorder="1" applyAlignment="1">
      <protection locked="0" hidden="1"/>
    </xf>
    <xf numFmtId="166" fontId="19" fillId="0" borderId="1" xfId="0" applyFont="1" applyFill="1" applyBorder="1" applyAlignment="1">
      <alignment horizontal="center"/>
      <protection locked="0" hidden="1"/>
    </xf>
    <xf numFmtId="166" fontId="19" fillId="0" borderId="8" xfId="0" applyFont="1" applyFill="1" applyBorder="1" applyAlignment="1">
      <alignment horizontal="center"/>
      <protection locked="0" hidden="1"/>
    </xf>
    <xf numFmtId="166" fontId="19" fillId="0" borderId="11" xfId="0" applyFont="1" applyFill="1" applyBorder="1" applyAlignment="1">
      <alignment horizontal="center"/>
      <protection locked="0" hidden="1"/>
    </xf>
    <xf numFmtId="166" fontId="19" fillId="0" borderId="9" xfId="0" applyFont="1" applyFill="1" applyBorder="1" applyAlignment="1">
      <alignment horizontal="center" wrapText="1"/>
      <protection locked="0" hidden="1"/>
    </xf>
    <xf numFmtId="166" fontId="19" fillId="0" borderId="11" xfId="0" applyFont="1" applyFill="1" applyBorder="1" applyAlignment="1">
      <alignment horizontal="center" wrapText="1"/>
      <protection locked="0" hidden="1"/>
    </xf>
    <xf numFmtId="166" fontId="19" fillId="0" borderId="15" xfId="0" applyFont="1" applyFill="1" applyBorder="1" applyAlignment="1">
      <alignment horizontal="center"/>
      <protection locked="0" hidden="1"/>
    </xf>
    <xf numFmtId="166" fontId="19" fillId="0" borderId="0" xfId="0" applyFont="1" applyFill="1" applyAlignment="1">
      <alignment horizontal="center"/>
      <protection locked="0" hidden="1"/>
    </xf>
    <xf numFmtId="166" fontId="19" fillId="0" borderId="3" xfId="0" applyFont="1" applyFill="1" applyBorder="1" applyAlignment="1">
      <alignment horizontal="center" wrapText="1"/>
      <protection locked="0" hidden="1"/>
    </xf>
    <xf numFmtId="166" fontId="19" fillId="0" borderId="8" xfId="0" applyFont="1" applyFill="1" applyBorder="1" applyAlignment="1">
      <alignment horizontal="center" wrapText="1"/>
      <protection locked="0" hidden="1"/>
    </xf>
    <xf numFmtId="166" fontId="19" fillId="0" borderId="18" xfId="0" applyFont="1" applyFill="1" applyBorder="1" applyAlignment="1">
      <alignment horizontal="center"/>
      <protection locked="0" hidden="1"/>
    </xf>
    <xf numFmtId="0" fontId="10" fillId="0" borderId="21" xfId="0" applyNumberFormat="1" applyFont="1" applyFill="1" applyBorder="1" applyAlignment="1" applyProtection="1">
      <alignment horizontal="left" vertical="center" indent="2" readingOrder="1"/>
    </xf>
    <xf numFmtId="0" fontId="10" fillId="0" borderId="21" xfId="0" applyNumberFormat="1" applyFont="1" applyFill="1" applyBorder="1" applyAlignment="1" applyProtection="1">
      <alignment horizontal="left" vertical="center" indent="1"/>
    </xf>
    <xf numFmtId="0" fontId="22" fillId="0" borderId="22" xfId="0" applyNumberFormat="1" applyFont="1" applyFill="1" applyBorder="1" applyAlignment="1" applyProtection="1">
      <alignment horizontal="right" vertical="center" indent="1" readingOrder="2"/>
    </xf>
    <xf numFmtId="0" fontId="22" fillId="0" borderId="22" xfId="0" applyNumberFormat="1" applyFont="1" applyFill="1" applyBorder="1" applyAlignment="1" applyProtection="1">
      <alignment horizontal="right" vertical="center" indent="2" readingOrder="2"/>
    </xf>
    <xf numFmtId="0" fontId="10" fillId="0" borderId="9" xfId="0" applyNumberFormat="1" applyFont="1" applyFill="1" applyBorder="1" applyAlignment="1" applyProtection="1">
      <alignment horizontal="center" readingOrder="1"/>
    </xf>
    <xf numFmtId="0" fontId="10" fillId="0" borderId="11" xfId="0" applyNumberFormat="1" applyFont="1" applyFill="1" applyBorder="1" applyAlignment="1" applyProtection="1">
      <alignment horizontal="center" vertical="top" readingOrder="1"/>
    </xf>
    <xf numFmtId="0" fontId="12" fillId="0" borderId="11" xfId="0" applyNumberFormat="1" applyFont="1" applyFill="1" applyBorder="1" applyAlignment="1" applyProtection="1">
      <alignment horizontal="center" readingOrder="2"/>
    </xf>
    <xf numFmtId="0" fontId="12" fillId="0" borderId="9" xfId="0" applyNumberFormat="1" applyFont="1" applyFill="1" applyBorder="1" applyAlignment="1" applyProtection="1">
      <alignment horizontal="center" readingOrder="2"/>
    </xf>
    <xf numFmtId="0" fontId="10" fillId="0" borderId="3" xfId="0" applyNumberFormat="1" applyFont="1" applyFill="1" applyBorder="1" applyAlignment="1" applyProtection="1">
      <alignment vertical="center" wrapText="1"/>
    </xf>
    <xf numFmtId="0" fontId="17" fillId="0" borderId="1" xfId="0" applyNumberFormat="1" applyFont="1" applyFill="1" applyBorder="1" applyAlignment="1" applyProtection="1">
      <alignment horizontal="centerContinuous" vertical="center" wrapText="1"/>
    </xf>
    <xf numFmtId="0" fontId="17" fillId="0" borderId="11" xfId="0" applyNumberFormat="1" applyFont="1" applyFill="1" applyBorder="1" applyAlignment="1" applyProtection="1">
      <alignment horizontal="center" vertical="center"/>
    </xf>
    <xf numFmtId="166" fontId="14" fillId="0" borderId="0" xfId="0" applyFont="1" applyFill="1" applyAlignment="1">
      <alignment horizontal="centerContinuous" wrapText="1"/>
      <protection locked="0" hidden="1"/>
    </xf>
    <xf numFmtId="166" fontId="14" fillId="0" borderId="0" xfId="0" applyFont="1" applyFill="1" applyAlignment="1">
      <alignment horizontal="centerContinuous"/>
      <protection locked="0" hidden="1"/>
    </xf>
    <xf numFmtId="166" fontId="5" fillId="0" borderId="0" xfId="0" applyFont="1" applyFill="1" applyAlignment="1">
      <alignment horizontal="centerContinuous"/>
      <protection locked="0" hidden="1"/>
    </xf>
    <xf numFmtId="166" fontId="14" fillId="0" borderId="0" xfId="0" applyFont="1" applyFill="1" applyAlignment="1">
      <alignment wrapText="1"/>
      <protection locked="0" hidden="1"/>
    </xf>
    <xf numFmtId="166" fontId="6" fillId="0" borderId="7" xfId="0" applyFont="1" applyFill="1" applyBorder="1" applyAlignment="1">
      <protection locked="0" hidden="1"/>
    </xf>
    <xf numFmtId="166" fontId="15" fillId="0" borderId="7" xfId="0" applyFont="1" applyFill="1" applyBorder="1" applyAlignment="1">
      <protection locked="0" hidden="1"/>
    </xf>
    <xf numFmtId="166" fontId="15" fillId="0" borderId="0" xfId="0" applyFont="1" applyFill="1" applyAlignment="1">
      <protection locked="0" hidden="1"/>
    </xf>
    <xf numFmtId="166" fontId="23" fillId="0" borderId="0" xfId="0" applyFont="1" applyFill="1" applyAlignment="1">
      <alignment horizontal="centerContinuous"/>
      <protection locked="0" hidden="1"/>
    </xf>
    <xf numFmtId="166" fontId="4" fillId="0" borderId="0" xfId="0" applyFont="1" applyFill="1" applyBorder="1" applyAlignment="1">
      <alignment horizontal="centerContinuous" vertical="top"/>
      <protection locked="0" hidden="1"/>
    </xf>
    <xf numFmtId="166" fontId="4" fillId="0" borderId="0" xfId="0" applyFont="1" applyFill="1" applyBorder="1" applyAlignment="1">
      <alignment horizontal="centerContinuous" vertical="top" wrapText="1"/>
      <protection locked="0" hidden="1"/>
    </xf>
    <xf numFmtId="166" fontId="10" fillId="0" borderId="0" xfId="0" applyFont="1" applyFill="1" applyAlignment="1">
      <alignment wrapText="1"/>
      <protection locked="0" hidden="1"/>
    </xf>
    <xf numFmtId="166" fontId="12" fillId="0" borderId="2" xfId="0" applyFont="1" applyFill="1" applyBorder="1" applyAlignment="1">
      <alignment horizontal="centerContinuous" wrapText="1"/>
      <protection locked="0" hidden="1"/>
    </xf>
    <xf numFmtId="166" fontId="10" fillId="0" borderId="6" xfId="0" applyFont="1" applyFill="1" applyBorder="1" applyAlignment="1">
      <alignment horizontal="centerContinuous" wrapText="1"/>
      <protection locked="0" hidden="1"/>
    </xf>
    <xf numFmtId="0" fontId="12" fillId="0" borderId="6" xfId="0" applyNumberFormat="1" applyFont="1" applyFill="1" applyBorder="1" applyAlignment="1" applyProtection="1">
      <alignment horizontal="center" wrapText="1" readingOrder="2"/>
    </xf>
    <xf numFmtId="0" fontId="10" fillId="0" borderId="1" xfId="0" applyNumberFormat="1" applyFont="1" applyFill="1" applyBorder="1" applyAlignment="1" applyProtection="1"/>
    <xf numFmtId="0" fontId="10" fillId="0" borderId="2"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Continuous"/>
    </xf>
    <xf numFmtId="0" fontId="6" fillId="0" borderId="7" xfId="0" applyNumberFormat="1" applyFont="1" applyFill="1" applyBorder="1" applyAlignment="1" applyProtection="1">
      <alignment horizontal="right"/>
    </xf>
    <xf numFmtId="0" fontId="6" fillId="0" borderId="7" xfId="0" applyNumberFormat="1" applyFont="1" applyFill="1" applyBorder="1" applyAlignment="1" applyProtection="1">
      <alignment horizontal="right" readingOrder="2"/>
    </xf>
    <xf numFmtId="0" fontId="10" fillId="0" borderId="8" xfId="0" applyNumberFormat="1" applyFont="1" applyFill="1" applyBorder="1" applyAlignment="1" applyProtection="1">
      <alignment horizontal="left" wrapText="1"/>
    </xf>
    <xf numFmtId="0" fontId="12" fillId="0" borderId="22" xfId="0" applyNumberFormat="1" applyFont="1" applyFill="1" applyBorder="1" applyAlignment="1" applyProtection="1">
      <alignment horizontal="right" vertical="center" indent="2" readingOrder="2"/>
    </xf>
    <xf numFmtId="0" fontId="10" fillId="0" borderId="23" xfId="0" applyNumberFormat="1" applyFont="1" applyFill="1" applyBorder="1" applyAlignment="1" applyProtection="1">
      <alignment horizontal="left" vertical="center" indent="2" readingOrder="1"/>
    </xf>
    <xf numFmtId="0" fontId="10" fillId="0" borderId="4" xfId="0" applyNumberFormat="1" applyFont="1" applyFill="1" applyBorder="1" applyAlignment="1" applyProtection="1">
      <alignment horizontal="left" indent="1"/>
    </xf>
    <xf numFmtId="0" fontId="12" fillId="0" borderId="10" xfId="0" applyNumberFormat="1" applyFont="1" applyFill="1" applyBorder="1" applyAlignment="1" applyProtection="1">
      <alignment horizontal="left" indent="1" readingOrder="2"/>
    </xf>
    <xf numFmtId="0" fontId="10" fillId="0" borderId="21" xfId="0" applyNumberFormat="1" applyFont="1" applyFill="1" applyBorder="1" applyAlignment="1" applyProtection="1">
      <alignment horizontal="left" vertical="center" indent="3"/>
    </xf>
    <xf numFmtId="0" fontId="12" fillId="0" borderId="22" xfId="0" applyNumberFormat="1" applyFont="1" applyFill="1" applyBorder="1" applyAlignment="1" applyProtection="1">
      <alignment horizontal="right" vertical="center" indent="3"/>
    </xf>
    <xf numFmtId="0" fontId="10" fillId="0" borderId="23" xfId="0" applyNumberFormat="1" applyFont="1" applyFill="1" applyBorder="1" applyAlignment="1" applyProtection="1">
      <alignment horizontal="left" vertical="center" indent="3"/>
    </xf>
    <xf numFmtId="0" fontId="10" fillId="0" borderId="12" xfId="0" applyNumberFormat="1" applyFont="1" applyFill="1" applyBorder="1" applyAlignment="1" applyProtection="1">
      <alignment vertical="center"/>
    </xf>
    <xf numFmtId="181" fontId="3" fillId="0" borderId="0" xfId="0" applyNumberFormat="1" applyFont="1" applyFill="1" applyAlignment="1" applyProtection="1">
      <alignment horizontal="centerContinuous"/>
    </xf>
    <xf numFmtId="166" fontId="10" fillId="0" borderId="0" xfId="0" applyFont="1" applyFill="1" applyBorder="1" applyAlignment="1">
      <alignment vertical="center"/>
      <protection locked="0" hidden="1"/>
    </xf>
    <xf numFmtId="166" fontId="18" fillId="0" borderId="0" xfId="0" applyFont="1" applyFill="1" applyAlignment="1">
      <alignment horizontal="right" readingOrder="2"/>
      <protection locked="0" hidden="1"/>
    </xf>
    <xf numFmtId="166" fontId="16" fillId="0" borderId="0" xfId="0" applyFont="1" applyFill="1" applyAlignment="1">
      <protection locked="0" hidden="1"/>
    </xf>
    <xf numFmtId="0" fontId="17" fillId="0" borderId="1"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Continuous"/>
    </xf>
    <xf numFmtId="0" fontId="17" fillId="0" borderId="9" xfId="0" applyNumberFormat="1" applyFont="1" applyFill="1" applyBorder="1" applyAlignment="1" applyProtection="1">
      <alignment horizontal="centerContinuous"/>
    </xf>
    <xf numFmtId="0" fontId="12" fillId="0" borderId="10" xfId="0" applyNumberFormat="1" applyFont="1" applyFill="1" applyBorder="1" applyAlignment="1" applyProtection="1">
      <alignment horizontal="centerContinuous"/>
    </xf>
    <xf numFmtId="0" fontId="17" fillId="0" borderId="11" xfId="0" applyNumberFormat="1" applyFont="1" applyFill="1" applyBorder="1" applyAlignment="1" applyProtection="1">
      <alignment horizontal="center" wrapText="1"/>
    </xf>
    <xf numFmtId="0" fontId="17" fillId="0" borderId="15" xfId="0" applyNumberFormat="1" applyFont="1" applyFill="1" applyBorder="1" applyAlignment="1" applyProtection="1">
      <alignment horizontal="center"/>
    </xf>
    <xf numFmtId="165" fontId="16" fillId="0" borderId="0" xfId="0" applyNumberFormat="1" applyFont="1" applyFill="1" applyBorder="1" applyAlignment="1">
      <protection locked="0" hidden="1"/>
    </xf>
    <xf numFmtId="164" fontId="16" fillId="0" borderId="0" xfId="0" applyNumberFormat="1" applyFont="1" applyFill="1" applyBorder="1" applyAlignment="1">
      <protection locked="0" hidden="1"/>
    </xf>
    <xf numFmtId="170" fontId="16" fillId="0" borderId="0" xfId="0" applyNumberFormat="1" applyFont="1" applyFill="1" applyBorder="1" applyAlignment="1">
      <protection locked="0" hidden="1"/>
    </xf>
    <xf numFmtId="22" fontId="1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Continuous"/>
    </xf>
    <xf numFmtId="0" fontId="20" fillId="0" borderId="0" xfId="0" applyNumberFormat="1" applyFont="1" applyFill="1" applyAlignment="1" applyProtection="1">
      <alignment horizontal="centerContinuous"/>
    </xf>
    <xf numFmtId="166" fontId="16" fillId="0" borderId="0" xfId="0" applyFont="1" applyFill="1" applyAlignment="1">
      <alignment horizontal="centerContinuous"/>
      <protection locked="0" hidden="1"/>
    </xf>
    <xf numFmtId="166" fontId="15" fillId="0" borderId="0" xfId="0" applyFont="1" applyFill="1" applyAlignment="1">
      <alignment horizontal="centerContinuous"/>
      <protection locked="0" hidden="1"/>
    </xf>
    <xf numFmtId="166" fontId="20" fillId="0" borderId="0" xfId="0" applyFont="1" applyFill="1" applyAlignment="1">
      <protection locked="0" hidden="1"/>
    </xf>
    <xf numFmtId="166" fontId="6" fillId="0" borderId="0" xfId="0" applyFont="1" applyFill="1" applyBorder="1" applyAlignment="1">
      <alignment horizontal="centerContinuous" wrapText="1"/>
      <protection locked="0" hidden="1"/>
    </xf>
    <xf numFmtId="166" fontId="6" fillId="0" borderId="0" xfId="0" applyFont="1" applyFill="1" applyAlignment="1">
      <alignment wrapText="1"/>
      <protection locked="0" hidden="1"/>
    </xf>
    <xf numFmtId="166" fontId="8" fillId="0" borderId="0" xfId="0" applyFont="1" applyFill="1" applyAlignment="1">
      <alignment horizontal="right"/>
      <protection locked="0" hidden="1"/>
    </xf>
    <xf numFmtId="166" fontId="6" fillId="0" borderId="0" xfId="0" applyFont="1" applyFill="1" applyBorder="1" applyAlignment="1">
      <protection locked="0" hidden="1"/>
    </xf>
    <xf numFmtId="166" fontId="17" fillId="0" borderId="2" xfId="0" applyFont="1" applyFill="1" applyBorder="1" applyAlignment="1">
      <alignment horizontal="centerContinuous" vertical="center"/>
      <protection locked="0" hidden="1"/>
    </xf>
    <xf numFmtId="166" fontId="19" fillId="0" borderId="7" xfId="0" applyFont="1" applyFill="1" applyBorder="1" applyAlignment="1">
      <alignment horizontal="centerContinuous" vertical="center"/>
      <protection locked="0" hidden="1"/>
    </xf>
    <xf numFmtId="166" fontId="19" fillId="0" borderId="21" xfId="0" applyFont="1" applyFill="1" applyBorder="1" applyAlignment="1">
      <alignment horizontal="left" vertical="center" indent="2"/>
      <protection locked="0" hidden="1"/>
    </xf>
    <xf numFmtId="166" fontId="19" fillId="0" borderId="5" xfId="0" applyFont="1" applyFill="1" applyBorder="1" applyAlignment="1">
      <alignment vertical="center"/>
      <protection locked="0" hidden="1"/>
    </xf>
    <xf numFmtId="166" fontId="17" fillId="0" borderId="5" xfId="0" applyFont="1" applyFill="1" applyBorder="1" applyAlignment="1">
      <alignment vertical="center"/>
      <protection locked="0" hidden="1"/>
    </xf>
    <xf numFmtId="166" fontId="17" fillId="0" borderId="6" xfId="0" applyFont="1" applyFill="1" applyBorder="1" applyAlignment="1">
      <alignment horizontal="right" vertical="center" indent="2"/>
      <protection locked="0" hidden="1"/>
    </xf>
    <xf numFmtId="166" fontId="17" fillId="0" borderId="22" xfId="0" applyFont="1" applyFill="1" applyBorder="1" applyAlignment="1">
      <alignment horizontal="right" vertical="center" indent="2"/>
      <protection locked="0" hidden="1"/>
    </xf>
    <xf numFmtId="166" fontId="17" fillId="0" borderId="12" xfId="0" applyFont="1" applyFill="1" applyBorder="1" applyAlignment="1">
      <alignment horizontal="center" vertical="center"/>
      <protection locked="0" hidden="1"/>
    </xf>
    <xf numFmtId="166" fontId="12" fillId="0" borderId="1" xfId="0" applyFont="1" applyFill="1" applyBorder="1" applyAlignment="1">
      <alignment horizontal="centerContinuous"/>
      <protection locked="0" hidden="1"/>
    </xf>
    <xf numFmtId="166" fontId="10" fillId="0" borderId="9" xfId="0" applyFont="1" applyFill="1" applyBorder="1" applyAlignment="1">
      <alignment horizontal="centerContinuous"/>
      <protection locked="0" hidden="1"/>
    </xf>
    <xf numFmtId="166" fontId="17" fillId="0" borderId="11" xfId="0" applyFont="1" applyFill="1" applyBorder="1" applyAlignment="1">
      <alignment horizontal="center"/>
      <protection locked="0" hidden="1"/>
    </xf>
    <xf numFmtId="166" fontId="17" fillId="0" borderId="9" xfId="0" applyFont="1" applyFill="1" applyBorder="1" applyAlignment="1">
      <alignment horizontal="center"/>
      <protection locked="0" hidden="1"/>
    </xf>
    <xf numFmtId="166" fontId="17" fillId="0" borderId="12" xfId="0" applyFont="1" applyFill="1" applyBorder="1" applyAlignment="1">
      <alignment horizontal="center"/>
      <protection locked="0" hidden="1"/>
    </xf>
    <xf numFmtId="166" fontId="17" fillId="0" borderId="6" xfId="0" applyFont="1" applyFill="1" applyBorder="1" applyAlignment="1">
      <alignment horizontal="center" wrapText="1"/>
      <protection locked="0" hidden="1"/>
    </xf>
    <xf numFmtId="166" fontId="17" fillId="0" borderId="9" xfId="0" applyFont="1" applyFill="1" applyBorder="1" applyAlignment="1">
      <alignment horizontal="center" wrapText="1"/>
      <protection locked="0" hidden="1"/>
    </xf>
    <xf numFmtId="166" fontId="19" fillId="0" borderId="4" xfId="0" applyFont="1" applyFill="1" applyBorder="1" applyAlignment="1">
      <alignment horizontal="centerContinuous" vertical="top"/>
      <protection locked="0" hidden="1"/>
    </xf>
    <xf numFmtId="166" fontId="19" fillId="0" borderId="3" xfId="0" applyFont="1" applyFill="1" applyBorder="1" applyAlignment="1">
      <alignment horizontal="centerContinuous" vertical="top"/>
      <protection locked="0" hidden="1"/>
    </xf>
    <xf numFmtId="166" fontId="19" fillId="0" borderId="8" xfId="0" applyFont="1" applyFill="1" applyBorder="1" applyAlignment="1">
      <alignment horizontal="center" vertical="center" wrapText="1"/>
      <protection locked="0" hidden="1"/>
    </xf>
    <xf numFmtId="166" fontId="19" fillId="0" borderId="10" xfId="0" applyFont="1" applyFill="1" applyBorder="1" applyAlignment="1">
      <alignment horizontal="center" vertical="center" wrapText="1"/>
      <protection locked="0" hidden="1"/>
    </xf>
    <xf numFmtId="166" fontId="19" fillId="0" borderId="4" xfId="0" applyFont="1" applyFill="1" applyBorder="1" applyAlignment="1">
      <alignment horizontal="centerContinuous" vertical="center"/>
      <protection locked="0" hidden="1"/>
    </xf>
    <xf numFmtId="166" fontId="6" fillId="0" borderId="0" xfId="0" applyFont="1" applyFill="1" applyAlignment="1">
      <alignment horizontal="center" vertical="center"/>
      <protection locked="0" hidden="1"/>
    </xf>
    <xf numFmtId="166" fontId="6" fillId="0" borderId="7" xfId="0" applyFont="1" applyFill="1" applyBorder="1" applyAlignment="1">
      <alignment wrapText="1"/>
      <protection locked="0" hidden="1"/>
    </xf>
    <xf numFmtId="166" fontId="6" fillId="0" borderId="7" xfId="0" applyFont="1" applyFill="1" applyBorder="1" applyAlignment="1">
      <alignment horizontal="right" wrapText="1"/>
      <protection locked="0" hidden="1"/>
    </xf>
    <xf numFmtId="166" fontId="6" fillId="0" borderId="0" xfId="0" applyFont="1" applyFill="1" applyBorder="1" applyAlignment="1">
      <alignment wrapText="1"/>
      <protection locked="0" hidden="1"/>
    </xf>
    <xf numFmtId="206" fontId="14" fillId="0" borderId="0" xfId="0" applyNumberFormat="1" applyFont="1" applyFill="1" applyAlignment="1">
      <protection locked="0" hidden="1"/>
    </xf>
    <xf numFmtId="166" fontId="28" fillId="0" borderId="0" xfId="0" applyFont="1" applyFill="1" applyAlignment="1">
      <alignment horizontal="centerContinuous"/>
      <protection locked="0" hidden="1"/>
    </xf>
    <xf numFmtId="166" fontId="23" fillId="0" borderId="0" xfId="0" applyFont="1" applyFill="1" applyAlignment="1">
      <alignment horizontal="left"/>
      <protection locked="0" hidden="1"/>
    </xf>
    <xf numFmtId="22" fontId="23" fillId="0" borderId="0" xfId="0" applyNumberFormat="1" applyFont="1" applyFill="1" applyAlignment="1">
      <alignment horizontal="left"/>
      <protection locked="0" hidden="1"/>
    </xf>
    <xf numFmtId="164" fontId="14" fillId="0" borderId="0" xfId="0" applyNumberFormat="1" applyFont="1" applyFill="1" applyAlignment="1">
      <protection locked="0" hidden="1"/>
    </xf>
    <xf numFmtId="198" fontId="14" fillId="0" borderId="0" xfId="0" applyNumberFormat="1" applyFont="1" applyFill="1" applyAlignment="1">
      <protection locked="0" hidden="1"/>
    </xf>
    <xf numFmtId="0" fontId="4" fillId="0" borderId="7" xfId="0" applyNumberFormat="1" applyFont="1" applyFill="1" applyBorder="1" applyAlignment="1" applyProtection="1"/>
    <xf numFmtId="166" fontId="6" fillId="0" borderId="0" xfId="0" applyFont="1" applyFill="1" applyAlignment="1">
      <alignment horizontal="left" indent="1"/>
      <protection locked="0" hidden="1"/>
    </xf>
    <xf numFmtId="166" fontId="19" fillId="0" borderId="1" xfId="0" applyNumberFormat="1" applyFont="1" applyFill="1" applyBorder="1" applyAlignment="1">
      <alignment horizontal="left" vertical="top"/>
      <protection locked="0" hidden="1"/>
    </xf>
    <xf numFmtId="166" fontId="16" fillId="0" borderId="0" xfId="0" applyFont="1" applyFill="1" applyBorder="1" applyAlignment="1">
      <protection locked="0" hidden="1"/>
    </xf>
    <xf numFmtId="166" fontId="16" fillId="0" borderId="0" xfId="0" applyFont="1" applyFill="1" applyAlignment="1">
      <alignment horizontal="left"/>
      <protection locked="0" hidden="1"/>
    </xf>
    <xf numFmtId="166" fontId="20" fillId="0" borderId="0" xfId="0" applyFont="1" applyFill="1" applyBorder="1" applyAlignment="1">
      <alignment horizontal="centerContinuous" wrapText="1"/>
      <protection locked="0" hidden="1"/>
    </xf>
    <xf numFmtId="166" fontId="20" fillId="0" borderId="0" xfId="0" applyFont="1" applyFill="1" applyAlignment="1">
      <alignment wrapText="1"/>
      <protection locked="0" hidden="1"/>
    </xf>
    <xf numFmtId="166" fontId="18" fillId="0" borderId="0" xfId="0" applyFont="1" applyFill="1" applyAlignment="1">
      <protection locked="0" hidden="1"/>
    </xf>
    <xf numFmtId="166" fontId="5" fillId="0" borderId="21" xfId="0" applyFont="1" applyFill="1" applyBorder="1" applyAlignment="1">
      <alignment horizontal="left" vertical="center" indent="4"/>
      <protection locked="0" hidden="1"/>
    </xf>
    <xf numFmtId="166" fontId="9" fillId="0" borderId="5" xfId="0" applyFont="1" applyFill="1" applyBorder="1" applyAlignment="1">
      <alignment horizontal="right" vertical="center" indent="4"/>
      <protection locked="0" hidden="1"/>
    </xf>
    <xf numFmtId="166" fontId="10" fillId="0" borderId="24" xfId="0" applyFont="1" applyFill="1" applyBorder="1" applyAlignment="1">
      <alignment vertical="center"/>
      <protection locked="0" hidden="1"/>
    </xf>
    <xf numFmtId="166" fontId="9" fillId="0" borderId="22" xfId="0" applyFont="1" applyFill="1" applyBorder="1" applyAlignment="1">
      <alignment horizontal="right" vertical="center" indent="4"/>
      <protection locked="0" hidden="1"/>
    </xf>
    <xf numFmtId="166" fontId="16" fillId="0" borderId="0" xfId="0" applyFont="1" applyFill="1" applyBorder="1" applyAlignment="1">
      <alignment horizontal="right" readingOrder="2"/>
      <protection locked="0" hidden="1"/>
    </xf>
    <xf numFmtId="166" fontId="9" fillId="0" borderId="5" xfId="0" applyFont="1" applyFill="1" applyBorder="1" applyAlignment="1">
      <alignment horizontal="right" vertical="center" indent="4" readingOrder="2"/>
      <protection locked="0" hidden="1"/>
    </xf>
    <xf numFmtId="166" fontId="10" fillId="0" borderId="24" xfId="0" applyFont="1" applyFill="1" applyBorder="1" applyAlignment="1">
      <alignment vertical="center" readingOrder="2"/>
      <protection locked="0" hidden="1"/>
    </xf>
    <xf numFmtId="166" fontId="5" fillId="0" borderId="5" xfId="0" applyFont="1" applyFill="1" applyBorder="1" applyAlignment="1">
      <alignment horizontal="left" vertical="center" indent="4"/>
      <protection locked="0" hidden="1"/>
    </xf>
    <xf numFmtId="166" fontId="9" fillId="0" borderId="22" xfId="0" applyFont="1" applyFill="1" applyBorder="1" applyAlignment="1">
      <alignment horizontal="right" vertical="center" indent="4" readingOrder="2"/>
      <protection locked="0" hidden="1"/>
    </xf>
    <xf numFmtId="0" fontId="12" fillId="0" borderId="1" xfId="0" applyNumberFormat="1" applyFont="1" applyFill="1" applyBorder="1" applyAlignment="1" applyProtection="1">
      <alignment horizontal="centerContinuous" vertical="center" readingOrder="2"/>
    </xf>
    <xf numFmtId="0" fontId="10" fillId="0" borderId="12" xfId="0" applyNumberFormat="1" applyFont="1" applyFill="1" applyBorder="1" applyAlignment="1" applyProtection="1"/>
    <xf numFmtId="166" fontId="12" fillId="0" borderId="9" xfId="0" applyFont="1" applyFill="1" applyBorder="1" applyAlignment="1">
      <alignment horizontal="center" vertical="top"/>
      <protection locked="0" hidden="1"/>
    </xf>
    <xf numFmtId="0" fontId="12" fillId="0" borderId="1" xfId="0" applyNumberFormat="1" applyFont="1" applyFill="1" applyBorder="1" applyAlignment="1" applyProtection="1">
      <alignment horizontal="center" readingOrder="2"/>
    </xf>
    <xf numFmtId="0" fontId="10" fillId="0" borderId="11" xfId="0" applyNumberFormat="1" applyFont="1" applyFill="1" applyBorder="1" applyAlignment="1" applyProtection="1">
      <alignment horizontal="center" vertical="center" readingOrder="1"/>
    </xf>
    <xf numFmtId="166" fontId="10" fillId="0" borderId="9" xfId="0" applyFont="1" applyFill="1" applyBorder="1" applyAlignment="1">
      <alignment horizontal="center" vertical="top"/>
      <protection locked="0" hidden="1"/>
    </xf>
    <xf numFmtId="0" fontId="10" fillId="0" borderId="1" xfId="0" applyNumberFormat="1" applyFont="1" applyFill="1" applyBorder="1" applyAlignment="1" applyProtection="1">
      <alignment horizontal="center" vertical="center" readingOrder="1"/>
    </xf>
    <xf numFmtId="0" fontId="10" fillId="0" borderId="1"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readingOrder="1"/>
    </xf>
    <xf numFmtId="167" fontId="10" fillId="0" borderId="8" xfId="0" applyNumberFormat="1" applyFont="1" applyFill="1" applyBorder="1" applyAlignment="1" applyProtection="1">
      <alignment horizontal="center"/>
    </xf>
    <xf numFmtId="166" fontId="3" fillId="0" borderId="7" xfId="0" applyFont="1" applyFill="1" applyBorder="1" applyAlignment="1">
      <protection locked="0" hidden="1"/>
    </xf>
    <xf numFmtId="166" fontId="3" fillId="0" borderId="0" xfId="0" applyFont="1" applyFill="1" applyAlignment="1">
      <protection locked="0" hidden="1"/>
    </xf>
    <xf numFmtId="166" fontId="3" fillId="0" borderId="0" xfId="0" applyFont="1" applyFill="1" applyBorder="1" applyAlignment="1">
      <protection locked="0" hidden="1"/>
    </xf>
    <xf numFmtId="166" fontId="3" fillId="0" borderId="0" xfId="0" applyNumberFormat="1" applyFont="1" applyFill="1" applyBorder="1" applyAlignment="1" applyProtection="1">
      <alignment horizontal="centerContinuous"/>
      <protection locked="0" hidden="1"/>
    </xf>
    <xf numFmtId="0" fontId="10" fillId="0" borderId="9" xfId="0" applyNumberFormat="1" applyFont="1" applyFill="1" applyBorder="1" applyAlignment="1" applyProtection="1">
      <alignment horizontal="center" vertical="center" readingOrder="1"/>
    </xf>
    <xf numFmtId="167" fontId="10" fillId="0" borderId="10" xfId="0" applyNumberFormat="1" applyFont="1" applyFill="1" applyBorder="1" applyAlignment="1" applyProtection="1">
      <alignment horizontal="center"/>
    </xf>
    <xf numFmtId="166" fontId="20" fillId="0" borderId="0" xfId="0" applyFont="1" applyFill="1" applyBorder="1" applyAlignment="1">
      <protection locked="0" hidden="1"/>
    </xf>
    <xf numFmtId="165" fontId="14" fillId="0" borderId="1" xfId="0" applyNumberFormat="1" applyFont="1" applyFill="1" applyBorder="1" applyAlignment="1">
      <alignment horizontal="right"/>
      <protection locked="0" hidden="1"/>
    </xf>
    <xf numFmtId="165" fontId="14" fillId="0" borderId="11" xfId="0" applyNumberFormat="1" applyFont="1" applyFill="1" applyBorder="1" applyAlignment="1">
      <alignment horizontal="right"/>
      <protection locked="0" hidden="1"/>
    </xf>
    <xf numFmtId="166" fontId="4" fillId="0" borderId="0" xfId="0" applyFont="1" applyFill="1" applyAlignment="1">
      <alignment horizontal="centerContinuous"/>
      <protection locked="0" hidden="1"/>
    </xf>
    <xf numFmtId="166" fontId="6" fillId="0" borderId="3" xfId="0" applyFont="1" applyFill="1" applyBorder="1" applyAlignment="1">
      <protection locked="0" hidden="1"/>
    </xf>
    <xf numFmtId="166" fontId="4" fillId="0" borderId="3" xfId="0" applyFont="1" applyFill="1" applyBorder="1" applyAlignment="1">
      <protection locked="0" hidden="1"/>
    </xf>
    <xf numFmtId="166" fontId="4" fillId="0" borderId="3" xfId="0" applyFont="1" applyFill="1" applyBorder="1" applyAlignment="1">
      <alignment horizontal="centerContinuous"/>
      <protection locked="0" hidden="1"/>
    </xf>
    <xf numFmtId="166" fontId="8" fillId="0" borderId="3" xfId="0" applyFont="1" applyFill="1" applyBorder="1" applyAlignment="1">
      <alignment horizontal="right"/>
      <protection locked="0" hidden="1"/>
    </xf>
    <xf numFmtId="166" fontId="10" fillId="0" borderId="1" xfId="0" applyFont="1" applyFill="1" applyBorder="1" applyAlignment="1">
      <alignment horizontal="centerContinuous" vertical="center"/>
      <protection locked="0" hidden="1"/>
    </xf>
    <xf numFmtId="166" fontId="12" fillId="0" borderId="0" xfId="0" applyFont="1" applyFill="1" applyBorder="1" applyAlignment="1">
      <alignment horizontal="centerContinuous" vertical="center"/>
      <protection locked="0" hidden="1"/>
    </xf>
    <xf numFmtId="166" fontId="12" fillId="0" borderId="0" xfId="0" applyFont="1" applyFill="1" applyBorder="1" applyAlignment="1">
      <alignment vertical="center"/>
      <protection locked="0" hidden="1"/>
    </xf>
    <xf numFmtId="166" fontId="12" fillId="0" borderId="9" xfId="0" applyFont="1" applyFill="1" applyBorder="1" applyAlignment="1">
      <alignment horizontal="right" vertical="center" readingOrder="2"/>
      <protection locked="0" hidden="1"/>
    </xf>
    <xf numFmtId="166" fontId="12" fillId="0" borderId="1" xfId="0" applyFont="1" applyFill="1" applyBorder="1" applyAlignment="1">
      <alignment horizontal="centerContinuous" vertical="center" readingOrder="2"/>
      <protection locked="0" hidden="1"/>
    </xf>
    <xf numFmtId="166" fontId="10" fillId="0" borderId="9" xfId="0" applyFont="1" applyFill="1" applyBorder="1" applyAlignment="1">
      <alignment horizontal="centerContinuous" vertical="center"/>
      <protection locked="0" hidden="1"/>
    </xf>
    <xf numFmtId="166" fontId="12" fillId="0" borderId="2" xfId="0" applyFont="1" applyFill="1" applyBorder="1" applyAlignment="1">
      <alignment horizontal="center"/>
      <protection locked="0" hidden="1"/>
    </xf>
    <xf numFmtId="166" fontId="12" fillId="0" borderId="12" xfId="0" applyFont="1" applyFill="1" applyBorder="1" applyAlignment="1">
      <alignment horizontal="center"/>
      <protection locked="0" hidden="1"/>
    </xf>
    <xf numFmtId="166" fontId="12" fillId="0" borderId="6" xfId="0" applyFont="1" applyFill="1" applyBorder="1" applyAlignment="1">
      <alignment horizontal="center"/>
      <protection locked="0" hidden="1"/>
    </xf>
    <xf numFmtId="166" fontId="10" fillId="0" borderId="3" xfId="0" applyFont="1" applyFill="1" applyBorder="1" applyAlignment="1">
      <alignment horizontal="centerContinuous" vertical="center" wrapText="1"/>
      <protection locked="0" hidden="1"/>
    </xf>
    <xf numFmtId="166" fontId="10" fillId="0" borderId="8" xfId="0" applyFont="1" applyFill="1" applyBorder="1" applyAlignment="1">
      <alignment horizontal="center" vertical="center" wrapText="1"/>
      <protection locked="0" hidden="1"/>
    </xf>
    <xf numFmtId="166" fontId="10" fillId="0" borderId="10" xfId="0" applyFont="1" applyFill="1" applyBorder="1" applyAlignment="1">
      <alignment horizontal="center" vertical="center" wrapText="1"/>
      <protection locked="0" hidden="1"/>
    </xf>
    <xf numFmtId="166" fontId="10" fillId="0" borderId="0" xfId="0" applyFont="1" applyFill="1" applyAlignment="1">
      <alignment vertical="center" wrapText="1"/>
      <protection locked="0" hidden="1"/>
    </xf>
    <xf numFmtId="166" fontId="19" fillId="0" borderId="1" xfId="0" applyNumberFormat="1" applyFont="1" applyFill="1" applyBorder="1" applyAlignment="1">
      <alignment horizontal="left"/>
      <protection locked="0" hidden="1"/>
    </xf>
    <xf numFmtId="166" fontId="19" fillId="0" borderId="9" xfId="0" applyNumberFormat="1" applyFont="1" applyFill="1" applyBorder="1" applyAlignment="1">
      <alignment horizontal="left"/>
      <protection locked="0" hidden="1"/>
    </xf>
    <xf numFmtId="166" fontId="19" fillId="0" borderId="9" xfId="0" applyNumberFormat="1" applyFont="1" applyFill="1" applyBorder="1" applyAlignment="1">
      <alignment horizontal="left" vertical="top"/>
      <protection locked="0" hidden="1"/>
    </xf>
    <xf numFmtId="166" fontId="16" fillId="0" borderId="0" xfId="0" applyFont="1" applyFill="1" applyAlignment="1">
      <alignment vertical="top"/>
      <protection locked="0" hidden="1"/>
    </xf>
    <xf numFmtId="166" fontId="8" fillId="0" borderId="7" xfId="0" applyFont="1" applyFill="1" applyBorder="1" applyAlignment="1">
      <alignment horizontal="right" readingOrder="2"/>
      <protection locked="0" hidden="1"/>
    </xf>
    <xf numFmtId="166" fontId="6" fillId="0" borderId="0" xfId="0" applyFont="1" applyFill="1" applyAlignment="1">
      <alignment horizontal="center"/>
      <protection locked="0" hidden="1"/>
    </xf>
    <xf numFmtId="166" fontId="6" fillId="0" borderId="0" xfId="0" applyFont="1" applyFill="1" applyAlignment="1">
      <alignment horizontal="right"/>
      <protection locked="0" hidden="1"/>
    </xf>
    <xf numFmtId="166" fontId="8" fillId="0" borderId="0" xfId="0" applyFont="1" applyFill="1" applyAlignment="1">
      <alignment horizontal="right" readingOrder="2"/>
      <protection locked="0" hidden="1"/>
    </xf>
    <xf numFmtId="22" fontId="6" fillId="0" borderId="0" xfId="0" applyNumberFormat="1" applyFont="1" applyFill="1" applyAlignment="1">
      <alignment horizontal="center"/>
      <protection locked="0" hidden="1"/>
    </xf>
    <xf numFmtId="166" fontId="4" fillId="0" borderId="0" xfId="0" applyFont="1" applyFill="1" applyAlignment="1">
      <alignment horizontal="center"/>
      <protection locked="0" hidden="1"/>
    </xf>
    <xf numFmtId="166" fontId="4" fillId="0" borderId="0" xfId="0" applyFont="1" applyFill="1" applyAlignment="1">
      <alignment horizontal="centerContinuous" wrapText="1"/>
      <protection locked="0" hidden="1"/>
    </xf>
    <xf numFmtId="166" fontId="4" fillId="0" borderId="0" xfId="0" applyFont="1" applyFill="1" applyAlignment="1">
      <alignment wrapText="1"/>
      <protection locked="0" hidden="1"/>
    </xf>
    <xf numFmtId="166" fontId="6" fillId="0" borderId="3" xfId="0" applyFont="1" applyFill="1" applyBorder="1" applyAlignment="1">
      <alignment horizontal="left"/>
      <protection locked="0" hidden="1"/>
    </xf>
    <xf numFmtId="166" fontId="4" fillId="0" borderId="3" xfId="0" applyFont="1" applyFill="1" applyBorder="1" applyAlignment="1">
      <alignment horizontal="centerContinuous" wrapText="1"/>
      <protection locked="0" hidden="1"/>
    </xf>
    <xf numFmtId="166" fontId="8" fillId="0" borderId="0" xfId="0" applyFont="1" applyFill="1" applyAlignment="1">
      <alignment horizontal="right" wrapText="1"/>
      <protection locked="0" hidden="1"/>
    </xf>
    <xf numFmtId="166" fontId="10" fillId="0" borderId="5" xfId="0" applyFont="1" applyFill="1" applyBorder="1" applyAlignment="1">
      <alignment horizontal="left" vertical="center"/>
      <protection locked="0" hidden="1"/>
    </xf>
    <xf numFmtId="166" fontId="12" fillId="0" borderId="5" xfId="0" applyFont="1" applyFill="1" applyBorder="1" applyAlignment="1">
      <alignment horizontal="centerContinuous" vertical="center"/>
      <protection locked="0" hidden="1"/>
    </xf>
    <xf numFmtId="166" fontId="10" fillId="0" borderId="21" xfId="0" applyFont="1" applyFill="1" applyBorder="1" applyAlignment="1">
      <alignment vertical="center"/>
      <protection locked="0" hidden="1"/>
    </xf>
    <xf numFmtId="166" fontId="10" fillId="0" borderId="5" xfId="0" applyFont="1" applyFill="1" applyBorder="1" applyAlignment="1">
      <alignment horizontal="right" vertical="center"/>
      <protection locked="0" hidden="1"/>
    </xf>
    <xf numFmtId="166" fontId="12" fillId="0" borderId="22" xfId="0" applyFont="1" applyFill="1" applyBorder="1" applyAlignment="1">
      <alignment horizontal="right" vertical="center" readingOrder="2"/>
      <protection locked="0" hidden="1"/>
    </xf>
    <xf numFmtId="166" fontId="12" fillId="0" borderId="5" xfId="0" applyFont="1" applyFill="1" applyBorder="1" applyAlignment="1">
      <alignment horizontal="left" vertical="center"/>
      <protection locked="0" hidden="1"/>
    </xf>
    <xf numFmtId="166" fontId="12" fillId="0" borderId="5" xfId="0" applyFont="1" applyFill="1" applyBorder="1" applyAlignment="1">
      <alignment horizontal="right" vertical="center"/>
      <protection locked="0" hidden="1"/>
    </xf>
    <xf numFmtId="166" fontId="12" fillId="0" borderId="0" xfId="0" applyFont="1" applyFill="1" applyBorder="1" applyAlignment="1">
      <alignment horizontal="center" vertical="center" wrapText="1"/>
      <protection locked="0" hidden="1"/>
    </xf>
    <xf numFmtId="166" fontId="10" fillId="0" borderId="4" xfId="0" applyFont="1" applyFill="1" applyBorder="1" applyAlignment="1">
      <alignment horizontal="left" vertical="center"/>
      <protection locked="0" hidden="1"/>
    </xf>
    <xf numFmtId="166" fontId="12" fillId="0" borderId="10" xfId="0" applyFont="1" applyFill="1" applyBorder="1" applyAlignment="1">
      <alignment horizontal="right" vertical="center" readingOrder="2"/>
      <protection locked="0" hidden="1"/>
    </xf>
    <xf numFmtId="166" fontId="10" fillId="0" borderId="0" xfId="0" applyFont="1" applyFill="1" applyBorder="1" applyAlignment="1">
      <alignment horizontal="center" vertical="center"/>
      <protection locked="0" hidden="1"/>
    </xf>
    <xf numFmtId="166" fontId="10" fillId="0" borderId="11" xfId="0" applyFont="1" applyFill="1" applyBorder="1" applyAlignment="1">
      <alignment vertical="center"/>
      <protection locked="0" hidden="1"/>
    </xf>
    <xf numFmtId="166" fontId="10" fillId="0" borderId="21" xfId="0" applyFont="1" applyFill="1" applyBorder="1" applyAlignment="1">
      <alignment horizontal="left" vertical="center"/>
      <protection locked="0" hidden="1"/>
    </xf>
    <xf numFmtId="166" fontId="10" fillId="0" borderId="12" xfId="0" applyFont="1" applyFill="1" applyBorder="1" applyAlignment="1">
      <alignment vertical="center" wrapText="1"/>
      <protection locked="0" hidden="1"/>
    </xf>
    <xf numFmtId="166" fontId="12" fillId="0" borderId="1" xfId="0" applyFont="1" applyFill="1" applyBorder="1" applyAlignment="1">
      <alignment horizontal="center" vertical="center" wrapText="1"/>
      <protection locked="0" hidden="1"/>
    </xf>
    <xf numFmtId="1" fontId="12" fillId="0" borderId="11" xfId="0" applyNumberFormat="1" applyFont="1" applyFill="1" applyBorder="1" applyAlignment="1">
      <alignment horizontal="center" vertical="center" wrapText="1" readingOrder="2"/>
      <protection locked="0" hidden="1"/>
    </xf>
    <xf numFmtId="166" fontId="12" fillId="0" borderId="11" xfId="0" applyFont="1" applyFill="1" applyBorder="1" applyAlignment="1">
      <alignment horizontal="center" vertical="center" wrapText="1"/>
      <protection locked="0" hidden="1"/>
    </xf>
    <xf numFmtId="166" fontId="10" fillId="0" borderId="10" xfId="0" applyFont="1" applyFill="1" applyBorder="1" applyAlignment="1">
      <alignment horizontal="centerContinuous" vertical="top" wrapText="1"/>
      <protection locked="0" hidden="1"/>
    </xf>
    <xf numFmtId="166" fontId="10" fillId="0" borderId="3" xfId="0" applyFont="1" applyFill="1" applyBorder="1" applyAlignment="1">
      <alignment horizontal="center" vertical="center" wrapText="1"/>
      <protection locked="0" hidden="1"/>
    </xf>
    <xf numFmtId="166" fontId="10" fillId="0" borderId="0" xfId="0" applyFont="1" applyFill="1" applyBorder="1" applyAlignment="1">
      <alignment horizontal="center" vertical="center" wrapText="1"/>
      <protection locked="0" hidden="1"/>
    </xf>
    <xf numFmtId="209" fontId="10" fillId="0" borderId="1" xfId="0" applyNumberFormat="1" applyFont="1" applyFill="1" applyBorder="1" applyAlignment="1">
      <alignment horizontal="left"/>
      <protection locked="0" hidden="1"/>
    </xf>
    <xf numFmtId="166" fontId="10" fillId="0" borderId="0" xfId="0" applyFont="1" applyFill="1" applyBorder="1" applyAlignment="1">
      <alignment horizontal="left"/>
      <protection locked="0" hidden="1"/>
    </xf>
    <xf numFmtId="166" fontId="4" fillId="0" borderId="0" xfId="0" applyFont="1" applyFill="1" applyBorder="1" applyAlignment="1">
      <protection locked="0" hidden="1"/>
    </xf>
    <xf numFmtId="166" fontId="18" fillId="0" borderId="7" xfId="0" applyFont="1" applyFill="1" applyBorder="1" applyAlignment="1">
      <alignment horizontal="right" readingOrder="2"/>
      <protection locked="0" hidden="1"/>
    </xf>
    <xf numFmtId="166" fontId="18" fillId="0" borderId="0" xfId="0" applyFont="1" applyFill="1" applyBorder="1" applyAlignment="1">
      <alignment horizontal="right" readingOrder="2"/>
      <protection locked="0" hidden="1"/>
    </xf>
    <xf numFmtId="3" fontId="18" fillId="0" borderId="0" xfId="0" applyNumberFormat="1" applyFont="1" applyFill="1" applyAlignment="1">
      <alignment horizontal="right" readingOrder="2"/>
      <protection locked="0" hidden="1"/>
    </xf>
    <xf numFmtId="166" fontId="16" fillId="0" borderId="0" xfId="0" applyFont="1" applyFill="1" applyAlignment="1">
      <alignment horizontal="center"/>
      <protection locked="0" hidden="1"/>
    </xf>
    <xf numFmtId="166" fontId="16" fillId="0" borderId="0" xfId="0" applyFont="1" applyFill="1" applyAlignment="1">
      <alignment horizontal="right"/>
      <protection locked="0" hidden="1"/>
    </xf>
    <xf numFmtId="211" fontId="4" fillId="0" borderId="0" xfId="0" applyNumberFormat="1" applyFont="1" applyFill="1" applyAlignment="1">
      <protection locked="0" hidden="1"/>
    </xf>
    <xf numFmtId="0" fontId="6" fillId="0" borderId="0" xfId="22" applyFont="1" applyAlignment="1">
      <alignment horizontal="centerContinuous"/>
    </xf>
    <xf numFmtId="0" fontId="6" fillId="0" borderId="0" xfId="22" applyFont="1"/>
    <xf numFmtId="0" fontId="5" fillId="0" borderId="0" xfId="22" applyFont="1" applyAlignment="1">
      <alignment horizontal="centerContinuous" vertical="top"/>
    </xf>
    <xf numFmtId="0" fontId="6" fillId="0" borderId="0" xfId="22" applyFont="1" applyAlignment="1">
      <alignment horizontal="centerContinuous" vertical="top"/>
    </xf>
    <xf numFmtId="0" fontId="6" fillId="0" borderId="0" xfId="22" applyFont="1" applyAlignment="1">
      <alignment vertical="top"/>
    </xf>
    <xf numFmtId="0" fontId="12" fillId="0" borderId="2" xfId="22" applyFont="1" applyBorder="1" applyAlignment="1">
      <alignment horizontal="center" vertical="center"/>
    </xf>
    <xf numFmtId="0" fontId="12" fillId="0" borderId="12" xfId="22" applyFont="1" applyBorder="1" applyAlignment="1">
      <alignment horizontal="center"/>
    </xf>
    <xf numFmtId="0" fontId="12" fillId="0" borderId="6" xfId="22" applyFont="1" applyBorder="1" applyAlignment="1">
      <alignment horizontal="center"/>
    </xf>
    <xf numFmtId="0" fontId="12" fillId="0" borderId="1" xfId="22" applyFont="1" applyBorder="1" applyAlignment="1">
      <alignment horizontal="center" vertical="center"/>
    </xf>
    <xf numFmtId="0" fontId="12" fillId="0" borderId="11" xfId="22" applyFont="1" applyBorder="1" applyAlignment="1">
      <alignment horizontal="center" vertical="center"/>
    </xf>
    <xf numFmtId="0" fontId="12" fillId="0" borderId="9" xfId="22" applyFont="1" applyBorder="1" applyAlignment="1">
      <alignment horizontal="center" vertical="center"/>
    </xf>
    <xf numFmtId="0" fontId="10" fillId="0" borderId="1" xfId="22" applyFont="1" applyBorder="1" applyAlignment="1">
      <alignment horizontal="center" vertical="top"/>
    </xf>
    <xf numFmtId="0" fontId="10" fillId="0" borderId="11" xfId="22" applyFont="1" applyBorder="1" applyAlignment="1">
      <alignment horizontal="center" vertical="top"/>
    </xf>
    <xf numFmtId="0" fontId="10" fillId="0" borderId="9" xfId="22" applyFont="1" applyBorder="1" applyAlignment="1">
      <alignment horizontal="center" vertical="top"/>
    </xf>
    <xf numFmtId="0" fontId="10" fillId="0" borderId="4" xfId="22" applyFont="1" applyBorder="1" applyAlignment="1">
      <alignment horizontal="center" vertical="center"/>
    </xf>
    <xf numFmtId="0" fontId="10" fillId="0" borderId="8" xfId="22" applyFont="1" applyBorder="1" applyAlignment="1">
      <alignment horizontal="center"/>
    </xf>
    <xf numFmtId="0" fontId="10" fillId="0" borderId="10" xfId="22" applyFont="1" applyBorder="1" applyAlignment="1">
      <alignment horizontal="center"/>
    </xf>
    <xf numFmtId="0" fontId="6" fillId="0" borderId="0" xfId="22" applyFont="1" applyAlignment="1">
      <alignment vertical="center"/>
    </xf>
    <xf numFmtId="0" fontId="6" fillId="0" borderId="7" xfId="22" applyFont="1" applyBorder="1" applyAlignment="1">
      <alignment horizontal="left"/>
    </xf>
    <xf numFmtId="0" fontId="6" fillId="0" borderId="7" xfId="22" applyFont="1" applyBorder="1"/>
    <xf numFmtId="0" fontId="4" fillId="0" borderId="7" xfId="22" applyFont="1" applyBorder="1" applyAlignment="1"/>
    <xf numFmtId="0" fontId="32" fillId="0" borderId="7" xfId="22" applyFont="1" applyBorder="1" applyAlignment="1">
      <alignment horizontal="right" readingOrder="2"/>
    </xf>
    <xf numFmtId="166" fontId="7" fillId="0" borderId="21" xfId="0" applyFont="1" applyFill="1" applyBorder="1" applyAlignment="1">
      <alignment horizontal="left" vertical="center" indent="1"/>
      <protection locked="0" hidden="1"/>
    </xf>
    <xf numFmtId="166" fontId="7" fillId="0" borderId="5" xfId="0" applyFont="1" applyFill="1" applyBorder="1" applyAlignment="1">
      <alignment vertical="center"/>
      <protection locked="0" hidden="1"/>
    </xf>
    <xf numFmtId="166" fontId="33" fillId="0" borderId="5" xfId="0" applyFont="1" applyFill="1" applyBorder="1" applyAlignment="1">
      <alignment vertical="center"/>
      <protection locked="0" hidden="1"/>
    </xf>
    <xf numFmtId="166" fontId="33" fillId="0" borderId="22" xfId="0" applyFont="1" applyFill="1" applyBorder="1" applyAlignment="1">
      <alignment horizontal="right" vertical="center" indent="1" readingOrder="2"/>
      <protection locked="0" hidden="1"/>
    </xf>
    <xf numFmtId="0" fontId="33" fillId="0" borderId="11" xfId="0" applyNumberFormat="1" applyFont="1" applyFill="1" applyBorder="1" applyAlignment="1" applyProtection="1">
      <alignment horizontal="centerContinuous" readingOrder="2"/>
    </xf>
    <xf numFmtId="166" fontId="7" fillId="0" borderId="5" xfId="0" applyFont="1" applyFill="1" applyBorder="1" applyAlignment="1">
      <alignment horizontal="left" vertical="center" indent="1"/>
      <protection locked="0" hidden="1"/>
    </xf>
    <xf numFmtId="166" fontId="7" fillId="0" borderId="22" xfId="0" applyFont="1" applyFill="1" applyBorder="1" applyAlignment="1">
      <alignment horizontal="right" vertical="center" indent="1"/>
      <protection locked="0" hidden="1"/>
    </xf>
    <xf numFmtId="166" fontId="7" fillId="0" borderId="22" xfId="0" applyFont="1" applyFill="1" applyBorder="1" applyAlignment="1">
      <alignment horizontal="right" vertical="center" indent="1" readingOrder="2"/>
      <protection locked="0" hidden="1"/>
    </xf>
    <xf numFmtId="166" fontId="7" fillId="0" borderId="0" xfId="0" applyFont="1" applyFill="1" applyAlignment="1">
      <alignment vertical="center" wrapText="1"/>
      <protection locked="0" hidden="1"/>
    </xf>
    <xf numFmtId="166" fontId="7" fillId="0" borderId="11" xfId="0" applyFont="1" applyFill="1" applyBorder="1" applyAlignment="1">
      <alignment vertical="center" wrapText="1"/>
      <protection locked="0" hidden="1"/>
    </xf>
    <xf numFmtId="166" fontId="7" fillId="0" borderId="4" xfId="0" applyFont="1" applyFill="1" applyBorder="1" applyAlignment="1">
      <alignment horizontal="center" vertical="top"/>
      <protection locked="0" hidden="1"/>
    </xf>
    <xf numFmtId="166" fontId="7" fillId="0" borderId="8" xfId="0" applyFont="1" applyFill="1" applyBorder="1" applyAlignment="1">
      <alignment horizontal="center" vertical="top"/>
      <protection locked="0" hidden="1"/>
    </xf>
    <xf numFmtId="166" fontId="7" fillId="0" borderId="0" xfId="0" applyFont="1" applyFill="1" applyBorder="1" applyAlignment="1">
      <alignment horizontal="center" vertical="center" wrapText="1"/>
      <protection locked="0" hidden="1"/>
    </xf>
    <xf numFmtId="3" fontId="6" fillId="0" borderId="11" xfId="0" applyNumberFormat="1" applyFont="1" applyFill="1" applyBorder="1" applyAlignment="1">
      <alignment horizontal="center"/>
      <protection locked="0" hidden="1"/>
    </xf>
    <xf numFmtId="209" fontId="7" fillId="0" borderId="1" xfId="0" applyNumberFormat="1" applyFont="1" applyFill="1" applyBorder="1" applyAlignment="1">
      <alignment horizontal="center"/>
      <protection locked="0" hidden="1"/>
    </xf>
    <xf numFmtId="0" fontId="24" fillId="0" borderId="7" xfId="19" applyFont="1" applyBorder="1" applyAlignment="1"/>
    <xf numFmtId="166" fontId="24" fillId="0" borderId="7" xfId="0" applyFont="1" applyFill="1" applyBorder="1" applyAlignment="1">
      <protection locked="0" hidden="1"/>
    </xf>
    <xf numFmtId="0" fontId="34" fillId="0" borderId="7" xfId="19" applyFont="1" applyBorder="1" applyAlignment="1"/>
    <xf numFmtId="0" fontId="25" fillId="0" borderId="7" xfId="19" applyFont="1" applyBorder="1" applyAlignment="1">
      <alignment horizontal="right" readingOrder="2"/>
    </xf>
    <xf numFmtId="166" fontId="24" fillId="0" borderId="0" xfId="0" applyFont="1" applyFill="1" applyAlignment="1">
      <protection locked="0" hidden="1"/>
    </xf>
    <xf numFmtId="0" fontId="6" fillId="0" borderId="0" xfId="20" applyFont="1" applyAlignment="1">
      <alignment horizontal="left"/>
    </xf>
    <xf numFmtId="0" fontId="35" fillId="0" borderId="0" xfId="22" applyFont="1" applyAlignment="1">
      <alignment horizontal="centerContinuous" vertical="top"/>
    </xf>
    <xf numFmtId="0" fontId="17" fillId="0" borderId="2" xfId="22" applyFont="1" applyBorder="1" applyAlignment="1">
      <alignment horizontal="center" vertical="center"/>
    </xf>
    <xf numFmtId="0" fontId="17" fillId="0" borderId="6" xfId="22" applyFont="1" applyBorder="1" applyAlignment="1">
      <alignment horizontal="center" vertical="center"/>
    </xf>
    <xf numFmtId="0" fontId="17" fillId="0" borderId="12" xfId="22" applyFont="1" applyBorder="1" applyAlignment="1">
      <alignment horizontal="center"/>
    </xf>
    <xf numFmtId="0" fontId="16" fillId="0" borderId="0" xfId="22" applyFont="1"/>
    <xf numFmtId="0" fontId="17" fillId="0" borderId="11" xfId="22" applyFont="1" applyBorder="1" applyAlignment="1">
      <alignment horizontal="center" vertical="center"/>
    </xf>
    <xf numFmtId="0" fontId="17" fillId="0" borderId="11" xfId="22" applyFont="1" applyBorder="1" applyAlignment="1">
      <alignment horizontal="center" vertical="center" readingOrder="2"/>
    </xf>
    <xf numFmtId="0" fontId="19" fillId="0" borderId="1" xfId="22" applyFont="1" applyBorder="1" applyAlignment="1">
      <alignment horizontal="centerContinuous" vertical="top"/>
    </xf>
    <xf numFmtId="0" fontId="19" fillId="0" borderId="9" xfId="22" applyFont="1" applyBorder="1" applyAlignment="1">
      <alignment horizontal="centerContinuous" vertical="top"/>
    </xf>
    <xf numFmtId="0" fontId="19" fillId="0" borderId="11" xfId="22" applyFont="1" applyBorder="1" applyAlignment="1">
      <alignment horizontal="center" vertical="top"/>
    </xf>
    <xf numFmtId="0" fontId="19" fillId="0" borderId="9" xfId="22" applyFont="1" applyBorder="1" applyAlignment="1">
      <alignment horizontal="center" vertical="top"/>
    </xf>
    <xf numFmtId="0" fontId="19" fillId="0" borderId="1" xfId="22" applyFont="1" applyBorder="1" applyAlignment="1">
      <alignment horizontal="center" vertical="top"/>
    </xf>
    <xf numFmtId="0" fontId="19" fillId="0" borderId="4" xfId="22" applyFont="1" applyBorder="1" applyAlignment="1">
      <alignment horizontal="center" vertical="center"/>
    </xf>
    <xf numFmtId="0" fontId="19" fillId="0" borderId="10" xfId="22" applyFont="1" applyBorder="1" applyAlignment="1">
      <alignment horizontal="center" vertical="center"/>
    </xf>
    <xf numFmtId="0" fontId="19" fillId="0" borderId="8" xfId="22" applyFont="1" applyBorder="1" applyAlignment="1">
      <alignment horizontal="center"/>
    </xf>
    <xf numFmtId="0" fontId="19" fillId="0" borderId="8" xfId="22" applyFont="1" applyBorder="1" applyAlignment="1">
      <alignment horizontal="center" readingOrder="1"/>
    </xf>
    <xf numFmtId="0" fontId="16" fillId="0" borderId="8" xfId="22" applyFont="1" applyBorder="1" applyAlignment="1">
      <alignment horizontal="center"/>
    </xf>
    <xf numFmtId="0" fontId="19" fillId="0" borderId="4" xfId="22" applyFont="1" applyBorder="1" applyAlignment="1">
      <alignment horizontal="center" readingOrder="1"/>
    </xf>
    <xf numFmtId="0" fontId="16" fillId="0" borderId="0" xfId="22" applyFont="1" applyAlignment="1">
      <alignment vertical="center"/>
    </xf>
    <xf numFmtId="0" fontId="16" fillId="0" borderId="9" xfId="22" applyFont="1" applyBorder="1" applyAlignment="1">
      <alignment horizontal="center"/>
    </xf>
    <xf numFmtId="166" fontId="16" fillId="0" borderId="12" xfId="0" applyFont="1" applyFill="1" applyBorder="1" applyAlignment="1">
      <alignment horizontal="right" indent="3"/>
      <protection locked="0" hidden="1"/>
    </xf>
    <xf numFmtId="3" fontId="16" fillId="0" borderId="12" xfId="0" applyNumberFormat="1" applyFont="1" applyFill="1" applyBorder="1" applyAlignment="1">
      <alignment horizontal="right" indent="2"/>
      <protection locked="0" hidden="1"/>
    </xf>
    <xf numFmtId="3" fontId="16" fillId="0" borderId="12" xfId="0" applyNumberFormat="1" applyFont="1" applyFill="1" applyBorder="1" applyAlignment="1">
      <alignment horizontal="right" indent="3"/>
      <protection locked="0" hidden="1"/>
    </xf>
    <xf numFmtId="3" fontId="16" fillId="0" borderId="11" xfId="0" applyNumberFormat="1" applyFont="1" applyFill="1" applyBorder="1" applyAlignment="1">
      <alignment horizontal="right" indent="2"/>
      <protection locked="0" hidden="1"/>
    </xf>
    <xf numFmtId="4" fontId="16" fillId="0" borderId="11" xfId="0" applyNumberFormat="1" applyFont="1" applyFill="1" applyBorder="1" applyAlignment="1">
      <alignment horizontal="right" indent="2"/>
      <protection locked="0" hidden="1"/>
    </xf>
    <xf numFmtId="4" fontId="16" fillId="0" borderId="11" xfId="0" applyNumberFormat="1" applyFont="1" applyFill="1" applyBorder="1" applyAlignment="1">
      <alignment horizontal="center"/>
      <protection locked="0" hidden="1"/>
    </xf>
    <xf numFmtId="4" fontId="16" fillId="0" borderId="12" xfId="0" applyNumberFormat="1" applyFont="1" applyFill="1" applyBorder="1" applyAlignment="1">
      <alignment horizontal="right" indent="2"/>
      <protection locked="0" hidden="1"/>
    </xf>
    <xf numFmtId="2" fontId="16" fillId="0" borderId="12" xfId="0" applyNumberFormat="1" applyFont="1" applyFill="1" applyBorder="1" applyAlignment="1">
      <alignment horizontal="right" indent="3"/>
      <protection locked="0" hidden="1"/>
    </xf>
    <xf numFmtId="166" fontId="16" fillId="0" borderId="11" xfId="0" applyFont="1" applyFill="1" applyBorder="1" applyAlignment="1">
      <alignment horizontal="right" indent="3"/>
      <protection locked="0" hidden="1"/>
    </xf>
    <xf numFmtId="3" fontId="16" fillId="0" borderId="11" xfId="0" applyNumberFormat="1" applyFont="1" applyFill="1" applyBorder="1" applyAlignment="1">
      <alignment horizontal="right" indent="3"/>
      <protection locked="0" hidden="1"/>
    </xf>
    <xf numFmtId="2" fontId="16" fillId="0" borderId="11" xfId="0" applyNumberFormat="1" applyFont="1" applyFill="1" applyBorder="1" applyAlignment="1">
      <alignment horizontal="right" indent="3"/>
      <protection locked="0" hidden="1"/>
    </xf>
    <xf numFmtId="0" fontId="16" fillId="0" borderId="0" xfId="22" applyFont="1" applyBorder="1"/>
    <xf numFmtId="0" fontId="16" fillId="0" borderId="0" xfId="22" applyFont="1" applyBorder="1" applyAlignment="1">
      <alignment horizontal="center"/>
    </xf>
    <xf numFmtId="4" fontId="16" fillId="0" borderId="12" xfId="0" applyNumberFormat="1" applyFont="1" applyFill="1" applyBorder="1" applyAlignment="1">
      <alignment horizontal="center"/>
      <protection locked="0" hidden="1"/>
    </xf>
    <xf numFmtId="166" fontId="19" fillId="0" borderId="0" xfId="0" applyNumberFormat="1" applyFont="1" applyFill="1" applyBorder="1" applyAlignment="1">
      <alignment horizontal="left"/>
      <protection locked="0" hidden="1"/>
    </xf>
    <xf numFmtId="2" fontId="16" fillId="0" borderId="7" xfId="22" applyNumberFormat="1" applyFont="1" applyBorder="1" applyAlignment="1">
      <alignment horizontal="right" readingOrder="2"/>
    </xf>
    <xf numFmtId="2" fontId="16" fillId="0" borderId="0" xfId="22" applyNumberFormat="1" applyFont="1" applyBorder="1" applyAlignment="1">
      <alignment horizontal="right" readingOrder="2"/>
    </xf>
    <xf numFmtId="0" fontId="18" fillId="0" borderId="0" xfId="20" applyFont="1" applyAlignment="1">
      <alignment horizontal="right" readingOrder="2"/>
    </xf>
    <xf numFmtId="0" fontId="16" fillId="0" borderId="0" xfId="22" applyFont="1" applyAlignment="1">
      <alignment horizontal="centerContinuous"/>
    </xf>
    <xf numFmtId="0" fontId="6" fillId="0" borderId="0" xfId="22" applyFont="1" applyAlignment="1">
      <alignment horizontal="left" vertical="top"/>
    </xf>
    <xf numFmtId="0" fontId="6" fillId="0" borderId="0" xfId="22" applyFont="1" applyAlignment="1">
      <alignment horizontal="right" vertical="top"/>
    </xf>
    <xf numFmtId="0" fontId="16" fillId="0" borderId="2" xfId="22" applyFont="1" applyBorder="1" applyAlignment="1">
      <alignment horizontal="left" vertical="top"/>
    </xf>
    <xf numFmtId="0" fontId="19" fillId="0" borderId="7" xfId="22" applyFont="1" applyBorder="1" applyAlignment="1">
      <alignment horizontal="centerContinuous" vertical="top"/>
    </xf>
    <xf numFmtId="0" fontId="16" fillId="0" borderId="12" xfId="22" applyFont="1" applyBorder="1" applyAlignment="1">
      <alignment horizontal="centerContinuous" vertical="top"/>
    </xf>
    <xf numFmtId="0" fontId="16" fillId="0" borderId="12" xfId="22" applyFont="1" applyBorder="1" applyAlignment="1">
      <alignment horizontal="right" vertical="top"/>
    </xf>
    <xf numFmtId="0" fontId="16" fillId="0" borderId="0" xfId="22" applyFont="1" applyAlignment="1">
      <alignment vertical="top"/>
    </xf>
    <xf numFmtId="0" fontId="17" fillId="0" borderId="1" xfId="22" applyFont="1" applyBorder="1" applyAlignment="1">
      <alignment horizontal="centerContinuous" vertical="top"/>
    </xf>
    <xf numFmtId="0" fontId="17" fillId="0" borderId="9" xfId="22" applyFont="1" applyBorder="1" applyAlignment="1">
      <alignment horizontal="centerContinuous" vertical="top"/>
    </xf>
    <xf numFmtId="0" fontId="17" fillId="0" borderId="11" xfId="22" applyFont="1" applyBorder="1" applyAlignment="1">
      <alignment horizontal="center"/>
    </xf>
    <xf numFmtId="0" fontId="17" fillId="0" borderId="9" xfId="22" applyFont="1" applyBorder="1" applyAlignment="1">
      <alignment horizontal="center"/>
    </xf>
    <xf numFmtId="0" fontId="18" fillId="0" borderId="4" xfId="22" applyFont="1" applyBorder="1"/>
    <xf numFmtId="0" fontId="18" fillId="0" borderId="3" xfId="22" applyFont="1" applyBorder="1"/>
    <xf numFmtId="0" fontId="19" fillId="0" borderId="8" xfId="22" applyFont="1" applyBorder="1" applyAlignment="1">
      <alignment horizontal="center" vertical="top"/>
    </xf>
    <xf numFmtId="0" fontId="19" fillId="0" borderId="10" xfId="22" applyFont="1" applyBorder="1" applyAlignment="1">
      <alignment horizontal="center" vertical="top"/>
    </xf>
    <xf numFmtId="166" fontId="7" fillId="0" borderId="2" xfId="0" applyNumberFormat="1" applyFont="1" applyFill="1" applyBorder="1" applyAlignment="1">
      <alignment horizontal="left"/>
      <protection locked="0" hidden="1"/>
    </xf>
    <xf numFmtId="0" fontId="7" fillId="0" borderId="9" xfId="22" applyFont="1" applyBorder="1" applyAlignment="1">
      <alignment horizontal="center"/>
    </xf>
    <xf numFmtId="3" fontId="6" fillId="0" borderId="12" xfId="0" applyNumberFormat="1" applyFont="1" applyFill="1" applyBorder="1" applyAlignment="1">
      <alignment horizontal="right" indent="2" readingOrder="1"/>
      <protection locked="0" hidden="1"/>
    </xf>
    <xf numFmtId="3" fontId="6" fillId="0" borderId="12" xfId="22" applyNumberFormat="1" applyFont="1" applyBorder="1" applyAlignment="1">
      <alignment horizontal="right" indent="2" readingOrder="1"/>
    </xf>
    <xf numFmtId="3" fontId="6" fillId="0" borderId="11" xfId="22" applyNumberFormat="1" applyFont="1" applyBorder="1" applyAlignment="1">
      <alignment horizontal="right" indent="2" readingOrder="1"/>
    </xf>
    <xf numFmtId="166" fontId="7" fillId="0" borderId="1" xfId="0" applyNumberFormat="1" applyFont="1" applyFill="1" applyBorder="1" applyAlignment="1">
      <alignment horizontal="left"/>
      <protection locked="0" hidden="1"/>
    </xf>
    <xf numFmtId="0" fontId="6" fillId="0" borderId="0" xfId="22" applyFont="1" applyBorder="1" applyAlignment="1"/>
    <xf numFmtId="0" fontId="7" fillId="0" borderId="0" xfId="22" applyFont="1" applyBorder="1" applyAlignment="1">
      <alignment horizontal="center"/>
    </xf>
    <xf numFmtId="3" fontId="6" fillId="0" borderId="11" xfId="22" applyNumberFormat="1" applyFont="1" applyFill="1" applyBorder="1" applyAlignment="1">
      <alignment horizontal="right" indent="2" readingOrder="1"/>
    </xf>
    <xf numFmtId="166" fontId="7" fillId="0" borderId="0" xfId="0" applyNumberFormat="1" applyFont="1" applyFill="1" applyBorder="1" applyAlignment="1">
      <alignment horizontal="left"/>
      <protection locked="0" hidden="1"/>
    </xf>
    <xf numFmtId="0" fontId="37" fillId="0" borderId="7" xfId="20" applyFont="1" applyBorder="1" applyAlignment="1">
      <alignment horizontal="left"/>
    </xf>
    <xf numFmtId="0" fontId="8" fillId="0" borderId="7" xfId="20" applyFont="1" applyBorder="1" applyAlignment="1">
      <alignment horizontal="right" readingOrder="2"/>
    </xf>
    <xf numFmtId="0" fontId="37" fillId="0" borderId="0" xfId="20" applyFont="1" applyBorder="1" applyAlignment="1">
      <alignment horizontal="left"/>
    </xf>
    <xf numFmtId="0" fontId="6" fillId="0" borderId="0" xfId="22" applyFont="1" applyBorder="1"/>
    <xf numFmtId="0" fontId="8" fillId="0" borderId="0" xfId="20" applyFont="1" applyBorder="1" applyAlignment="1">
      <alignment horizontal="right" readingOrder="2"/>
    </xf>
    <xf numFmtId="0" fontId="7" fillId="0" borderId="0" xfId="22" applyFont="1"/>
    <xf numFmtId="0" fontId="16" fillId="0" borderId="0" xfId="22" applyFont="1" applyAlignment="1">
      <alignment horizontal="right" vertical="top"/>
    </xf>
    <xf numFmtId="0" fontId="19" fillId="0" borderId="4" xfId="22" applyFont="1" applyBorder="1" applyAlignment="1">
      <alignment horizontal="centerContinuous" vertical="top"/>
    </xf>
    <xf numFmtId="0" fontId="17" fillId="0" borderId="10" xfId="22" applyFont="1" applyBorder="1" applyAlignment="1">
      <alignment horizontal="centerContinuous" vertical="top"/>
    </xf>
    <xf numFmtId="0" fontId="4" fillId="0" borderId="0" xfId="22" applyFont="1"/>
    <xf numFmtId="0" fontId="10" fillId="0" borderId="1" xfId="22" applyFont="1" applyBorder="1" applyAlignment="1">
      <alignment horizontal="centerContinuous"/>
    </xf>
    <xf numFmtId="0" fontId="10" fillId="0" borderId="0" xfId="22" applyFont="1" applyBorder="1" applyAlignment="1">
      <alignment horizontal="centerContinuous"/>
    </xf>
    <xf numFmtId="0" fontId="10" fillId="0" borderId="4" xfId="22" applyFont="1" applyBorder="1" applyAlignment="1">
      <alignment horizontal="centerContinuous" vertical="center" readingOrder="1"/>
    </xf>
    <xf numFmtId="0" fontId="12" fillId="0" borderId="3" xfId="22" applyFont="1" applyBorder="1" applyAlignment="1">
      <alignment horizontal="centerContinuous" vertical="center" readingOrder="1"/>
    </xf>
    <xf numFmtId="0" fontId="12" fillId="0" borderId="10" xfId="22" applyFont="1" applyBorder="1" applyAlignment="1">
      <alignment horizontal="centerContinuous" vertical="center" readingOrder="1"/>
    </xf>
    <xf numFmtId="0" fontId="4" fillId="0" borderId="1" xfId="22" applyFont="1" applyBorder="1"/>
    <xf numFmtId="0" fontId="4" fillId="0" borderId="0" xfId="22" applyFont="1" applyAlignment="1">
      <alignment horizontal="centerContinuous"/>
    </xf>
    <xf numFmtId="0" fontId="10" fillId="0" borderId="10" xfId="22" applyFont="1" applyBorder="1" applyAlignment="1">
      <alignment horizontal="centerContinuous" vertical="top"/>
    </xf>
    <xf numFmtId="0" fontId="16" fillId="0" borderId="0" xfId="20" applyFont="1" applyAlignment="1">
      <alignment horizontal="left"/>
    </xf>
    <xf numFmtId="0" fontId="7" fillId="0" borderId="0" xfId="0" applyNumberFormat="1" applyFont="1" applyFill="1" applyBorder="1" applyAlignment="1">
      <alignment horizontal="center" readingOrder="2"/>
      <protection locked="0" hidden="1"/>
    </xf>
    <xf numFmtId="166" fontId="7" fillId="0" borderId="11" xfId="0" applyFont="1" applyFill="1" applyBorder="1" applyAlignment="1">
      <alignment horizontal="center" vertical="center" wrapText="1"/>
      <protection locked="0" hidden="1"/>
    </xf>
    <xf numFmtId="166" fontId="6" fillId="0" borderId="0" xfId="0" applyFont="1" applyFill="1" applyAlignment="1">
      <alignment horizontal="center" vertical="center" wrapText="1"/>
      <protection locked="0" hidden="1"/>
    </xf>
    <xf numFmtId="2" fontId="16" fillId="0" borderId="0" xfId="22" applyNumberFormat="1" applyFont="1" applyAlignment="1">
      <alignment horizontal="right" indent="3"/>
    </xf>
    <xf numFmtId="197" fontId="20" fillId="0" borderId="9" xfId="0" applyNumberFormat="1" applyFont="1" applyFill="1" applyBorder="1" applyAlignment="1">
      <protection locked="0" hidden="1"/>
    </xf>
    <xf numFmtId="166" fontId="29" fillId="0" borderId="2" xfId="0" applyNumberFormat="1" applyFont="1" applyFill="1" applyBorder="1" applyAlignment="1">
      <alignment horizontal="left"/>
      <protection locked="0" hidden="1"/>
    </xf>
    <xf numFmtId="166" fontId="29" fillId="0" borderId="7" xfId="0" applyFont="1" applyFill="1" applyBorder="1" applyAlignment="1">
      <alignment horizontal="left"/>
      <protection locked="0" hidden="1"/>
    </xf>
    <xf numFmtId="196" fontId="20" fillId="0" borderId="12" xfId="0" applyNumberFormat="1" applyFont="1" applyFill="1" applyBorder="1" applyAlignment="1">
      <alignment horizontal="right"/>
      <protection locked="0" hidden="1"/>
    </xf>
    <xf numFmtId="197" fontId="20" fillId="0" borderId="6" xfId="0" applyNumberFormat="1" applyFont="1" applyFill="1" applyBorder="1" applyAlignment="1">
      <protection locked="0" hidden="1"/>
    </xf>
    <xf numFmtId="166" fontId="19" fillId="0" borderId="0" xfId="0" applyFont="1" applyFill="1" applyBorder="1" applyAlignment="1">
      <alignment horizontal="left" vertical="top"/>
      <protection locked="0" hidden="1"/>
    </xf>
    <xf numFmtId="196" fontId="16" fillId="0" borderId="11" xfId="0" applyNumberFormat="1" applyFont="1" applyFill="1" applyBorder="1" applyAlignment="1">
      <alignment horizontal="right"/>
      <protection locked="0" hidden="1"/>
    </xf>
    <xf numFmtId="197" fontId="16" fillId="0" borderId="9" xfId="0" applyNumberFormat="1" applyFont="1" applyFill="1" applyBorder="1" applyAlignment="1">
      <protection locked="0" hidden="1"/>
    </xf>
    <xf numFmtId="166" fontId="16" fillId="0" borderId="0" xfId="0" applyFont="1" applyFill="1" applyBorder="1" applyAlignment="1">
      <alignment vertical="top"/>
      <protection locked="0" hidden="1"/>
    </xf>
    <xf numFmtId="166" fontId="14" fillId="0" borderId="0" xfId="0" applyNumberFormat="1" applyFont="1" applyFill="1" applyAlignment="1" applyProtection="1">
      <protection locked="0" hidden="1"/>
    </xf>
    <xf numFmtId="166" fontId="27" fillId="0" borderId="8" xfId="0" applyNumberFormat="1" applyFont="1" applyFill="1" applyBorder="1" applyAlignment="1" applyProtection="1">
      <alignment horizontal="center" vertical="center"/>
      <protection locked="0" hidden="1"/>
    </xf>
    <xf numFmtId="2" fontId="16" fillId="0" borderId="11" xfId="22" applyNumberFormat="1" applyFont="1" applyBorder="1" applyAlignment="1">
      <alignment horizontal="right" indent="3"/>
    </xf>
    <xf numFmtId="2" fontId="6" fillId="0" borderId="7" xfId="22" applyNumberFormat="1" applyFont="1" applyBorder="1" applyAlignment="1">
      <alignment horizontal="right" readingOrder="2"/>
    </xf>
    <xf numFmtId="0" fontId="6" fillId="0" borderId="0" xfId="20" applyFont="1" applyBorder="1" applyAlignment="1">
      <alignment horizontal="left"/>
    </xf>
    <xf numFmtId="166" fontId="3" fillId="0" borderId="0" xfId="0" applyNumberFormat="1" applyFont="1" applyFill="1" applyAlignment="1" applyProtection="1">
      <protection locked="0" hidden="1"/>
    </xf>
    <xf numFmtId="166" fontId="27" fillId="0" borderId="11" xfId="0" applyNumberFormat="1" applyFont="1" applyFill="1" applyBorder="1" applyAlignment="1" applyProtection="1">
      <alignment horizontal="right" indent="1"/>
      <protection locked="0" hidden="1"/>
    </xf>
    <xf numFmtId="166" fontId="20" fillId="0" borderId="0" xfId="0" applyNumberFormat="1" applyFont="1" applyFill="1" applyAlignment="1" applyProtection="1">
      <protection locked="0" hidden="1"/>
    </xf>
    <xf numFmtId="166" fontId="29" fillId="0" borderId="11" xfId="0" applyNumberFormat="1" applyFont="1" applyFill="1" applyBorder="1" applyAlignment="1" applyProtection="1">
      <alignment horizontal="left" wrapText="1" indent="1"/>
      <protection locked="0" hidden="1"/>
    </xf>
    <xf numFmtId="170" fontId="29" fillId="0" borderId="9" xfId="0" applyNumberFormat="1" applyFont="1" applyFill="1" applyBorder="1" applyAlignment="1" applyProtection="1">
      <alignment horizontal="right"/>
      <protection locked="0" hidden="1"/>
    </xf>
    <xf numFmtId="166" fontId="20" fillId="0" borderId="11" xfId="0" applyNumberFormat="1" applyFont="1" applyFill="1" applyBorder="1" applyAlignment="1" applyProtection="1">
      <alignment horizontal="left" wrapText="1" indent="2"/>
      <protection locked="0" hidden="1"/>
    </xf>
    <xf numFmtId="170" fontId="20" fillId="0" borderId="11" xfId="0" applyNumberFormat="1" applyFont="1" applyFill="1" applyBorder="1" applyAlignment="1" applyProtection="1">
      <alignment horizontal="right"/>
      <protection locked="0" hidden="1"/>
    </xf>
    <xf numFmtId="166" fontId="14" fillId="0" borderId="11" xfId="0" applyNumberFormat="1" applyFont="1" applyFill="1" applyBorder="1" applyAlignment="1" applyProtection="1">
      <alignment horizontal="right" indent="2"/>
      <protection locked="0" hidden="1"/>
    </xf>
    <xf numFmtId="166" fontId="20" fillId="0" borderId="1" xfId="0" applyNumberFormat="1" applyFont="1" applyFill="1" applyBorder="1" applyAlignment="1" applyProtection="1">
      <alignment horizontal="left" wrapText="1" indent="2"/>
      <protection locked="0" hidden="1"/>
    </xf>
    <xf numFmtId="166" fontId="29" fillId="0" borderId="1" xfId="0" applyNumberFormat="1" applyFont="1" applyFill="1" applyBorder="1" applyAlignment="1" applyProtection="1">
      <alignment horizontal="left" wrapText="1" indent="1"/>
      <protection locked="0" hidden="1"/>
    </xf>
    <xf numFmtId="170" fontId="29" fillId="0" borderId="11" xfId="0" applyNumberFormat="1" applyFont="1" applyFill="1" applyBorder="1" applyAlignment="1" applyProtection="1">
      <alignment horizontal="right"/>
      <protection locked="0" hidden="1"/>
    </xf>
    <xf numFmtId="170" fontId="20" fillId="0" borderId="8" xfId="0" applyNumberFormat="1" applyFont="1" applyFill="1" applyBorder="1" applyAlignment="1" applyProtection="1">
      <alignment horizontal="right"/>
      <protection locked="0" hidden="1"/>
    </xf>
    <xf numFmtId="166" fontId="3" fillId="0" borderId="7" xfId="0" applyNumberFormat="1" applyFont="1" applyFill="1" applyBorder="1" applyAlignment="1" applyProtection="1">
      <protection locked="0" hidden="1"/>
    </xf>
    <xf numFmtId="166" fontId="38" fillId="0" borderId="0" xfId="0" applyNumberFormat="1" applyFont="1" applyFill="1" applyAlignment="1" applyProtection="1">
      <protection locked="0" hidden="1"/>
    </xf>
    <xf numFmtId="166" fontId="20" fillId="0" borderId="7" xfId="0" applyNumberFormat="1" applyFont="1" applyFill="1" applyBorder="1" applyAlignment="1" applyProtection="1">
      <alignment horizontal="right" readingOrder="2"/>
      <protection locked="0" hidden="1"/>
    </xf>
    <xf numFmtId="166" fontId="31" fillId="0" borderId="0" xfId="0" applyNumberFormat="1" applyFont="1" applyFill="1" applyAlignment="1" applyProtection="1">
      <protection locked="0" hidden="1"/>
    </xf>
    <xf numFmtId="166" fontId="3" fillId="0" borderId="0" xfId="0" applyNumberFormat="1" applyFont="1" applyFill="1" applyAlignment="1" applyProtection="1">
      <alignment horizontal="centerContinuous"/>
      <protection locked="0" hidden="1"/>
    </xf>
    <xf numFmtId="166" fontId="14" fillId="0" borderId="0" xfId="0" applyNumberFormat="1" applyFont="1" applyFill="1" applyAlignment="1" applyProtection="1">
      <alignment horizontal="centerContinuous"/>
      <protection locked="0" hidden="1"/>
    </xf>
    <xf numFmtId="166" fontId="12" fillId="0" borderId="11" xfId="0" applyFont="1" applyFill="1" applyBorder="1" applyAlignment="1">
      <alignment horizontal="center" vertical="center" wrapText="1" readingOrder="2"/>
      <protection locked="0" hidden="1"/>
    </xf>
    <xf numFmtId="166" fontId="10" fillId="0" borderId="8" xfId="0" applyFont="1" applyFill="1" applyBorder="1" applyAlignment="1">
      <alignment horizontal="center" vertical="center" wrapText="1" readingOrder="1"/>
      <protection locked="0" hidden="1"/>
    </xf>
    <xf numFmtId="0" fontId="10" fillId="0" borderId="3" xfId="0" applyNumberFormat="1" applyFont="1" applyFill="1" applyBorder="1" applyAlignment="1" applyProtection="1">
      <alignment horizontal="left" vertical="center" indent="2"/>
    </xf>
    <xf numFmtId="0" fontId="17" fillId="0" borderId="10" xfId="0" applyNumberFormat="1" applyFont="1" applyFill="1" applyBorder="1" applyAlignment="1" applyProtection="1">
      <alignment horizontal="right" indent="2" readingOrder="2"/>
    </xf>
    <xf numFmtId="0" fontId="23" fillId="0" borderId="0" xfId="0" applyNumberFormat="1" applyFont="1" applyFill="1" applyAlignment="1" applyProtection="1">
      <alignment horizontal="left"/>
    </xf>
    <xf numFmtId="166" fontId="21" fillId="0" borderId="0" xfId="0" applyFont="1" applyFill="1" applyAlignment="1">
      <alignment horizontal="center" wrapText="1"/>
      <protection locked="0" hidden="1"/>
    </xf>
    <xf numFmtId="166" fontId="21" fillId="0" borderId="0" xfId="0" applyFont="1" applyFill="1" applyAlignment="1">
      <alignment wrapText="1"/>
      <protection locked="0" hidden="1"/>
    </xf>
    <xf numFmtId="166" fontId="9" fillId="0" borderId="12" xfId="0" applyFont="1" applyFill="1" applyBorder="1" applyAlignment="1">
      <alignment vertical="center" readingOrder="2"/>
      <protection locked="0" hidden="1"/>
    </xf>
    <xf numFmtId="166" fontId="5" fillId="0" borderId="5" xfId="0" applyFont="1" applyFill="1" applyBorder="1" applyAlignment="1">
      <alignment vertical="center"/>
      <protection locked="0" hidden="1"/>
    </xf>
    <xf numFmtId="166" fontId="9" fillId="0" borderId="5" xfId="0" applyFont="1" applyFill="1" applyBorder="1" applyAlignment="1">
      <alignment horizontal="left" vertical="center"/>
      <protection locked="0" hidden="1"/>
    </xf>
    <xf numFmtId="166" fontId="9" fillId="0" borderId="11" xfId="0" applyFont="1" applyFill="1" applyBorder="1" applyAlignment="1">
      <alignment vertical="center" readingOrder="2"/>
      <protection locked="0" hidden="1"/>
    </xf>
    <xf numFmtId="166" fontId="5" fillId="0" borderId="5" xfId="0" applyFont="1" applyFill="1" applyBorder="1" applyAlignment="1">
      <alignment vertical="center" wrapText="1"/>
      <protection locked="0" hidden="1"/>
    </xf>
    <xf numFmtId="166" fontId="9" fillId="0" borderId="0" xfId="0" applyFont="1" applyFill="1" applyBorder="1" applyAlignment="1">
      <alignment horizontal="center" vertical="center" wrapText="1"/>
      <protection locked="0" hidden="1"/>
    </xf>
    <xf numFmtId="166" fontId="9" fillId="0" borderId="1" xfId="0" applyFont="1" applyFill="1" applyBorder="1" applyAlignment="1">
      <alignment horizontal="center" vertical="center" wrapText="1"/>
      <protection locked="0" hidden="1"/>
    </xf>
    <xf numFmtId="166" fontId="9" fillId="0" borderId="8" xfId="0" applyFont="1" applyFill="1" applyBorder="1" applyAlignment="1">
      <alignment vertical="center" readingOrder="2"/>
      <protection locked="0" hidden="1"/>
    </xf>
    <xf numFmtId="166" fontId="5" fillId="0" borderId="8" xfId="0" applyFont="1" applyFill="1" applyBorder="1" applyAlignment="1">
      <alignment horizontal="center" vertical="center" wrapText="1"/>
      <protection locked="0" hidden="1"/>
    </xf>
    <xf numFmtId="166" fontId="5" fillId="0" borderId="4" xfId="0" applyFont="1" applyFill="1" applyBorder="1" applyAlignment="1">
      <alignment horizontal="center" vertical="center" wrapText="1"/>
      <protection locked="0" hidden="1"/>
    </xf>
    <xf numFmtId="209" fontId="10" fillId="0" borderId="0" xfId="0" applyNumberFormat="1" applyFont="1" applyFill="1" applyBorder="1" applyAlignment="1">
      <alignment horizontal="left"/>
      <protection locked="0" hidden="1"/>
    </xf>
    <xf numFmtId="2" fontId="4" fillId="0" borderId="0" xfId="18" applyNumberFormat="1" applyFont="1" applyFill="1" applyBorder="1" applyAlignment="1">
      <alignment horizontal="right" indent="3"/>
      <protection locked="0" hidden="1"/>
    </xf>
    <xf numFmtId="2" fontId="4" fillId="0" borderId="0" xfId="18" applyNumberFormat="1" applyFont="1" applyFill="1" applyBorder="1" applyAlignment="1">
      <alignment horizontal="right" indent="1"/>
      <protection locked="0" hidden="1"/>
    </xf>
    <xf numFmtId="2" fontId="4" fillId="0" borderId="0" xfId="18" applyNumberFormat="1" applyFont="1" applyFill="1" applyBorder="1" applyAlignment="1">
      <alignment horizontal="right" indent="2"/>
      <protection locked="0" hidden="1"/>
    </xf>
    <xf numFmtId="166" fontId="4" fillId="0" borderId="0" xfId="0" applyFont="1" applyFill="1" applyBorder="1" applyAlignment="1">
      <alignment horizontal="centerContinuous"/>
      <protection locked="0" hidden="1"/>
    </xf>
    <xf numFmtId="166" fontId="4" fillId="0" borderId="0" xfId="0" applyFont="1" applyFill="1" applyAlignment="1">
      <alignment horizontal="right"/>
      <protection locked="0" hidden="1"/>
    </xf>
    <xf numFmtId="166" fontId="5" fillId="0" borderId="22" xfId="0" applyFont="1" applyFill="1" applyBorder="1" applyAlignment="1">
      <alignment horizontal="right" vertical="center" indent="1"/>
      <protection locked="0" hidden="1"/>
    </xf>
    <xf numFmtId="166" fontId="5" fillId="0" borderId="21" xfId="0" applyFont="1" applyFill="1" applyBorder="1" applyAlignment="1">
      <alignment horizontal="left" vertical="center" indent="1"/>
      <protection locked="0" hidden="1"/>
    </xf>
    <xf numFmtId="2" fontId="21" fillId="0" borderId="7" xfId="18" applyNumberFormat="1" applyFont="1" applyFill="1" applyBorder="1" applyAlignment="1">
      <alignment horizontal="right" indent="3"/>
      <protection locked="0" hidden="1"/>
    </xf>
    <xf numFmtId="2" fontId="21" fillId="0" borderId="7" xfId="18" applyNumberFormat="1" applyFont="1" applyFill="1" applyBorder="1" applyAlignment="1">
      <alignment horizontal="right" indent="1"/>
      <protection locked="0" hidden="1"/>
    </xf>
    <xf numFmtId="2" fontId="21" fillId="0" borderId="7" xfId="18" applyNumberFormat="1" applyFont="1" applyFill="1" applyBorder="1" applyAlignment="1">
      <alignment horizontal="right" indent="2"/>
      <protection locked="0" hidden="1"/>
    </xf>
    <xf numFmtId="166" fontId="4" fillId="0" borderId="7" xfId="0" applyFont="1" applyFill="1" applyBorder="1" applyAlignment="1">
      <protection locked="0" hidden="1"/>
    </xf>
    <xf numFmtId="209" fontId="5" fillId="0" borderId="12" xfId="0" applyNumberFormat="1" applyFont="1" applyFill="1" applyBorder="1" applyAlignment="1">
      <alignment horizontal="left" indent="1"/>
      <protection locked="0" hidden="1"/>
    </xf>
    <xf numFmtId="209" fontId="5" fillId="0" borderId="11" xfId="0" applyNumberFormat="1" applyFont="1" applyFill="1" applyBorder="1" applyAlignment="1">
      <alignment horizontal="left" indent="1"/>
      <protection locked="0" hidden="1"/>
    </xf>
    <xf numFmtId="166" fontId="9" fillId="0" borderId="12" xfId="0" applyFont="1" applyFill="1" applyBorder="1" applyAlignment="1">
      <alignment horizontal="right" vertical="center" indent="1" readingOrder="2"/>
      <protection locked="0" hidden="1"/>
    </xf>
    <xf numFmtId="166" fontId="9" fillId="0" borderId="11" xfId="0" applyFont="1" applyFill="1" applyBorder="1" applyAlignment="1">
      <alignment horizontal="right" vertical="center" indent="1" readingOrder="2"/>
      <protection locked="0" hidden="1"/>
    </xf>
    <xf numFmtId="209" fontId="5" fillId="0" borderId="11" xfId="0" applyNumberFormat="1" applyFont="1" applyFill="1" applyBorder="1" applyAlignment="1">
      <alignment horizontal="right" indent="1"/>
      <protection locked="0" hidden="1"/>
    </xf>
    <xf numFmtId="22" fontId="23" fillId="0" borderId="0" xfId="0" applyNumberFormat="1" applyFont="1" applyFill="1" applyAlignment="1" applyProtection="1">
      <alignment horizontal="left"/>
    </xf>
    <xf numFmtId="2" fontId="21" fillId="0" borderId="12" xfId="0" applyNumberFormat="1" applyFont="1" applyFill="1" applyBorder="1" applyAlignment="1">
      <alignment horizontal="right" indent="2"/>
      <protection locked="0" hidden="1"/>
    </xf>
    <xf numFmtId="2" fontId="21" fillId="0" borderId="11" xfId="18" applyNumberFormat="1" applyFont="1" applyFill="1" applyBorder="1" applyAlignment="1">
      <alignment horizontal="right" indent="2"/>
      <protection locked="0" hidden="1"/>
    </xf>
    <xf numFmtId="2" fontId="40" fillId="0" borderId="11" xfId="18" applyNumberFormat="1" applyFont="1" applyFill="1" applyBorder="1" applyAlignment="1">
      <alignment horizontal="right" indent="2"/>
      <protection locked="0" hidden="1"/>
    </xf>
    <xf numFmtId="2" fontId="21" fillId="0" borderId="12" xfId="0" applyNumberFormat="1" applyFont="1" applyFill="1" applyBorder="1" applyAlignment="1">
      <alignment horizontal="right" indent="3"/>
      <protection locked="0" hidden="1"/>
    </xf>
    <xf numFmtId="2" fontId="21" fillId="0" borderId="11" xfId="18" applyNumberFormat="1" applyFont="1" applyFill="1" applyBorder="1" applyAlignment="1">
      <alignment horizontal="right" indent="3"/>
      <protection locked="0" hidden="1"/>
    </xf>
    <xf numFmtId="2" fontId="40" fillId="0" borderId="11" xfId="18" applyNumberFormat="1" applyFont="1" applyFill="1" applyBorder="1" applyAlignment="1">
      <alignment horizontal="right" indent="3"/>
      <protection locked="0" hidden="1"/>
    </xf>
    <xf numFmtId="2" fontId="21" fillId="0" borderId="12" xfId="0" applyNumberFormat="1" applyFont="1" applyFill="1" applyBorder="1" applyAlignment="1">
      <alignment horizontal="right" indent="4"/>
      <protection locked="0" hidden="1"/>
    </xf>
    <xf numFmtId="2" fontId="21" fillId="0" borderId="11" xfId="18" applyNumberFormat="1" applyFont="1" applyFill="1" applyBorder="1" applyAlignment="1">
      <alignment horizontal="right" indent="4"/>
      <protection locked="0" hidden="1"/>
    </xf>
    <xf numFmtId="2" fontId="40" fillId="0" borderId="11" xfId="18" applyNumberFormat="1" applyFont="1" applyFill="1" applyBorder="1" applyAlignment="1">
      <alignment horizontal="right" indent="4"/>
      <protection locked="0" hidden="1"/>
    </xf>
    <xf numFmtId="164" fontId="14" fillId="0" borderId="0" xfId="0" applyNumberFormat="1" applyFont="1" applyFill="1" applyAlignment="1" applyProtection="1">
      <alignment horizontal="centerContinuous"/>
    </xf>
    <xf numFmtId="164" fontId="14" fillId="0" borderId="0" xfId="0" applyNumberFormat="1" applyFont="1" applyFill="1" applyAlignment="1" applyProtection="1"/>
    <xf numFmtId="164" fontId="13" fillId="0" borderId="0" xfId="0" applyNumberFormat="1" applyFont="1" applyFill="1" applyAlignment="1" applyProtection="1">
      <alignment horizontal="right"/>
    </xf>
    <xf numFmtId="164" fontId="26" fillId="0" borderId="0" xfId="0" applyNumberFormat="1" applyFont="1" applyFill="1" applyAlignment="1" applyProtection="1"/>
    <xf numFmtId="164" fontId="6" fillId="0" borderId="0" xfId="0" applyNumberFormat="1" applyFont="1" applyFill="1" applyAlignment="1" applyProtection="1"/>
    <xf numFmtId="164" fontId="4" fillId="0" borderId="0" xfId="0" applyNumberFormat="1" applyFont="1" applyFill="1" applyAlignment="1" applyProtection="1"/>
    <xf numFmtId="164" fontId="3" fillId="0" borderId="0" xfId="0" applyNumberFormat="1" applyFont="1" applyFill="1" applyAlignment="1" applyProtection="1"/>
    <xf numFmtId="0" fontId="15" fillId="0" borderId="2" xfId="0" applyNumberFormat="1" applyFont="1" applyFill="1" applyBorder="1" applyAlignment="1" applyProtection="1"/>
    <xf numFmtId="0" fontId="6" fillId="0" borderId="2" xfId="0" applyNumberFormat="1" applyFont="1" applyFill="1" applyBorder="1" applyAlignment="1" applyProtection="1">
      <alignment wrapText="1"/>
    </xf>
    <xf numFmtId="165" fontId="3" fillId="0" borderId="11" xfId="0" applyNumberFormat="1" applyFont="1" applyFill="1" applyBorder="1" applyAlignment="1">
      <alignment horizontal="right" indent="2"/>
      <protection locked="0" hidden="1"/>
    </xf>
    <xf numFmtId="166" fontId="12" fillId="0" borderId="5" xfId="0" applyFont="1" applyFill="1" applyBorder="1" applyAlignment="1">
      <alignment horizontal="right" vertical="center" readingOrder="2"/>
      <protection locked="0" hidden="1"/>
    </xf>
    <xf numFmtId="166" fontId="12" fillId="0" borderId="12" xfId="0" applyFont="1" applyFill="1" applyBorder="1" applyAlignment="1">
      <alignment horizontal="center" vertical="center" wrapText="1"/>
      <protection locked="0" hidden="1"/>
    </xf>
    <xf numFmtId="166" fontId="12" fillId="0" borderId="12" xfId="0" applyFont="1" applyFill="1" applyBorder="1" applyAlignment="1">
      <alignment horizontal="right" vertical="center" readingOrder="2"/>
      <protection locked="0" hidden="1"/>
    </xf>
    <xf numFmtId="166" fontId="9" fillId="0" borderId="5" xfId="0" applyFont="1" applyFill="1" applyBorder="1" applyAlignment="1">
      <alignment horizontal="right" vertical="center" indent="1" readingOrder="2"/>
      <protection locked="0" hidden="1"/>
    </xf>
    <xf numFmtId="166" fontId="4" fillId="0" borderId="0" xfId="0" applyNumberFormat="1" applyFont="1" applyFill="1" applyAlignment="1" applyProtection="1">
      <alignment horizontal="centerContinuous"/>
      <protection locked="0" hidden="1"/>
    </xf>
    <xf numFmtId="166" fontId="4" fillId="0" borderId="0" xfId="0" applyNumberFormat="1" applyFont="1" applyFill="1" applyAlignment="1" applyProtection="1">
      <protection locked="0" hidden="1"/>
    </xf>
    <xf numFmtId="166" fontId="18" fillId="0" borderId="0" xfId="0" applyNumberFormat="1" applyFont="1" applyFill="1" applyAlignment="1" applyProtection="1">
      <protection locked="0" hidden="1"/>
    </xf>
    <xf numFmtId="166" fontId="13" fillId="0" borderId="0" xfId="0" applyNumberFormat="1" applyFont="1" applyFill="1" applyAlignment="1" applyProtection="1">
      <protection locked="0" hidden="1"/>
    </xf>
    <xf numFmtId="166" fontId="27" fillId="0" borderId="2" xfId="0" applyNumberFormat="1" applyFont="1" applyFill="1" applyBorder="1" applyAlignment="1" applyProtection="1">
      <protection locked="0" hidden="1"/>
    </xf>
    <xf numFmtId="166" fontId="27" fillId="0" borderId="6" xfId="0" applyNumberFormat="1" applyFont="1" applyFill="1" applyBorder="1" applyAlignment="1" applyProtection="1">
      <alignment horizontal="centerContinuous"/>
      <protection locked="0" hidden="1"/>
    </xf>
    <xf numFmtId="166" fontId="27" fillId="0" borderId="21" xfId="0" applyNumberFormat="1" applyFont="1" applyFill="1" applyBorder="1" applyAlignment="1" applyProtection="1">
      <alignment horizontal="left" vertical="center" indent="1"/>
      <protection locked="0" hidden="1"/>
    </xf>
    <xf numFmtId="166" fontId="27" fillId="0" borderId="21" xfId="0" applyNumberFormat="1" applyFont="1" applyFill="1" applyBorder="1" applyAlignment="1" applyProtection="1">
      <alignment horizontal="left" vertical="center" indent="2"/>
      <protection locked="0" hidden="1"/>
    </xf>
    <xf numFmtId="166" fontId="27" fillId="0" borderId="5" xfId="0" applyNumberFormat="1" applyFont="1" applyFill="1" applyBorder="1" applyAlignment="1" applyProtection="1">
      <alignment horizontal="left" vertical="center" indent="2"/>
      <protection locked="0" hidden="1"/>
    </xf>
    <xf numFmtId="166" fontId="27" fillId="0" borderId="22" xfId="0" applyNumberFormat="1" applyFont="1" applyFill="1" applyBorder="1" applyAlignment="1" applyProtection="1">
      <alignment horizontal="right" vertical="center" indent="1"/>
      <protection locked="0" hidden="1"/>
    </xf>
    <xf numFmtId="166" fontId="27" fillId="0" borderId="12" xfId="0" applyNumberFormat="1" applyFont="1" applyFill="1" applyBorder="1" applyAlignment="1" applyProtection="1">
      <alignment horizontal="right" vertical="center" indent="2"/>
      <protection locked="0" hidden="1"/>
    </xf>
    <xf numFmtId="166" fontId="27" fillId="0" borderId="0" xfId="0" applyNumberFormat="1" applyFont="1" applyFill="1" applyAlignment="1" applyProtection="1">
      <protection locked="0" hidden="1"/>
    </xf>
    <xf numFmtId="166" fontId="27" fillId="0" borderId="1" xfId="0" applyNumberFormat="1" applyFont="1" applyFill="1" applyBorder="1" applyAlignment="1" applyProtection="1">
      <protection locked="0" hidden="1"/>
    </xf>
    <xf numFmtId="0" fontId="27" fillId="0" borderId="2" xfId="0" applyNumberFormat="1" applyFont="1" applyFill="1" applyBorder="1" applyAlignment="1" applyProtection="1">
      <alignment horizontal="centerContinuous" vertical="center"/>
      <protection locked="0" hidden="1"/>
    </xf>
    <xf numFmtId="166" fontId="27" fillId="0" borderId="7" xfId="0" applyNumberFormat="1" applyFont="1" applyFill="1" applyBorder="1" applyAlignment="1" applyProtection="1">
      <alignment horizontal="centerContinuous" vertical="center"/>
      <protection locked="0" hidden="1"/>
    </xf>
    <xf numFmtId="166" fontId="27" fillId="0" borderId="6" xfId="0" applyNumberFormat="1" applyFont="1" applyFill="1" applyBorder="1" applyAlignment="1" applyProtection="1">
      <alignment horizontal="centerContinuous" vertical="center"/>
      <protection locked="0" hidden="1"/>
    </xf>
    <xf numFmtId="166" fontId="27" fillId="0" borderId="12" xfId="0" applyNumberFormat="1" applyFont="1" applyFill="1" applyBorder="1" applyAlignment="1" applyProtection="1">
      <alignment horizontal="centerContinuous" vertical="center" readingOrder="2"/>
      <protection locked="0" hidden="1"/>
    </xf>
    <xf numFmtId="166" fontId="27" fillId="0" borderId="2" xfId="0" applyNumberFormat="1" applyFont="1" applyFill="1" applyBorder="1" applyAlignment="1" applyProtection="1">
      <alignment horizontal="centerContinuous" vertical="center" readingOrder="2"/>
      <protection locked="0" hidden="1"/>
    </xf>
    <xf numFmtId="166" fontId="12" fillId="0" borderId="1" xfId="0" applyNumberFormat="1" applyFont="1" applyFill="1" applyBorder="1" applyAlignment="1" applyProtection="1">
      <alignment horizontal="centerContinuous" vertical="center" readingOrder="2"/>
      <protection locked="0" hidden="1"/>
    </xf>
    <xf numFmtId="166" fontId="10" fillId="0" borderId="9" xfId="0" applyNumberFormat="1" applyFont="1" applyFill="1" applyBorder="1" applyAlignment="1" applyProtection="1">
      <alignment horizontal="centerContinuous" vertical="center"/>
      <protection locked="0" hidden="1"/>
    </xf>
    <xf numFmtId="166" fontId="27" fillId="0" borderId="8"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vertical="center"/>
      <protection locked="0" hidden="1"/>
    </xf>
    <xf numFmtId="0" fontId="27" fillId="0" borderId="3"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vertical="center" readingOrder="2"/>
      <protection locked="0" hidden="1"/>
    </xf>
    <xf numFmtId="166" fontId="27" fillId="0" borderId="1" xfId="0" applyNumberFormat="1" applyFont="1" applyFill="1" applyBorder="1" applyAlignment="1" applyProtection="1">
      <alignment horizontal="center" vertical="center" readingOrder="1"/>
      <protection locked="0" hidden="1"/>
    </xf>
    <xf numFmtId="166" fontId="27" fillId="0" borderId="4"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protection locked="0" hidden="1"/>
    </xf>
    <xf numFmtId="0" fontId="27" fillId="0" borderId="10" xfId="0" applyNumberFormat="1" applyFont="1" applyFill="1" applyBorder="1" applyAlignment="1" applyProtection="1">
      <alignment horizontal="centerContinuous" vertical="center"/>
      <protection locked="0" hidden="1"/>
    </xf>
    <xf numFmtId="166" fontId="27" fillId="0" borderId="11" xfId="0" applyNumberFormat="1" applyFont="1" applyFill="1" applyBorder="1" applyAlignment="1" applyProtection="1">
      <alignment horizontal="center" vertical="center" readingOrder="1"/>
      <protection locked="0" hidden="1"/>
    </xf>
    <xf numFmtId="166" fontId="10" fillId="0" borderId="1" xfId="0" applyNumberFormat="1" applyFont="1" applyFill="1" applyBorder="1" applyAlignment="1" applyProtection="1">
      <alignment horizontal="centerContinuous" vertical="top"/>
      <protection locked="0" hidden="1"/>
    </xf>
    <xf numFmtId="166" fontId="10" fillId="0" borderId="9" xfId="0" applyNumberFormat="1" applyFont="1" applyFill="1" applyBorder="1" applyAlignment="1" applyProtection="1">
      <alignment horizontal="centerContinuous" vertical="top"/>
      <protection locked="0" hidden="1"/>
    </xf>
    <xf numFmtId="166" fontId="27" fillId="0" borderId="9" xfId="0" applyNumberFormat="1" applyFont="1" applyFill="1" applyBorder="1" applyAlignment="1" applyProtection="1">
      <protection locked="0" hidden="1"/>
    </xf>
    <xf numFmtId="166" fontId="27" fillId="0" borderId="11" xfId="0" applyNumberFormat="1" applyFont="1" applyFill="1" applyBorder="1" applyAlignment="1" applyProtection="1">
      <alignment horizontal="center" vertical="top"/>
      <protection locked="0" hidden="1"/>
    </xf>
    <xf numFmtId="166" fontId="27" fillId="0" borderId="8" xfId="0" applyNumberFormat="1" applyFont="1" applyFill="1" applyBorder="1" applyAlignment="1" applyProtection="1">
      <alignment horizontal="center" vertical="top"/>
      <protection locked="0" hidden="1"/>
    </xf>
    <xf numFmtId="164" fontId="4" fillId="0" borderId="12" xfId="0" applyNumberFormat="1" applyFont="1" applyFill="1" applyBorder="1" applyAlignment="1" applyProtection="1">
      <alignment horizontal="right" indent="1" readingOrder="1"/>
      <protection locked="0" hidden="1"/>
    </xf>
    <xf numFmtId="165" fontId="4" fillId="0" borderId="12" xfId="0" applyNumberFormat="1" applyFont="1" applyFill="1" applyBorder="1" applyAlignment="1" applyProtection="1">
      <alignment horizontal="right" indent="1"/>
      <protection locked="0" hidden="1"/>
    </xf>
    <xf numFmtId="165" fontId="4" fillId="0" borderId="12" xfId="0" applyNumberFormat="1" applyFont="1" applyFill="1" applyBorder="1" applyAlignment="1" applyProtection="1">
      <alignment horizontal="right" indent="1" readingOrder="1"/>
      <protection locked="0" hidden="1"/>
    </xf>
    <xf numFmtId="164" fontId="4" fillId="0" borderId="11" xfId="0" applyNumberFormat="1" applyFont="1" applyFill="1" applyBorder="1" applyAlignment="1" applyProtection="1">
      <alignment horizontal="right" indent="1" readingOrder="1"/>
      <protection locked="0" hidden="1"/>
    </xf>
    <xf numFmtId="165" fontId="4" fillId="0" borderId="11" xfId="0" applyNumberFormat="1" applyFont="1" applyFill="1" applyBorder="1" applyAlignment="1" applyProtection="1">
      <alignment horizontal="right" indent="1"/>
      <protection locked="0" hidden="1"/>
    </xf>
    <xf numFmtId="165" fontId="4" fillId="0" borderId="11" xfId="0" applyNumberFormat="1" applyFont="1" applyFill="1" applyBorder="1" applyAlignment="1" applyProtection="1">
      <alignment horizontal="right" indent="1" readingOrder="1"/>
      <protection locked="0" hidden="1"/>
    </xf>
    <xf numFmtId="166" fontId="4" fillId="0" borderId="0" xfId="0" applyNumberFormat="1" applyFont="1" applyFill="1" applyBorder="1" applyAlignment="1" applyProtection="1">
      <protection locked="0" hidden="1"/>
    </xf>
    <xf numFmtId="166" fontId="41" fillId="0" borderId="0" xfId="0" applyNumberFormat="1" applyFont="1" applyFill="1" applyAlignment="1" applyProtection="1">
      <alignment horizontal="centerContinuous"/>
      <protection locked="0" hidden="1"/>
    </xf>
    <xf numFmtId="166" fontId="20" fillId="0" borderId="0" xfId="0" applyNumberFormat="1" applyFont="1" applyFill="1" applyAlignment="1" applyProtection="1">
      <alignment horizontal="centerContinuous"/>
      <protection locked="0" hidden="1"/>
    </xf>
    <xf numFmtId="187" fontId="20" fillId="0" borderId="11" xfId="0" applyNumberFormat="1" applyFont="1" applyFill="1" applyBorder="1" applyAlignment="1">
      <protection locked="0" hidden="1"/>
    </xf>
    <xf numFmtId="166" fontId="14" fillId="0" borderId="0" xfId="0" applyFont="1" applyFill="1" applyAlignment="1">
      <alignment horizontal="right" readingOrder="2"/>
      <protection locked="0" hidden="1"/>
    </xf>
    <xf numFmtId="166" fontId="14" fillId="0" borderId="0" xfId="0" applyFont="1" applyFill="1" applyBorder="1" applyAlignment="1">
      <alignment horizontal="right" readingOrder="2"/>
      <protection locked="0" hidden="1"/>
    </xf>
    <xf numFmtId="0" fontId="19" fillId="0" borderId="0" xfId="22" applyFont="1" applyBorder="1" applyAlignment="1">
      <alignment horizontal="center"/>
    </xf>
    <xf numFmtId="166" fontId="19" fillId="0" borderId="1" xfId="0" applyNumberFormat="1" applyFont="1" applyFill="1" applyBorder="1" applyAlignment="1">
      <alignment horizontal="center"/>
      <protection locked="0" hidden="1"/>
    </xf>
    <xf numFmtId="0" fontId="19" fillId="0" borderId="0" xfId="22" applyFont="1" applyBorder="1" applyAlignment="1">
      <alignment horizontal="left"/>
    </xf>
    <xf numFmtId="0" fontId="16" fillId="0" borderId="2" xfId="22" applyFont="1" applyBorder="1"/>
    <xf numFmtId="0" fontId="16" fillId="0" borderId="12" xfId="22" applyFont="1" applyBorder="1"/>
    <xf numFmtId="0" fontId="19" fillId="0" borderId="11" xfId="22" applyFont="1" applyBorder="1" applyAlignment="1">
      <alignment horizontal="center" vertical="center"/>
    </xf>
    <xf numFmtId="0" fontId="16" fillId="0" borderId="0" xfId="22" applyFont="1" applyFill="1" applyBorder="1" applyAlignment="1">
      <alignment horizontal="center"/>
    </xf>
    <xf numFmtId="0" fontId="16" fillId="0" borderId="0" xfId="22" applyFont="1" applyFill="1" applyBorder="1"/>
    <xf numFmtId="165" fontId="20" fillId="0" borderId="11" xfId="0" applyNumberFormat="1" applyFont="1" applyFill="1" applyBorder="1" applyAlignment="1">
      <alignment horizontal="right" indent="1"/>
      <protection locked="0" hidden="1"/>
    </xf>
    <xf numFmtId="164" fontId="16" fillId="0" borderId="7" xfId="0" applyNumberFormat="1" applyFont="1" applyFill="1" applyBorder="1" applyAlignment="1" applyProtection="1"/>
    <xf numFmtId="164" fontId="16" fillId="0" borderId="7" xfId="0" applyNumberFormat="1" applyFont="1" applyFill="1" applyBorder="1" applyAlignment="1" applyProtection="1">
      <alignment horizontal="centerContinuous"/>
    </xf>
    <xf numFmtId="164" fontId="16" fillId="0" borderId="7" xfId="0" applyNumberFormat="1" applyFont="1" applyFill="1" applyBorder="1" applyAlignment="1" applyProtection="1">
      <alignment horizontal="right"/>
    </xf>
    <xf numFmtId="167" fontId="20" fillId="0" borderId="11" xfId="0" applyNumberFormat="1" applyFont="1" applyFill="1" applyBorder="1" applyAlignment="1">
      <alignment horizontal="right"/>
      <protection locked="0" hidden="1"/>
    </xf>
    <xf numFmtId="166" fontId="20" fillId="0" borderId="0" xfId="0" applyFont="1" applyFill="1" applyAlignment="1">
      <alignment horizontal="centerContinuous"/>
      <protection locked="0" hidden="1"/>
    </xf>
    <xf numFmtId="165" fontId="14" fillId="0" borderId="15" xfId="0" applyNumberFormat="1" applyFont="1" applyFill="1" applyBorder="1" applyAlignment="1">
      <alignment horizontal="right"/>
      <protection locked="0" hidden="1"/>
    </xf>
    <xf numFmtId="165" fontId="6" fillId="0" borderId="25" xfId="1" applyNumberFormat="1" applyFont="1" applyBorder="1" applyAlignment="1">
      <alignment horizontal="right" indent="2"/>
    </xf>
    <xf numFmtId="165" fontId="6" fillId="0" borderId="27" xfId="1" applyNumberFormat="1" applyFont="1" applyBorder="1" applyAlignment="1">
      <alignment horizontal="right" indent="2"/>
    </xf>
    <xf numFmtId="165" fontId="6" fillId="0" borderId="26" xfId="1" applyNumberFormat="1" applyFont="1" applyBorder="1" applyAlignment="1">
      <alignment horizontal="right" indent="2"/>
    </xf>
    <xf numFmtId="206" fontId="16" fillId="0" borderId="0" xfId="0" applyNumberFormat="1" applyFont="1" applyFill="1" applyBorder="1" applyAlignment="1">
      <alignment horizontal="right" readingOrder="2"/>
      <protection locked="0" hidden="1"/>
    </xf>
    <xf numFmtId="164" fontId="6" fillId="0" borderId="0" xfId="0" applyNumberFormat="1" applyFont="1" applyFill="1" applyBorder="1" applyAlignment="1" applyProtection="1">
      <alignment horizontal="right"/>
    </xf>
    <xf numFmtId="164" fontId="6" fillId="0" borderId="0" xfId="0" applyNumberFormat="1" applyFont="1" applyFill="1" applyAlignment="1" applyProtection="1">
      <alignment horizontal="right"/>
    </xf>
    <xf numFmtId="206" fontId="15" fillId="0" borderId="0" xfId="0" applyNumberFormat="1" applyFont="1" applyFill="1" applyAlignment="1">
      <protection locked="0" hidden="1"/>
    </xf>
    <xf numFmtId="179" fontId="20" fillId="0" borderId="11" xfId="0" applyNumberFormat="1" applyFont="1" applyFill="1" applyBorder="1" applyAlignment="1">
      <alignment horizontal="right"/>
      <protection locked="0" hidden="1"/>
    </xf>
    <xf numFmtId="16" fontId="12" fillId="0" borderId="9" xfId="0" applyNumberFormat="1" applyFont="1" applyFill="1" applyBorder="1" applyAlignment="1" applyProtection="1">
      <alignment horizontal="center"/>
    </xf>
    <xf numFmtId="0" fontId="19" fillId="0" borderId="11" xfId="22" applyFont="1" applyBorder="1" applyAlignment="1">
      <alignment horizontal="center"/>
    </xf>
    <xf numFmtId="189" fontId="16" fillId="0" borderId="11" xfId="0" applyNumberFormat="1" applyFont="1" applyFill="1" applyBorder="1" applyAlignment="1">
      <alignment horizontal="right"/>
      <protection locked="0" hidden="1"/>
    </xf>
    <xf numFmtId="172" fontId="16" fillId="0" borderId="11" xfId="0" applyNumberFormat="1" applyFont="1" applyFill="1" applyBorder="1" applyAlignment="1">
      <alignment horizontal="right"/>
      <protection locked="0" hidden="1"/>
    </xf>
    <xf numFmtId="188" fontId="16" fillId="0" borderId="11" xfId="0" applyNumberFormat="1" applyFont="1" applyFill="1" applyBorder="1" applyAlignment="1">
      <alignment horizontal="right"/>
      <protection locked="0" hidden="1"/>
    </xf>
    <xf numFmtId="185" fontId="20" fillId="0" borderId="1" xfId="0" applyNumberFormat="1" applyFont="1" applyFill="1" applyBorder="1" applyAlignment="1">
      <alignment horizontal="right"/>
      <protection locked="0" hidden="1"/>
    </xf>
    <xf numFmtId="184" fontId="20" fillId="0" borderId="11" xfId="0" applyNumberFormat="1" applyFont="1" applyFill="1" applyBorder="1" applyAlignment="1">
      <alignment horizontal="right"/>
      <protection locked="0" hidden="1"/>
    </xf>
    <xf numFmtId="179" fontId="16" fillId="0" borderId="9" xfId="0" applyNumberFormat="1" applyFont="1" applyFill="1" applyBorder="1" applyAlignment="1">
      <alignment horizontal="right"/>
      <protection locked="0" hidden="1"/>
    </xf>
    <xf numFmtId="165" fontId="14" fillId="0" borderId="0" xfId="0" applyNumberFormat="1" applyFont="1" applyFill="1" applyBorder="1" applyAlignment="1">
      <alignment horizontal="right"/>
      <protection locked="0" hidden="1"/>
    </xf>
    <xf numFmtId="172" fontId="20" fillId="0" borderId="11" xfId="0" applyNumberFormat="1" applyFont="1" applyFill="1" applyBorder="1" applyAlignment="1">
      <protection locked="0" hidden="1"/>
    </xf>
    <xf numFmtId="177" fontId="20" fillId="0" borderId="11" xfId="0" applyNumberFormat="1" applyFont="1" applyFill="1" applyBorder="1" applyAlignment="1">
      <protection locked="0" hidden="1"/>
    </xf>
    <xf numFmtId="202" fontId="20" fillId="0" borderId="11" xfId="0" applyNumberFormat="1" applyFont="1" applyFill="1" applyBorder="1" applyAlignment="1">
      <protection locked="0" hidden="1"/>
    </xf>
    <xf numFmtId="178" fontId="20" fillId="0" borderId="19" xfId="0" applyNumberFormat="1" applyFont="1" applyFill="1" applyBorder="1" applyAlignment="1">
      <protection locked="0" hidden="1"/>
    </xf>
    <xf numFmtId="165" fontId="4" fillId="0" borderId="15" xfId="0" applyNumberFormat="1" applyFont="1" applyFill="1" applyBorder="1" applyAlignment="1">
      <alignment horizontal="right"/>
      <protection locked="0" hidden="1"/>
    </xf>
    <xf numFmtId="165" fontId="3" fillId="0" borderId="8" xfId="0" applyNumberFormat="1" applyFont="1" applyFill="1" applyBorder="1" applyAlignment="1" applyProtection="1">
      <protection locked="0"/>
    </xf>
    <xf numFmtId="165" fontId="16" fillId="0" borderId="11" xfId="0" applyNumberFormat="1" applyFont="1" applyFill="1" applyBorder="1" applyAlignment="1" applyProtection="1">
      <alignment horizontal="center" vertical="top"/>
      <protection locked="0" hidden="1"/>
    </xf>
    <xf numFmtId="165" fontId="20" fillId="0" borderId="11" xfId="0" applyNumberFormat="1" applyFont="1" applyFill="1" applyBorder="1" applyAlignment="1" applyProtection="1">
      <alignment horizontal="center"/>
      <protection locked="0" hidden="1"/>
    </xf>
    <xf numFmtId="165" fontId="4" fillId="0" borderId="1" xfId="0" applyNumberFormat="1" applyFont="1" applyFill="1" applyBorder="1" applyAlignment="1">
      <alignment horizontal="right"/>
      <protection locked="0" hidden="1"/>
    </xf>
    <xf numFmtId="190" fontId="16" fillId="0" borderId="11" xfId="0" applyNumberFormat="1" applyFont="1" applyFill="1" applyBorder="1" applyAlignment="1">
      <protection locked="0" hidden="1"/>
    </xf>
    <xf numFmtId="193" fontId="16" fillId="0" borderId="11" xfId="0" applyNumberFormat="1" applyFont="1" applyFill="1" applyBorder="1" applyAlignment="1">
      <protection locked="0" hidden="1"/>
    </xf>
    <xf numFmtId="192" fontId="16" fillId="0" borderId="11" xfId="0" applyNumberFormat="1" applyFont="1" applyFill="1" applyBorder="1" applyAlignment="1">
      <protection locked="0" hidden="1"/>
    </xf>
    <xf numFmtId="182" fontId="16" fillId="0" borderId="11" xfId="0" applyNumberFormat="1" applyFont="1" applyFill="1" applyBorder="1" applyAlignment="1">
      <protection locked="0" hidden="1"/>
    </xf>
    <xf numFmtId="177" fontId="16" fillId="0" borderId="40" xfId="0" applyNumberFormat="1" applyFont="1" applyFill="1" applyBorder="1" applyAlignment="1">
      <alignment horizontal="right"/>
      <protection locked="0" hidden="1"/>
    </xf>
    <xf numFmtId="179" fontId="16" fillId="0" borderId="11" xfId="0" applyNumberFormat="1" applyFont="1" applyFill="1" applyBorder="1" applyAlignment="1">
      <alignment horizontal="right"/>
      <protection locked="0" hidden="1"/>
    </xf>
    <xf numFmtId="185" fontId="20" fillId="0" borderId="11" xfId="0" applyNumberFormat="1" applyFont="1" applyFill="1" applyBorder="1" applyAlignment="1">
      <alignment horizontal="right"/>
      <protection locked="0" hidden="1"/>
    </xf>
    <xf numFmtId="171" fontId="20" fillId="0" borderId="11" xfId="0" applyNumberFormat="1" applyFont="1" applyFill="1" applyBorder="1" applyAlignment="1">
      <alignment horizontal="right"/>
      <protection locked="0" hidden="1"/>
    </xf>
    <xf numFmtId="172" fontId="16" fillId="0" borderId="1" xfId="0" applyNumberFormat="1" applyFont="1" applyFill="1" applyBorder="1" applyAlignment="1">
      <alignment horizontal="right"/>
      <protection locked="0" hidden="1"/>
    </xf>
    <xf numFmtId="187" fontId="16" fillId="0" borderId="0" xfId="0" applyNumberFormat="1" applyFont="1" applyFill="1" applyBorder="1" applyAlignment="1">
      <alignment horizontal="right"/>
      <protection locked="0" hidden="1"/>
    </xf>
    <xf numFmtId="178" fontId="20" fillId="0" borderId="11" xfId="0" applyNumberFormat="1" applyFont="1" applyFill="1" applyBorder="1" applyAlignment="1">
      <protection locked="0" hidden="1"/>
    </xf>
    <xf numFmtId="165" fontId="4" fillId="0" borderId="11" xfId="0" applyNumberFormat="1" applyFont="1" applyFill="1" applyBorder="1" applyAlignment="1">
      <alignment horizontal="right"/>
      <protection locked="0" hidden="1"/>
    </xf>
    <xf numFmtId="3" fontId="6" fillId="0" borderId="0" xfId="22" applyNumberFormat="1" applyFont="1" applyBorder="1" applyAlignment="1"/>
    <xf numFmtId="177" fontId="16" fillId="0" borderId="11" xfId="0" applyNumberFormat="1" applyFont="1" applyFill="1" applyBorder="1" applyAlignment="1">
      <alignment horizontal="right"/>
      <protection locked="0" hidden="1"/>
    </xf>
    <xf numFmtId="197" fontId="20" fillId="0" borderId="11" xfId="0" applyNumberFormat="1" applyFont="1" applyFill="1" applyBorder="1" applyAlignment="1">
      <protection locked="0" hidden="1"/>
    </xf>
    <xf numFmtId="165" fontId="3" fillId="0" borderId="11" xfId="0" applyNumberFormat="1" applyFont="1" applyFill="1" applyBorder="1" applyAlignment="1">
      <alignment horizontal="right"/>
      <protection locked="0" hidden="1"/>
    </xf>
    <xf numFmtId="169" fontId="16" fillId="0" borderId="11" xfId="0" applyNumberFormat="1" applyFont="1" applyFill="1" applyBorder="1" applyAlignment="1">
      <alignment horizontal="right"/>
      <protection locked="0" hidden="1"/>
    </xf>
    <xf numFmtId="177" fontId="16" fillId="0" borderId="41" xfId="0" applyNumberFormat="1" applyFont="1" applyFill="1" applyBorder="1" applyAlignment="1">
      <alignment horizontal="right"/>
      <protection locked="0" hidden="1"/>
    </xf>
    <xf numFmtId="183" fontId="20" fillId="0" borderId="11" xfId="0" applyNumberFormat="1" applyFont="1" applyFill="1" applyBorder="1" applyAlignment="1">
      <protection locked="0" hidden="1"/>
    </xf>
    <xf numFmtId="192" fontId="16" fillId="0" borderId="9" xfId="0" applyNumberFormat="1" applyFont="1" applyFill="1" applyBorder="1" applyAlignment="1">
      <protection locked="0" hidden="1"/>
    </xf>
    <xf numFmtId="178" fontId="16" fillId="0" borderId="11" xfId="0" applyNumberFormat="1" applyFont="1" applyFill="1" applyBorder="1" applyAlignment="1">
      <alignment horizontal="right"/>
      <protection locked="0" hidden="1"/>
    </xf>
    <xf numFmtId="208" fontId="16" fillId="0" borderId="15" xfId="0" applyNumberFormat="1" applyFont="1" applyFill="1" applyBorder="1" applyAlignment="1">
      <alignment horizontal="right"/>
      <protection locked="0" hidden="1"/>
    </xf>
    <xf numFmtId="171" fontId="16" fillId="0" borderId="11" xfId="0" applyNumberFormat="1" applyFont="1" applyFill="1" applyBorder="1" applyAlignment="1">
      <alignment horizontal="right"/>
      <protection locked="0" hidden="1"/>
    </xf>
    <xf numFmtId="167" fontId="16" fillId="0" borderId="11" xfId="0" applyNumberFormat="1" applyFont="1" applyFill="1" applyBorder="1" applyAlignment="1">
      <alignment horizontal="right"/>
      <protection locked="0" hidden="1"/>
    </xf>
    <xf numFmtId="179" fontId="20" fillId="0" borderId="11" xfId="0" applyNumberFormat="1" applyFont="1" applyFill="1" applyBorder="1" applyAlignment="1">
      <protection locked="0" hidden="1"/>
    </xf>
    <xf numFmtId="176" fontId="16" fillId="0" borderId="11" xfId="0" applyNumberFormat="1" applyFont="1" applyFill="1" applyBorder="1" applyAlignment="1">
      <alignment horizontal="right"/>
      <protection locked="0" hidden="1"/>
    </xf>
    <xf numFmtId="186" fontId="16" fillId="0" borderId="11" xfId="0" applyNumberFormat="1" applyFont="1" applyFill="1" applyBorder="1" applyAlignment="1">
      <protection locked="0" hidden="1"/>
    </xf>
    <xf numFmtId="194" fontId="16" fillId="0" borderId="11" xfId="0" applyNumberFormat="1" applyFont="1" applyFill="1" applyBorder="1" applyAlignment="1">
      <protection locked="0" hidden="1"/>
    </xf>
    <xf numFmtId="167" fontId="16" fillId="0" borderId="0" xfId="0" applyNumberFormat="1" applyFont="1" applyFill="1" applyBorder="1" applyAlignment="1">
      <alignment horizontal="right"/>
      <protection locked="0" hidden="1"/>
    </xf>
    <xf numFmtId="170" fontId="20" fillId="0" borderId="11" xfId="0" applyNumberFormat="1" applyFont="1" applyFill="1" applyBorder="1" applyAlignment="1">
      <protection locked="0" hidden="1"/>
    </xf>
    <xf numFmtId="172" fontId="16" fillId="0" borderId="0" xfId="0" applyNumberFormat="1" applyFont="1" applyFill="1" applyBorder="1" applyAlignment="1">
      <alignment horizontal="right"/>
      <protection locked="0" hidden="1"/>
    </xf>
    <xf numFmtId="182" fontId="20" fillId="0" borderId="11" xfId="0" applyNumberFormat="1" applyFont="1" applyFill="1" applyBorder="1" applyAlignment="1">
      <protection locked="0" hidden="1"/>
    </xf>
    <xf numFmtId="169" fontId="20" fillId="0" borderId="0" xfId="0" applyNumberFormat="1" applyFont="1" applyFill="1" applyBorder="1" applyAlignment="1">
      <protection locked="0" hidden="1"/>
    </xf>
    <xf numFmtId="184" fontId="20" fillId="0" borderId="11" xfId="0" applyNumberFormat="1" applyFont="1" applyFill="1" applyBorder="1" applyAlignment="1">
      <protection locked="0" hidden="1"/>
    </xf>
    <xf numFmtId="172" fontId="16" fillId="0" borderId="1" xfId="0" applyNumberFormat="1" applyFont="1" applyFill="1" applyBorder="1" applyAlignment="1">
      <protection locked="0" hidden="1"/>
    </xf>
    <xf numFmtId="187" fontId="16" fillId="0" borderId="11" xfId="0" applyNumberFormat="1" applyFont="1" applyFill="1" applyBorder="1" applyAlignment="1">
      <protection locked="0" hidden="1"/>
    </xf>
    <xf numFmtId="185" fontId="16" fillId="0" borderId="11" xfId="0" applyNumberFormat="1" applyFont="1" applyFill="1" applyBorder="1" applyAlignment="1">
      <protection locked="0" hidden="1"/>
    </xf>
    <xf numFmtId="167" fontId="16" fillId="0" borderId="11" xfId="0" applyNumberFormat="1" applyFont="1" applyFill="1" applyBorder="1" applyAlignment="1">
      <protection locked="0" hidden="1"/>
    </xf>
    <xf numFmtId="166" fontId="19" fillId="0" borderId="0" xfId="0" applyFont="1" applyFill="1" applyBorder="1" applyAlignment="1">
      <alignment horizontal="left"/>
      <protection locked="0" hidden="1"/>
    </xf>
    <xf numFmtId="167" fontId="16" fillId="0" borderId="16" xfId="0" applyNumberFormat="1" applyFont="1" applyFill="1" applyBorder="1" applyAlignment="1">
      <protection locked="0" hidden="1"/>
    </xf>
    <xf numFmtId="214" fontId="20" fillId="0" borderId="11" xfId="0" applyNumberFormat="1" applyFont="1" applyFill="1" applyBorder="1" applyAlignment="1">
      <protection locked="0" hidden="1"/>
    </xf>
    <xf numFmtId="0" fontId="14" fillId="0" borderId="0" xfId="0" applyNumberFormat="1" applyFont="1" applyFill="1" applyAlignment="1" applyProtection="1">
      <alignment readingOrder="1"/>
    </xf>
    <xf numFmtId="0" fontId="43" fillId="0" borderId="2" xfId="0" applyNumberFormat="1" applyFont="1" applyFill="1" applyBorder="1" applyAlignment="1" applyProtection="1">
      <alignment horizontal="centerContinuous" readingOrder="1"/>
    </xf>
    <xf numFmtId="0" fontId="43" fillId="0" borderId="7" xfId="0" applyNumberFormat="1" applyFont="1" applyFill="1" applyBorder="1" applyAlignment="1" applyProtection="1">
      <alignment horizontal="centerContinuous" vertical="center" readingOrder="1"/>
    </xf>
    <xf numFmtId="0" fontId="43" fillId="0" borderId="7" xfId="0" applyNumberFormat="1" applyFont="1" applyFill="1" applyBorder="1" applyAlignment="1" applyProtection="1">
      <alignment horizontal="centerContinuous" vertical="center" readingOrder="2"/>
    </xf>
    <xf numFmtId="0" fontId="43" fillId="0" borderId="6" xfId="0" applyNumberFormat="1" applyFont="1" applyFill="1" applyBorder="1" applyAlignment="1" applyProtection="1">
      <alignment horizontal="centerContinuous" vertical="center" readingOrder="1"/>
    </xf>
    <xf numFmtId="0" fontId="43" fillId="0" borderId="2" xfId="0" applyNumberFormat="1" applyFont="1" applyFill="1" applyBorder="1" applyAlignment="1" applyProtection="1">
      <alignment horizontal="center" readingOrder="1"/>
    </xf>
    <xf numFmtId="0" fontId="43" fillId="0" borderId="12" xfId="0" applyNumberFormat="1" applyFont="1" applyFill="1" applyBorder="1" applyAlignment="1" applyProtection="1">
      <alignment horizontal="center" readingOrder="1"/>
    </xf>
    <xf numFmtId="0" fontId="27" fillId="0" borderId="0" xfId="0" applyNumberFormat="1" applyFont="1" applyFill="1" applyAlignment="1" applyProtection="1">
      <alignment readingOrder="1"/>
    </xf>
    <xf numFmtId="0" fontId="43" fillId="0" borderId="4" xfId="0" applyNumberFormat="1" applyFont="1" applyFill="1" applyBorder="1" applyAlignment="1" applyProtection="1">
      <alignment horizontal="centerContinuous" vertical="top" readingOrder="1"/>
    </xf>
    <xf numFmtId="0" fontId="43" fillId="0" borderId="3" xfId="0" applyNumberFormat="1" applyFont="1" applyFill="1" applyBorder="1" applyAlignment="1" applyProtection="1">
      <alignment horizontal="centerContinuous" vertical="center" readingOrder="1"/>
    </xf>
    <xf numFmtId="0" fontId="43" fillId="0" borderId="1" xfId="0" applyNumberFormat="1" applyFont="1" applyFill="1" applyBorder="1" applyAlignment="1" applyProtection="1">
      <alignment horizontal="centerContinuous" vertical="top" readingOrder="1"/>
    </xf>
    <xf numFmtId="0" fontId="43" fillId="0" borderId="10" xfId="0" applyNumberFormat="1" applyFont="1" applyFill="1" applyBorder="1" applyAlignment="1" applyProtection="1">
      <alignment horizontal="centerContinuous" vertical="center" readingOrder="1"/>
    </xf>
    <xf numFmtId="0" fontId="43" fillId="0" borderId="9" xfId="0" applyNumberFormat="1" applyFont="1" applyFill="1" applyBorder="1" applyAlignment="1" applyProtection="1">
      <alignment horizontal="center" vertical="top" wrapText="1" readingOrder="1"/>
    </xf>
    <xf numFmtId="0" fontId="43" fillId="0" borderId="11" xfId="0" applyNumberFormat="1" applyFont="1" applyFill="1" applyBorder="1" applyAlignment="1" applyProtection="1">
      <alignment horizontal="center" vertical="top" wrapText="1" readingOrder="1"/>
    </xf>
    <xf numFmtId="0" fontId="43" fillId="0" borderId="6" xfId="0" applyNumberFormat="1" applyFont="1" applyFill="1" applyBorder="1" applyAlignment="1" applyProtection="1">
      <alignment horizontal="centerContinuous" readingOrder="1"/>
    </xf>
    <xf numFmtId="0" fontId="43" fillId="0" borderId="0" xfId="0" applyNumberFormat="1" applyFont="1" applyFill="1" applyAlignment="1" applyProtection="1">
      <alignment horizontal="centerContinuous" readingOrder="1"/>
    </xf>
    <xf numFmtId="0" fontId="43" fillId="0" borderId="12" xfId="0" applyNumberFormat="1" applyFont="1" applyFill="1" applyBorder="1" applyAlignment="1" applyProtection="1">
      <alignment horizontal="centerContinuous" readingOrder="1"/>
    </xf>
    <xf numFmtId="0" fontId="43" fillId="0" borderId="4" xfId="0" applyNumberFormat="1" applyFont="1" applyFill="1" applyBorder="1" applyAlignment="1" applyProtection="1">
      <alignment horizontal="centerContinuous" vertical="top" wrapText="1" readingOrder="1"/>
    </xf>
    <xf numFmtId="0" fontId="43" fillId="0" borderId="10" xfId="0" applyNumberFormat="1" applyFont="1" applyFill="1" applyBorder="1" applyAlignment="1" applyProtection="1">
      <alignment horizontal="centerContinuous" vertical="center" wrapText="1" readingOrder="1"/>
    </xf>
    <xf numFmtId="0" fontId="43" fillId="0" borderId="9" xfId="0" applyNumberFormat="1" applyFont="1" applyFill="1" applyBorder="1" applyAlignment="1" applyProtection="1">
      <alignment horizontal="centerContinuous" vertical="center" wrapText="1" readingOrder="1"/>
    </xf>
    <xf numFmtId="0" fontId="43" fillId="0" borderId="11" xfId="0" applyNumberFormat="1" applyFont="1" applyFill="1" applyBorder="1" applyAlignment="1" applyProtection="1">
      <alignment horizontal="center" vertical="center" readingOrder="1"/>
    </xf>
    <xf numFmtId="0" fontId="43" fillId="0" borderId="11" xfId="0" applyNumberFormat="1" applyFont="1" applyFill="1" applyBorder="1" applyAlignment="1" applyProtection="1">
      <alignment horizontal="center" wrapText="1" readingOrder="2"/>
    </xf>
    <xf numFmtId="0" fontId="43" fillId="0" borderId="12" xfId="0" applyNumberFormat="1" applyFont="1" applyFill="1" applyBorder="1" applyAlignment="1" applyProtection="1">
      <alignment horizontal="center" vertical="center" readingOrder="1"/>
    </xf>
    <xf numFmtId="0" fontId="43" fillId="0" borderId="8" xfId="0" applyNumberFormat="1" applyFont="1" applyFill="1" applyBorder="1" applyAlignment="1" applyProtection="1">
      <alignment horizontal="center" vertical="center" readingOrder="1"/>
    </xf>
    <xf numFmtId="0" fontId="43" fillId="0" borderId="10" xfId="0" applyNumberFormat="1" applyFont="1" applyFill="1" applyBorder="1" applyAlignment="1" applyProtection="1">
      <alignment horizontal="center" vertical="center" readingOrder="1"/>
    </xf>
    <xf numFmtId="0" fontId="43" fillId="0" borderId="10" xfId="0" applyNumberFormat="1" applyFont="1" applyFill="1" applyBorder="1" applyAlignment="1" applyProtection="1">
      <alignment horizontal="center" vertical="center" wrapText="1" readingOrder="1"/>
    </xf>
    <xf numFmtId="0" fontId="14" fillId="0" borderId="0" xfId="0" applyNumberFormat="1" applyFont="1" applyFill="1" applyAlignment="1" applyProtection="1">
      <alignment horizontal="center" readingOrder="1"/>
    </xf>
    <xf numFmtId="166" fontId="19" fillId="0" borderId="4" xfId="0" applyNumberFormat="1" applyFont="1" applyFill="1" applyBorder="1" applyAlignment="1">
      <alignment horizontal="left"/>
      <protection locked="0" hidden="1"/>
    </xf>
    <xf numFmtId="0" fontId="16" fillId="0" borderId="3" xfId="22" applyFont="1" applyFill="1" applyBorder="1" applyAlignment="1">
      <alignment horizontal="center"/>
    </xf>
    <xf numFmtId="2" fontId="16" fillId="0" borderId="8" xfId="0" applyNumberFormat="1" applyFont="1" applyFill="1" applyBorder="1" applyAlignment="1">
      <alignment horizontal="right" indent="3"/>
      <protection locked="0" hidden="1"/>
    </xf>
    <xf numFmtId="3" fontId="3" fillId="0" borderId="11" xfId="22" applyNumberFormat="1" applyFont="1" applyFill="1" applyBorder="1" applyAlignment="1">
      <alignment horizontal="right" indent="2" readingOrder="1"/>
    </xf>
    <xf numFmtId="166" fontId="10" fillId="0" borderId="11" xfId="0" applyFont="1" applyFill="1" applyBorder="1" applyAlignment="1">
      <alignment horizontal="center" vertical="center"/>
      <protection locked="0" hidden="1"/>
    </xf>
    <xf numFmtId="166" fontId="12" fillId="0" borderId="1" xfId="0" applyFont="1" applyFill="1" applyBorder="1" applyAlignment="1">
      <alignment horizontal="center" vertical="center" wrapText="1" readingOrder="2"/>
      <protection locked="0" hidden="1"/>
    </xf>
    <xf numFmtId="166" fontId="10" fillId="0" borderId="4" xfId="0" applyFont="1" applyFill="1" applyBorder="1" applyAlignment="1">
      <alignment horizontal="center" vertical="center" wrapText="1" readingOrder="1"/>
      <protection locked="0" hidden="1"/>
    </xf>
    <xf numFmtId="166" fontId="12" fillId="0" borderId="12" xfId="0" applyFont="1" applyFill="1" applyBorder="1" applyAlignment="1">
      <alignment horizontal="center" vertical="center"/>
      <protection locked="0" hidden="1"/>
    </xf>
    <xf numFmtId="166" fontId="12" fillId="0" borderId="22" xfId="0" applyFont="1" applyFill="1" applyBorder="1" applyAlignment="1">
      <alignment horizontal="right"/>
      <protection locked="0" hidden="1"/>
    </xf>
    <xf numFmtId="166" fontId="12" fillId="0" borderId="21" xfId="0" applyFont="1" applyFill="1" applyBorder="1" applyAlignment="1">
      <alignment horizontal="left"/>
      <protection locked="0" hidden="1"/>
    </xf>
    <xf numFmtId="209" fontId="19" fillId="0" borderId="2" xfId="0" applyNumberFormat="1" applyFont="1" applyFill="1" applyBorder="1" applyAlignment="1">
      <alignment horizontal="left"/>
      <protection locked="0" hidden="1"/>
    </xf>
    <xf numFmtId="209" fontId="19" fillId="0" borderId="1" xfId="0" applyNumberFormat="1" applyFont="1" applyFill="1" applyBorder="1" applyAlignment="1">
      <alignment horizontal="left"/>
      <protection locked="0" hidden="1"/>
    </xf>
    <xf numFmtId="177" fontId="16" fillId="0" borderId="8" xfId="0" applyNumberFormat="1" applyFont="1" applyFill="1" applyBorder="1" applyAlignment="1">
      <alignment horizontal="right"/>
      <protection locked="0" hidden="1"/>
    </xf>
    <xf numFmtId="166" fontId="19" fillId="0" borderId="6" xfId="0" applyFont="1" applyFill="1" applyBorder="1" applyAlignment="1">
      <alignment horizontal="left"/>
      <protection locked="0" hidden="1"/>
    </xf>
    <xf numFmtId="167" fontId="20" fillId="0" borderId="11" xfId="0" applyNumberFormat="1" applyFont="1" applyFill="1" applyBorder="1" applyAlignment="1">
      <protection locked="0" hidden="1"/>
    </xf>
    <xf numFmtId="177" fontId="20" fillId="0" borderId="11" xfId="0" applyNumberFormat="1" applyFont="1" applyFill="1" applyBorder="1" applyAlignment="1">
      <alignment horizontal="right"/>
      <protection locked="0" hidden="1"/>
    </xf>
    <xf numFmtId="177" fontId="20" fillId="0" borderId="8" xfId="0" applyNumberFormat="1" applyFont="1" applyFill="1" applyBorder="1" applyAlignment="1">
      <alignment horizontal="right"/>
      <protection locked="0" hidden="1"/>
    </xf>
    <xf numFmtId="0" fontId="3" fillId="0" borderId="7" xfId="0" applyNumberFormat="1" applyFont="1" applyFill="1" applyBorder="1" applyAlignment="1" applyProtection="1">
      <alignment horizontal="right" readingOrder="2"/>
    </xf>
    <xf numFmtId="0" fontId="6" fillId="0" borderId="3" xfId="26" applyNumberFormat="1" applyFont="1" applyFill="1" applyBorder="1" applyAlignment="1" applyProtection="1"/>
    <xf numFmtId="185" fontId="16" fillId="0" borderId="11" xfId="0" applyNumberFormat="1" applyFont="1" applyFill="1" applyBorder="1" applyAlignment="1">
      <alignment horizontal="right"/>
      <protection locked="0" hidden="1"/>
    </xf>
    <xf numFmtId="0" fontId="10" fillId="0" borderId="2" xfId="0" applyNumberFormat="1" applyFont="1" applyFill="1" applyBorder="1" applyAlignment="1" applyProtection="1">
      <alignment horizontal="centerContinuous"/>
    </xf>
    <xf numFmtId="166" fontId="8" fillId="0" borderId="0" xfId="0" applyFont="1" applyFill="1" applyBorder="1" applyAlignment="1">
      <alignment horizontal="right" readingOrder="2"/>
      <protection locked="0" hidden="1"/>
    </xf>
    <xf numFmtId="218" fontId="16" fillId="0" borderId="11" xfId="0" applyNumberFormat="1" applyFont="1" applyFill="1" applyBorder="1" applyAlignment="1">
      <alignment horizontal="right" indent="2"/>
      <protection locked="0" hidden="1"/>
    </xf>
    <xf numFmtId="218" fontId="16" fillId="0" borderId="11" xfId="0" applyNumberFormat="1" applyFont="1" applyFill="1" applyBorder="1" applyAlignment="1">
      <alignment horizontal="right" vertical="top" indent="2"/>
      <protection locked="0" hidden="1"/>
    </xf>
    <xf numFmtId="210" fontId="16" fillId="0" borderId="11" xfId="0" applyNumberFormat="1" applyFont="1" applyFill="1" applyBorder="1" applyAlignment="1">
      <alignment horizontal="right" indent="2"/>
      <protection locked="0" hidden="1"/>
    </xf>
    <xf numFmtId="210" fontId="16" fillId="0" borderId="11" xfId="0" applyNumberFormat="1" applyFont="1" applyFill="1" applyBorder="1" applyAlignment="1">
      <alignment horizontal="right" vertical="top" indent="2"/>
      <protection locked="0" hidden="1"/>
    </xf>
    <xf numFmtId="0" fontId="6" fillId="0" borderId="1" xfId="22" applyFont="1" applyBorder="1" applyAlignment="1"/>
    <xf numFmtId="206" fontId="16" fillId="0" borderId="12" xfId="0" applyNumberFormat="1" applyFont="1" applyFill="1" applyBorder="1" applyAlignment="1">
      <alignment horizontal="center"/>
      <protection locked="0" hidden="1"/>
    </xf>
    <xf numFmtId="196" fontId="20" fillId="0" borderId="1" xfId="0" applyNumberFormat="1" applyFont="1" applyFill="1" applyBorder="1" applyAlignment="1">
      <alignment horizontal="right"/>
      <protection locked="0" hidden="1"/>
    </xf>
    <xf numFmtId="176" fontId="20" fillId="0" borderId="11" xfId="0" applyNumberFormat="1" applyFont="1" applyFill="1" applyBorder="1" applyAlignment="1">
      <alignment horizontal="right"/>
      <protection locked="0" hidden="1"/>
    </xf>
    <xf numFmtId="164" fontId="20" fillId="0" borderId="11" xfId="0" applyNumberFormat="1" applyFont="1" applyFill="1" applyBorder="1" applyAlignment="1">
      <alignment horizontal="right" indent="2"/>
      <protection locked="0" hidden="1"/>
    </xf>
    <xf numFmtId="206" fontId="16" fillId="0" borderId="11" xfId="0" applyNumberFormat="1" applyFont="1" applyFill="1" applyBorder="1" applyAlignment="1">
      <alignment horizontal="center"/>
      <protection locked="0" hidden="1"/>
    </xf>
    <xf numFmtId="178" fontId="20" fillId="0" borderId="1" xfId="0" applyNumberFormat="1" applyFont="1" applyFill="1" applyBorder="1" applyAlignment="1">
      <alignment horizontal="right"/>
      <protection locked="0" hidden="1"/>
    </xf>
    <xf numFmtId="221" fontId="20" fillId="0" borderId="1" xfId="0" applyNumberFormat="1" applyFont="1" applyFill="1" applyBorder="1" applyAlignment="1">
      <alignment horizontal="right"/>
      <protection locked="0" hidden="1"/>
    </xf>
    <xf numFmtId="0" fontId="3" fillId="0" borderId="0" xfId="0" applyNumberFormat="1" applyFont="1" applyFill="1" applyAlignment="1" applyProtection="1">
      <alignment horizontal="right" readingOrder="2"/>
    </xf>
    <xf numFmtId="171" fontId="20" fillId="0" borderId="1" xfId="0" applyNumberFormat="1" applyFont="1" applyFill="1" applyBorder="1" applyAlignment="1">
      <alignment horizontal="right"/>
      <protection locked="0" hidden="1"/>
    </xf>
    <xf numFmtId="223" fontId="20" fillId="0" borderId="11" xfId="0" applyNumberFormat="1" applyFont="1" applyFill="1" applyBorder="1" applyAlignment="1">
      <alignment horizontal="right"/>
      <protection locked="0" hidden="1"/>
    </xf>
    <xf numFmtId="208" fontId="20" fillId="0" borderId="11" xfId="0" applyNumberFormat="1" applyFont="1" applyFill="1" applyBorder="1" applyAlignment="1">
      <alignment horizontal="right"/>
      <protection locked="0" hidden="1"/>
    </xf>
    <xf numFmtId="187" fontId="20" fillId="0" borderId="11" xfId="0" applyNumberFormat="1" applyFont="1" applyFill="1" applyBorder="1" applyAlignment="1">
      <alignment horizontal="right"/>
      <protection locked="0" hidden="1"/>
    </xf>
    <xf numFmtId="225" fontId="20" fillId="0" borderId="11" xfId="0" applyNumberFormat="1" applyFont="1" applyFill="1" applyBorder="1" applyAlignment="1">
      <alignment horizontal="right"/>
      <protection locked="0" hidden="1"/>
    </xf>
    <xf numFmtId="0" fontId="10" fillId="0" borderId="0" xfId="0" applyNumberFormat="1" applyFont="1" applyFill="1" applyBorder="1" applyAlignment="1" applyProtection="1">
      <alignment horizontal="center" vertical="center"/>
    </xf>
    <xf numFmtId="167" fontId="10" fillId="0" borderId="11" xfId="0" applyNumberFormat="1" applyFont="1" applyFill="1" applyBorder="1" applyAlignment="1" applyProtection="1">
      <alignment horizontal="center"/>
    </xf>
    <xf numFmtId="167" fontId="10" fillId="0" borderId="1" xfId="0" applyNumberFormat="1" applyFont="1" applyFill="1" applyBorder="1" applyAlignment="1" applyProtection="1">
      <alignment horizontal="center"/>
    </xf>
    <xf numFmtId="167" fontId="10" fillId="0" borderId="9" xfId="0" applyNumberFormat="1" applyFont="1" applyFill="1" applyBorder="1" applyAlignment="1" applyProtection="1">
      <alignment horizontal="center"/>
    </xf>
    <xf numFmtId="165" fontId="4" fillId="0" borderId="8" xfId="0" applyNumberFormat="1" applyFont="1" applyFill="1" applyBorder="1" applyAlignment="1" applyProtection="1">
      <alignment horizontal="right" indent="1" readingOrder="1"/>
      <protection locked="0" hidden="1"/>
    </xf>
    <xf numFmtId="169" fontId="20" fillId="0" borderId="11" xfId="0" applyNumberFormat="1" applyFont="1" applyFill="1" applyBorder="1" applyAlignment="1">
      <protection locked="0" hidden="1"/>
    </xf>
    <xf numFmtId="165" fontId="20" fillId="0" borderId="11" xfId="0" applyNumberFormat="1" applyFont="1" applyFill="1" applyBorder="1" applyAlignment="1" applyProtection="1">
      <alignment horizontal="right" indent="1" readingOrder="1"/>
      <protection locked="0" hidden="1"/>
    </xf>
    <xf numFmtId="165" fontId="20" fillId="0" borderId="11" xfId="0" applyNumberFormat="1" applyFont="1" applyFill="1" applyBorder="1" applyAlignment="1">
      <alignment horizontal="right" indent="2"/>
      <protection locked="0" hidden="1"/>
    </xf>
    <xf numFmtId="170" fontId="20" fillId="0" borderId="11" xfId="0" applyNumberFormat="1" applyFont="1" applyFill="1" applyBorder="1" applyAlignment="1">
      <alignment horizontal="right" indent="1"/>
      <protection locked="0" hidden="1"/>
    </xf>
    <xf numFmtId="216" fontId="20" fillId="0" borderId="9" xfId="0" applyNumberFormat="1" applyFont="1" applyFill="1" applyBorder="1" applyAlignment="1">
      <protection locked="0" hidden="1"/>
    </xf>
    <xf numFmtId="188" fontId="20" fillId="0" borderId="20" xfId="0" applyNumberFormat="1" applyFont="1" applyFill="1" applyBorder="1" applyAlignment="1">
      <protection locked="0" hidden="1"/>
    </xf>
    <xf numFmtId="166" fontId="27" fillId="0" borderId="1" xfId="0" applyNumberFormat="1" applyFont="1" applyFill="1" applyBorder="1" applyAlignment="1">
      <alignment horizontal="left"/>
      <protection locked="0" hidden="1"/>
    </xf>
    <xf numFmtId="166" fontId="27" fillId="0" borderId="0" xfId="0" applyNumberFormat="1" applyFont="1" applyFill="1" applyBorder="1" applyAlignment="1">
      <alignment horizontal="left"/>
      <protection locked="0" hidden="1"/>
    </xf>
    <xf numFmtId="166" fontId="14" fillId="0" borderId="0" xfId="0" applyFont="1" applyFill="1" applyBorder="1" applyAlignment="1">
      <protection locked="0" hidden="1"/>
    </xf>
    <xf numFmtId="166" fontId="29" fillId="0" borderId="1" xfId="0" applyNumberFormat="1" applyFont="1" applyFill="1" applyBorder="1" applyAlignment="1">
      <alignment horizontal="left"/>
      <protection locked="0" hidden="1"/>
    </xf>
    <xf numFmtId="166" fontId="29" fillId="0" borderId="0" xfId="0" applyFont="1" applyFill="1" applyBorder="1" applyAlignment="1">
      <alignment horizontal="left"/>
      <protection locked="0" hidden="1"/>
    </xf>
    <xf numFmtId="165" fontId="20" fillId="0" borderId="1" xfId="0" applyNumberFormat="1" applyFont="1" applyFill="1" applyBorder="1" applyAlignment="1">
      <alignment horizontal="right" indent="1"/>
      <protection locked="0" hidden="1"/>
    </xf>
    <xf numFmtId="166" fontId="20" fillId="0" borderId="11" xfId="0" applyFont="1" applyFill="1" applyBorder="1" applyAlignment="1">
      <alignment horizontal="center"/>
      <protection locked="0" hidden="1"/>
    </xf>
    <xf numFmtId="166" fontId="10" fillId="0" borderId="1" xfId="0" applyNumberFormat="1" applyFont="1" applyFill="1" applyBorder="1" applyAlignment="1">
      <alignment horizontal="left"/>
      <protection locked="0" hidden="1"/>
    </xf>
    <xf numFmtId="166" fontId="10" fillId="0" borderId="0" xfId="0" applyNumberFormat="1" applyFont="1" applyFill="1" applyBorder="1" applyAlignment="1">
      <alignment horizontal="left"/>
      <protection locked="0" hidden="1"/>
    </xf>
    <xf numFmtId="164" fontId="4" fillId="0" borderId="0" xfId="0" applyNumberFormat="1" applyFont="1" applyFill="1" applyAlignment="1">
      <protection locked="0" hidden="1"/>
    </xf>
    <xf numFmtId="166" fontId="19" fillId="0" borderId="3" xfId="0" applyNumberFormat="1" applyFont="1" applyFill="1" applyBorder="1" applyAlignment="1">
      <alignment horizontal="left"/>
      <protection locked="0" hidden="1"/>
    </xf>
    <xf numFmtId="166" fontId="16" fillId="0" borderId="8" xfId="0" applyFont="1" applyFill="1" applyBorder="1" applyAlignment="1">
      <alignment horizontal="right" indent="3"/>
      <protection locked="0" hidden="1"/>
    </xf>
    <xf numFmtId="3" fontId="16" fillId="0" borderId="8" xfId="0" applyNumberFormat="1" applyFont="1" applyFill="1" applyBorder="1" applyAlignment="1">
      <alignment horizontal="right" indent="2"/>
      <protection locked="0" hidden="1"/>
    </xf>
    <xf numFmtId="3" fontId="16" fillId="0" borderId="8" xfId="0" applyNumberFormat="1" applyFont="1" applyFill="1" applyBorder="1" applyAlignment="1">
      <alignment horizontal="right" indent="3"/>
      <protection locked="0" hidden="1"/>
    </xf>
    <xf numFmtId="4" fontId="16" fillId="0" borderId="8" xfId="0" applyNumberFormat="1" applyFont="1" applyFill="1" applyBorder="1" applyAlignment="1">
      <alignment horizontal="center"/>
      <protection locked="0" hidden="1"/>
    </xf>
    <xf numFmtId="4" fontId="16" fillId="0" borderId="8" xfId="0" applyNumberFormat="1" applyFont="1" applyFill="1" applyBorder="1" applyAlignment="1">
      <alignment horizontal="right" indent="2"/>
      <protection locked="0" hidden="1"/>
    </xf>
    <xf numFmtId="2" fontId="16" fillId="0" borderId="8" xfId="22" applyNumberFormat="1" applyFont="1" applyBorder="1" applyAlignment="1">
      <alignment horizontal="right" indent="3"/>
    </xf>
    <xf numFmtId="166" fontId="7" fillId="0" borderId="3" xfId="0" applyNumberFormat="1" applyFont="1" applyFill="1" applyBorder="1" applyAlignment="1">
      <alignment horizontal="left"/>
      <protection locked="0" hidden="1"/>
    </xf>
    <xf numFmtId="0" fontId="19" fillId="0" borderId="3" xfId="22" applyFont="1" applyBorder="1" applyAlignment="1">
      <alignment horizontal="left"/>
    </xf>
    <xf numFmtId="170" fontId="29" fillId="0" borderId="6" xfId="0" applyNumberFormat="1" applyFont="1" applyFill="1" applyBorder="1" applyAlignment="1" applyProtection="1">
      <alignment horizontal="right"/>
      <protection locked="0" hidden="1"/>
    </xf>
    <xf numFmtId="170" fontId="20" fillId="0" borderId="19" xfId="0" applyNumberFormat="1" applyFont="1" applyFill="1" applyBorder="1" applyAlignment="1">
      <alignment horizontal="right" indent="1"/>
      <protection locked="0" hidden="1"/>
    </xf>
    <xf numFmtId="209" fontId="10" fillId="0" borderId="4" xfId="0" applyNumberFormat="1" applyFont="1" applyFill="1" applyBorder="1" applyAlignment="1">
      <alignment horizontal="left"/>
      <protection locked="0" hidden="1"/>
    </xf>
    <xf numFmtId="187" fontId="20" fillId="0" borderId="16" xfId="0" applyNumberFormat="1" applyFont="1" applyFill="1" applyBorder="1" applyAlignment="1">
      <protection locked="0" hidden="1"/>
    </xf>
    <xf numFmtId="165" fontId="16" fillId="0" borderId="1" xfId="0" applyNumberFormat="1" applyFont="1" applyFill="1" applyBorder="1" applyAlignment="1">
      <protection locked="0" hidden="1"/>
    </xf>
    <xf numFmtId="164" fontId="16" fillId="0" borderId="1" xfId="0" applyNumberFormat="1" applyFont="1" applyFill="1" applyBorder="1" applyAlignment="1">
      <protection locked="0" hidden="1"/>
    </xf>
    <xf numFmtId="177" fontId="20" fillId="0" borderId="1" xfId="0" applyNumberFormat="1" applyFont="1" applyFill="1" applyBorder="1" applyAlignment="1">
      <alignment horizontal="right"/>
      <protection locked="0" hidden="1"/>
    </xf>
    <xf numFmtId="165" fontId="3" fillId="0" borderId="11" xfId="0" applyNumberFormat="1" applyFont="1" applyFill="1" applyBorder="1" applyAlignment="1" applyProtection="1">
      <alignment horizontal="right"/>
      <protection locked="0" hidden="1"/>
    </xf>
    <xf numFmtId="2" fontId="4" fillId="0" borderId="11" xfId="18" applyNumberFormat="1" applyFont="1" applyFill="1" applyBorder="1" applyAlignment="1">
      <alignment horizontal="right" indent="2"/>
      <protection locked="0" hidden="1"/>
    </xf>
    <xf numFmtId="165" fontId="20" fillId="0" borderId="9" xfId="0" applyNumberFormat="1" applyFont="1" applyFill="1" applyBorder="1" applyAlignment="1">
      <alignment horizontal="right" indent="1"/>
      <protection locked="0" hidden="1"/>
    </xf>
    <xf numFmtId="165" fontId="20" fillId="0" borderId="0" xfId="0" applyNumberFormat="1" applyFont="1" applyFill="1" applyBorder="1" applyAlignment="1">
      <alignment horizontal="right" indent="1"/>
      <protection locked="0" hidden="1"/>
    </xf>
    <xf numFmtId="206" fontId="3" fillId="0" borderId="8" xfId="0" applyNumberFormat="1" applyFont="1" applyFill="1" applyBorder="1" applyAlignment="1" applyProtection="1">
      <protection locked="0"/>
    </xf>
    <xf numFmtId="224" fontId="20" fillId="0" borderId="11" xfId="0" applyNumberFormat="1" applyFont="1" applyFill="1" applyBorder="1" applyAlignment="1">
      <alignment horizontal="right"/>
      <protection locked="0" hidden="1"/>
    </xf>
    <xf numFmtId="165" fontId="3" fillId="3" borderId="11" xfId="0" applyNumberFormat="1" applyFont="1" applyFill="1" applyBorder="1" applyAlignment="1">
      <alignment horizontal="right"/>
      <protection locked="0" hidden="1"/>
    </xf>
    <xf numFmtId="206" fontId="20" fillId="0" borderId="0" xfId="0" applyNumberFormat="1" applyFont="1" applyFill="1" applyAlignment="1" applyProtection="1">
      <protection locked="0" hidden="1"/>
    </xf>
    <xf numFmtId="222" fontId="20" fillId="0" borderId="11" xfId="0" applyNumberFormat="1" applyFont="1" applyFill="1" applyBorder="1" applyAlignment="1">
      <alignment horizontal="right"/>
      <protection locked="0" hidden="1"/>
    </xf>
    <xf numFmtId="197" fontId="20" fillId="0" borderId="10" xfId="0" applyNumberFormat="1" applyFont="1" applyFill="1" applyBorder="1" applyAlignment="1">
      <protection locked="0" hidden="1"/>
    </xf>
    <xf numFmtId="178" fontId="20" fillId="0" borderId="11" xfId="0" applyNumberFormat="1" applyFont="1" applyFill="1" applyBorder="1" applyAlignment="1">
      <alignment horizontal="right"/>
      <protection locked="0" hidden="1"/>
    </xf>
    <xf numFmtId="3" fontId="3" fillId="0" borderId="8" xfId="22" applyNumberFormat="1" applyFont="1" applyFill="1" applyBorder="1" applyAlignment="1">
      <alignment horizontal="right" indent="2" readingOrder="1"/>
    </xf>
    <xf numFmtId="172" fontId="20" fillId="0" borderId="11" xfId="0" applyNumberFormat="1" applyFont="1" applyFill="1" applyBorder="1" applyAlignment="1">
      <alignment horizontal="right"/>
      <protection locked="0" hidden="1"/>
    </xf>
    <xf numFmtId="224" fontId="20" fillId="0" borderId="1" xfId="0" applyNumberFormat="1" applyFont="1" applyFill="1" applyBorder="1" applyAlignment="1">
      <alignment horizontal="right"/>
      <protection locked="0" hidden="1"/>
    </xf>
    <xf numFmtId="226" fontId="20" fillId="0" borderId="11" xfId="0" applyNumberFormat="1" applyFont="1" applyFill="1" applyBorder="1" applyAlignment="1">
      <alignment horizontal="right"/>
      <protection locked="0" hidden="1"/>
    </xf>
    <xf numFmtId="206" fontId="20" fillId="0" borderId="11" xfId="0" applyNumberFormat="1" applyFont="1" applyFill="1" applyBorder="1" applyAlignment="1">
      <alignment horizontal="center"/>
      <protection locked="0" hidden="1"/>
    </xf>
    <xf numFmtId="167" fontId="20" fillId="0" borderId="20" xfId="0" applyNumberFormat="1" applyFont="1" applyFill="1" applyBorder="1" applyAlignment="1">
      <protection locked="0" hidden="1"/>
    </xf>
    <xf numFmtId="165" fontId="20" fillId="0" borderId="0" xfId="0" applyNumberFormat="1" applyFont="1" applyFill="1" applyBorder="1" applyAlignment="1">
      <protection locked="0" hidden="1"/>
    </xf>
    <xf numFmtId="164" fontId="20" fillId="0" borderId="0" xfId="0" applyNumberFormat="1" applyFont="1" applyFill="1" applyBorder="1" applyAlignment="1">
      <protection locked="0" hidden="1"/>
    </xf>
    <xf numFmtId="176" fontId="20" fillId="0" borderId="11" xfId="0" applyNumberFormat="1" applyFont="1" applyFill="1" applyBorder="1" applyAlignment="1">
      <protection locked="0" hidden="1"/>
    </xf>
    <xf numFmtId="1" fontId="20" fillId="0" borderId="0" xfId="0" applyNumberFormat="1" applyFont="1" applyFill="1" applyBorder="1" applyAlignment="1">
      <protection locked="0" hidden="1"/>
    </xf>
    <xf numFmtId="197" fontId="16" fillId="0" borderId="11" xfId="0" applyNumberFormat="1" applyFont="1" applyFill="1" applyBorder="1" applyAlignment="1">
      <protection locked="0" hidden="1"/>
    </xf>
    <xf numFmtId="165" fontId="16" fillId="0" borderId="0" xfId="0" applyNumberFormat="1" applyFont="1" applyFill="1" applyBorder="1" applyAlignment="1">
      <alignment horizontal="right"/>
      <protection locked="0" hidden="1"/>
    </xf>
    <xf numFmtId="168" fontId="16" fillId="0" borderId="11" xfId="0" applyNumberFormat="1" applyFont="1" applyFill="1" applyBorder="1" applyAlignment="1">
      <protection locked="0" hidden="1"/>
    </xf>
    <xf numFmtId="214" fontId="16" fillId="0" borderId="11" xfId="0" applyNumberFormat="1" applyFont="1" applyFill="1" applyBorder="1" applyAlignment="1">
      <protection locked="0" hidden="1"/>
    </xf>
    <xf numFmtId="169" fontId="16" fillId="0" borderId="0" xfId="0" applyNumberFormat="1" applyFont="1" applyFill="1" applyBorder="1" applyAlignment="1">
      <protection locked="0" hidden="1"/>
    </xf>
    <xf numFmtId="169" fontId="16" fillId="0" borderId="11" xfId="0" applyNumberFormat="1" applyFont="1" applyFill="1" applyBorder="1" applyAlignment="1">
      <protection locked="0" hidden="1"/>
    </xf>
    <xf numFmtId="184" fontId="16" fillId="0" borderId="11" xfId="0" applyNumberFormat="1" applyFont="1" applyFill="1" applyBorder="1" applyAlignment="1">
      <protection locked="0" hidden="1"/>
    </xf>
    <xf numFmtId="187" fontId="16" fillId="0" borderId="16" xfId="0" applyNumberFormat="1" applyFont="1" applyFill="1" applyBorder="1" applyAlignment="1">
      <protection locked="0" hidden="1"/>
    </xf>
    <xf numFmtId="213" fontId="16" fillId="0" borderId="9" xfId="0" applyNumberFormat="1" applyFont="1" applyFill="1" applyBorder="1" applyAlignment="1">
      <protection locked="0" hidden="1"/>
    </xf>
    <xf numFmtId="166" fontId="46" fillId="0" borderId="1" xfId="0" applyNumberFormat="1" applyFont="1" applyFill="1" applyBorder="1" applyAlignment="1">
      <alignment horizontal="left"/>
      <protection locked="0" hidden="1"/>
    </xf>
    <xf numFmtId="166" fontId="46" fillId="0" borderId="0" xfId="0" applyNumberFormat="1" applyFont="1" applyFill="1" applyBorder="1" applyAlignment="1">
      <alignment horizontal="left"/>
      <protection locked="0" hidden="1"/>
    </xf>
    <xf numFmtId="205" fontId="3" fillId="0" borderId="11" xfId="0" applyNumberFormat="1" applyFont="1" applyFill="1" applyBorder="1" applyAlignment="1">
      <alignment horizontal="right" indent="2"/>
      <protection locked="0" hidden="1"/>
    </xf>
    <xf numFmtId="165" fontId="3" fillId="0" borderId="0" xfId="0" applyNumberFormat="1" applyFont="1" applyFill="1" applyBorder="1" applyAlignment="1">
      <alignment horizontal="right"/>
      <protection locked="0" hidden="1"/>
    </xf>
    <xf numFmtId="185" fontId="16" fillId="0" borderId="1" xfId="0" applyNumberFormat="1" applyFont="1" applyFill="1" applyBorder="1" applyAlignment="1">
      <alignment horizontal="right"/>
      <protection locked="0" hidden="1"/>
    </xf>
    <xf numFmtId="184" fontId="16" fillId="0" borderId="11" xfId="0" applyNumberFormat="1" applyFont="1" applyFill="1" applyBorder="1" applyAlignment="1">
      <alignment horizontal="right"/>
      <protection locked="0" hidden="1"/>
    </xf>
    <xf numFmtId="167" fontId="16" fillId="0" borderId="1" xfId="0" applyNumberFormat="1" applyFont="1" applyFill="1" applyBorder="1" applyAlignment="1">
      <alignment horizontal="right"/>
      <protection locked="0" hidden="1"/>
    </xf>
    <xf numFmtId="206" fontId="4" fillId="0" borderId="0" xfId="0" applyNumberFormat="1" applyFont="1" applyFill="1" applyBorder="1" applyAlignment="1">
      <protection locked="0" hidden="1"/>
    </xf>
    <xf numFmtId="219" fontId="20" fillId="0" borderId="1" xfId="0" applyNumberFormat="1" applyFont="1" applyFill="1" applyBorder="1" applyAlignment="1">
      <protection locked="0" hidden="1"/>
    </xf>
    <xf numFmtId="220" fontId="20" fillId="0" borderId="1" xfId="0" applyNumberFormat="1" applyFont="1" applyFill="1" applyBorder="1" applyAlignment="1">
      <protection locked="0" hidden="1"/>
    </xf>
    <xf numFmtId="220" fontId="20" fillId="0" borderId="11" xfId="0" applyNumberFormat="1" applyFont="1" applyFill="1" applyBorder="1" applyAlignment="1">
      <alignment horizontal="right"/>
      <protection locked="0" hidden="1"/>
    </xf>
    <xf numFmtId="189" fontId="20" fillId="0" borderId="11" xfId="0" applyNumberFormat="1" applyFont="1" applyFill="1" applyBorder="1" applyAlignment="1">
      <alignment horizontal="right"/>
      <protection locked="0" hidden="1"/>
    </xf>
    <xf numFmtId="166" fontId="27" fillId="0" borderId="0" xfId="0" applyFont="1" applyFill="1" applyAlignment="1">
      <protection locked="0" hidden="1"/>
    </xf>
    <xf numFmtId="3" fontId="3" fillId="0" borderId="11" xfId="22" applyNumberFormat="1" applyFont="1" applyBorder="1" applyAlignment="1">
      <alignment horizontal="right" indent="2" readingOrder="1"/>
    </xf>
    <xf numFmtId="209" fontId="19" fillId="0" borderId="4" xfId="0" applyNumberFormat="1" applyFont="1" applyFill="1" applyBorder="1" applyAlignment="1">
      <alignment horizontal="left"/>
      <protection locked="0" hidden="1"/>
    </xf>
    <xf numFmtId="166" fontId="19" fillId="0" borderId="3" xfId="0" applyFont="1" applyFill="1" applyBorder="1" applyAlignment="1">
      <alignment horizontal="left"/>
      <protection locked="0" hidden="1"/>
    </xf>
    <xf numFmtId="166" fontId="10" fillId="0" borderId="3" xfId="0" applyFont="1" applyFill="1" applyBorder="1" applyAlignment="1">
      <alignment horizontal="left"/>
      <protection locked="0" hidden="1"/>
    </xf>
    <xf numFmtId="2" fontId="4" fillId="0" borderId="8" xfId="18" applyNumberFormat="1" applyFont="1" applyFill="1" applyBorder="1" applyAlignment="1">
      <alignment horizontal="right" indent="2"/>
      <protection locked="0" hidden="1"/>
    </xf>
    <xf numFmtId="206" fontId="16" fillId="0" borderId="8" xfId="0" applyNumberFormat="1" applyFont="1" applyFill="1" applyBorder="1" applyAlignment="1">
      <alignment horizontal="center"/>
      <protection locked="0" hidden="1"/>
    </xf>
    <xf numFmtId="165" fontId="16" fillId="0" borderId="11" xfId="0" applyNumberFormat="1" applyFont="1" applyFill="1" applyBorder="1" applyAlignment="1" applyProtection="1">
      <alignment horizontal="right" indent="1" readingOrder="1"/>
      <protection locked="0" hidden="1"/>
    </xf>
    <xf numFmtId="166" fontId="46" fillId="0" borderId="8" xfId="0" applyFont="1" applyFill="1" applyBorder="1" applyAlignment="1" applyProtection="1">
      <alignment horizontal="center" vertical="center"/>
    </xf>
    <xf numFmtId="166" fontId="27" fillId="0" borderId="9" xfId="0" applyNumberFormat="1" applyFont="1" applyFill="1" applyBorder="1" applyAlignment="1" applyProtection="1">
      <alignment horizontal="center" vertical="center"/>
      <protection locked="0" hidden="1"/>
    </xf>
    <xf numFmtId="166" fontId="27" fillId="0" borderId="8" xfId="0" applyFont="1" applyFill="1" applyBorder="1" applyAlignment="1" applyProtection="1">
      <alignment horizontal="center" vertical="center"/>
    </xf>
    <xf numFmtId="206" fontId="14" fillId="0" borderId="0" xfId="0" applyNumberFormat="1" applyFont="1" applyFill="1" applyAlignment="1" applyProtection="1">
      <protection locked="0" hidden="1"/>
    </xf>
    <xf numFmtId="221" fontId="20" fillId="0" borderId="11" xfId="0" applyNumberFormat="1" applyFont="1" applyFill="1" applyBorder="1" applyAlignment="1">
      <alignment horizontal="right"/>
      <protection locked="0" hidden="1"/>
    </xf>
    <xf numFmtId="177" fontId="20" fillId="0" borderId="9" xfId="0" applyNumberFormat="1" applyFont="1" applyFill="1" applyBorder="1" applyAlignment="1">
      <protection locked="0" hidden="1"/>
    </xf>
    <xf numFmtId="172" fontId="16" fillId="0" borderId="11" xfId="0" applyNumberFormat="1" applyFont="1" applyFill="1" applyBorder="1" applyAlignment="1">
      <protection locked="0" hidden="1"/>
    </xf>
    <xf numFmtId="177" fontId="20" fillId="0" borderId="4" xfId="0" applyNumberFormat="1" applyFont="1" applyFill="1" applyBorder="1" applyAlignment="1">
      <alignment horizontal="right"/>
      <protection locked="0" hidden="1"/>
    </xf>
    <xf numFmtId="170" fontId="20" fillId="0" borderId="9" xfId="0" applyNumberFormat="1" applyFont="1" applyFill="1" applyBorder="1" applyAlignment="1">
      <alignment horizontal="right" indent="1"/>
      <protection locked="0" hidden="1"/>
    </xf>
    <xf numFmtId="227" fontId="26" fillId="0" borderId="11" xfId="2" applyNumberFormat="1" applyFont="1" applyFill="1" applyBorder="1" applyAlignment="1" applyProtection="1"/>
    <xf numFmtId="192" fontId="16" fillId="0" borderId="11" xfId="0" applyNumberFormat="1" applyFont="1" applyFill="1" applyBorder="1" applyAlignment="1">
      <alignment vertical="top"/>
      <protection locked="0" hidden="1"/>
    </xf>
    <xf numFmtId="192" fontId="16" fillId="0" borderId="10" xfId="0" applyNumberFormat="1" applyFont="1" applyFill="1" applyBorder="1" applyAlignment="1">
      <protection locked="0" hidden="1"/>
    </xf>
    <xf numFmtId="4" fontId="16" fillId="0" borderId="11" xfId="0" quotePrefix="1" applyNumberFormat="1" applyFont="1" applyFill="1" applyBorder="1" applyAlignment="1">
      <alignment horizontal="center"/>
      <protection locked="0" hidden="1"/>
    </xf>
    <xf numFmtId="0" fontId="5" fillId="0" borderId="0" xfId="22" applyFont="1" applyAlignment="1">
      <alignment horizontal="centerContinuous"/>
    </xf>
    <xf numFmtId="0" fontId="10" fillId="0" borderId="0" xfId="22" applyFont="1" applyAlignment="1">
      <alignment horizontal="centerContinuous" vertical="top"/>
    </xf>
    <xf numFmtId="0" fontId="6" fillId="0" borderId="0" xfId="22" applyFont="1" applyAlignment="1">
      <alignment horizontal="center" vertical="top"/>
    </xf>
    <xf numFmtId="0" fontId="13" fillId="0" borderId="0" xfId="27" applyFont="1" applyFill="1" applyAlignment="1" applyProtection="1">
      <alignment horizontal="right"/>
      <protection locked="0" hidden="1"/>
    </xf>
    <xf numFmtId="0" fontId="12" fillId="0" borderId="1" xfId="27" applyNumberFormat="1" applyFont="1" applyFill="1" applyBorder="1" applyAlignment="1" applyProtection="1">
      <alignment horizontal="centerContinuous"/>
    </xf>
    <xf numFmtId="0" fontId="10" fillId="0" borderId="9" xfId="27" applyNumberFormat="1" applyFont="1" applyFill="1" applyBorder="1" applyAlignment="1" applyProtection="1">
      <alignment horizontal="centerContinuous"/>
    </xf>
    <xf numFmtId="0" fontId="10" fillId="0" borderId="1" xfId="27" applyNumberFormat="1" applyFont="1" applyFill="1" applyBorder="1" applyAlignment="1" applyProtection="1">
      <alignment horizontal="centerContinuous" vertical="top"/>
    </xf>
    <xf numFmtId="0" fontId="10" fillId="0" borderId="0" xfId="27" applyNumberFormat="1" applyFont="1" applyFill="1" applyBorder="1" applyAlignment="1" applyProtection="1">
      <alignment horizontal="centerContinuous"/>
    </xf>
    <xf numFmtId="0" fontId="19" fillId="0" borderId="3" xfId="22" applyFont="1" applyBorder="1" applyAlignment="1">
      <alignment horizontal="center" vertical="center"/>
    </xf>
    <xf numFmtId="166" fontId="19" fillId="0" borderId="1" xfId="27" applyNumberFormat="1" applyFont="1" applyFill="1" applyBorder="1" applyAlignment="1" applyProtection="1">
      <alignment horizontal="left"/>
      <protection locked="0" hidden="1"/>
    </xf>
    <xf numFmtId="164" fontId="16" fillId="0" borderId="11" xfId="27" applyNumberFormat="1" applyFont="1" applyFill="1" applyBorder="1" applyAlignment="1" applyProtection="1">
      <alignment horizontal="right" indent="3"/>
      <protection locked="0" hidden="1"/>
    </xf>
    <xf numFmtId="164" fontId="16" fillId="0" borderId="12" xfId="27" applyNumberFormat="1" applyFont="1" applyFill="1" applyBorder="1" applyAlignment="1" applyProtection="1">
      <alignment horizontal="right" indent="3"/>
      <protection locked="0" hidden="1"/>
    </xf>
    <xf numFmtId="164" fontId="16" fillId="0" borderId="7" xfId="22" applyNumberFormat="1" applyFont="1" applyBorder="1" applyAlignment="1">
      <alignment horizontal="right" indent="3"/>
    </xf>
    <xf numFmtId="164" fontId="16" fillId="0" borderId="0" xfId="22" applyNumberFormat="1" applyFont="1" applyAlignment="1">
      <alignment horizontal="right" indent="3"/>
    </xf>
    <xf numFmtId="166" fontId="19" fillId="0" borderId="4" xfId="27" applyNumberFormat="1" applyFont="1" applyFill="1" applyBorder="1" applyAlignment="1" applyProtection="1">
      <alignment horizontal="left"/>
      <protection locked="0" hidden="1"/>
    </xf>
    <xf numFmtId="166" fontId="19" fillId="0" borderId="3" xfId="27" applyNumberFormat="1" applyFont="1" applyFill="1" applyBorder="1" applyAlignment="1" applyProtection="1">
      <alignment horizontal="left"/>
      <protection locked="0" hidden="1"/>
    </xf>
    <xf numFmtId="0" fontId="20" fillId="0" borderId="1" xfId="22" applyFont="1" applyBorder="1"/>
    <xf numFmtId="0" fontId="20" fillId="0" borderId="0" xfId="22" applyFont="1" applyBorder="1"/>
    <xf numFmtId="0" fontId="20" fillId="0" borderId="0" xfId="22" applyFont="1"/>
    <xf numFmtId="166" fontId="19" fillId="0" borderId="0" xfId="27" applyNumberFormat="1" applyFont="1" applyFill="1" applyBorder="1" applyAlignment="1" applyProtection="1">
      <alignment horizontal="left"/>
      <protection locked="0" hidden="1"/>
    </xf>
    <xf numFmtId="166" fontId="29" fillId="0" borderId="1" xfId="27" applyNumberFormat="1" applyFont="1" applyFill="1" applyBorder="1" applyAlignment="1" applyProtection="1">
      <alignment horizontal="left"/>
      <protection locked="0" hidden="1"/>
    </xf>
    <xf numFmtId="166" fontId="29" fillId="0" borderId="0" xfId="27" applyNumberFormat="1" applyFont="1" applyFill="1" applyBorder="1" applyAlignment="1" applyProtection="1">
      <alignment horizontal="left"/>
      <protection locked="0" hidden="1"/>
    </xf>
    <xf numFmtId="166" fontId="29" fillId="0" borderId="4" xfId="27" applyNumberFormat="1" applyFont="1" applyFill="1" applyBorder="1" applyAlignment="1" applyProtection="1">
      <alignment horizontal="left"/>
      <protection locked="0" hidden="1"/>
    </xf>
    <xf numFmtId="0" fontId="16" fillId="0" borderId="0" xfId="22" applyFont="1" applyAlignment="1">
      <alignment horizontal="center"/>
    </xf>
    <xf numFmtId="0" fontId="6" fillId="0" borderId="7" xfId="22" applyFont="1" applyBorder="1" applyAlignment="1">
      <alignment horizontal="left" indent="5"/>
    </xf>
    <xf numFmtId="164" fontId="16" fillId="0" borderId="8" xfId="27" applyNumberFormat="1" applyFont="1" applyFill="1" applyBorder="1" applyAlignment="1" applyProtection="1">
      <alignment horizontal="right" indent="3"/>
      <protection locked="0" hidden="1"/>
    </xf>
    <xf numFmtId="164" fontId="16" fillId="0" borderId="3" xfId="22" applyNumberFormat="1" applyFont="1" applyBorder="1" applyAlignment="1">
      <alignment horizontal="right" indent="3"/>
    </xf>
    <xf numFmtId="4" fontId="16" fillId="0" borderId="8" xfId="0" quotePrefix="1" applyNumberFormat="1" applyFont="1" applyFill="1" applyBorder="1" applyAlignment="1">
      <alignment horizontal="center"/>
      <protection locked="0" hidden="1"/>
    </xf>
    <xf numFmtId="0" fontId="4" fillId="0" borderId="0" xfId="26" applyNumberFormat="1" applyFont="1" applyFill="1" applyAlignment="1" applyProtection="1"/>
    <xf numFmtId="0" fontId="19" fillId="0" borderId="8" xfId="22" applyFont="1" applyBorder="1" applyAlignment="1">
      <alignment horizontal="center" vertical="center" wrapText="1"/>
    </xf>
    <xf numFmtId="0" fontId="19" fillId="0" borderId="9" xfId="22" applyFont="1" applyBorder="1" applyAlignment="1">
      <alignment horizontal="center" vertical="center" wrapText="1"/>
    </xf>
    <xf numFmtId="0" fontId="19" fillId="0" borderId="11" xfId="22" applyFont="1" applyBorder="1" applyAlignment="1">
      <alignment horizontal="center" vertical="center" wrapText="1"/>
    </xf>
    <xf numFmtId="0" fontId="19" fillId="0" borderId="11" xfId="22" applyFont="1" applyBorder="1" applyAlignment="1">
      <alignment horizontal="center" vertical="center" wrapText="1" readingOrder="1"/>
    </xf>
    <xf numFmtId="0" fontId="19" fillId="0" borderId="12" xfId="22" applyFont="1" applyBorder="1" applyAlignment="1">
      <alignment horizontal="center" vertical="center" wrapText="1"/>
    </xf>
    <xf numFmtId="166" fontId="29" fillId="0" borderId="10" xfId="27" applyNumberFormat="1" applyFont="1" applyFill="1" applyBorder="1" applyAlignment="1" applyProtection="1">
      <alignment horizontal="left"/>
      <protection locked="0" hidden="1"/>
    </xf>
    <xf numFmtId="0" fontId="6" fillId="0" borderId="0" xfId="22" applyFont="1" applyBorder="1" applyAlignment="1">
      <alignment horizontal="right" readingOrder="2"/>
    </xf>
    <xf numFmtId="0" fontId="6" fillId="0" borderId="0" xfId="22" applyFont="1" applyAlignment="1">
      <alignment horizontal="right"/>
    </xf>
    <xf numFmtId="0" fontId="6" fillId="0" borderId="7" xfId="22" applyFont="1" applyBorder="1" applyAlignment="1">
      <alignment horizontal="right" indent="5"/>
    </xf>
    <xf numFmtId="0" fontId="6" fillId="0" borderId="7" xfId="22" applyFont="1" applyBorder="1" applyAlignment="1">
      <alignment horizontal="right"/>
    </xf>
    <xf numFmtId="0" fontId="6" fillId="0" borderId="0" xfId="22" applyFont="1" applyBorder="1" applyAlignment="1">
      <alignment horizontal="right"/>
    </xf>
    <xf numFmtId="166" fontId="29" fillId="0" borderId="9" xfId="27" applyNumberFormat="1" applyFont="1" applyFill="1" applyBorder="1" applyAlignment="1" applyProtection="1">
      <alignment horizontal="left"/>
      <protection locked="0" hidden="1"/>
    </xf>
    <xf numFmtId="166" fontId="29" fillId="0" borderId="0" xfId="0" applyNumberFormat="1" applyFont="1" applyFill="1" applyBorder="1" applyAlignment="1">
      <alignment horizontal="left"/>
      <protection locked="0" hidden="1"/>
    </xf>
    <xf numFmtId="195" fontId="20" fillId="0" borderId="11" xfId="0" applyNumberFormat="1" applyFont="1" applyFill="1" applyBorder="1" applyAlignment="1">
      <protection locked="0" hidden="1"/>
    </xf>
    <xf numFmtId="209" fontId="29" fillId="0" borderId="1" xfId="0" applyNumberFormat="1" applyFont="1" applyFill="1" applyBorder="1" applyAlignment="1">
      <alignment horizontal="left"/>
      <protection locked="0" hidden="1"/>
    </xf>
    <xf numFmtId="206" fontId="14" fillId="0" borderId="0" xfId="0" applyNumberFormat="1" applyFont="1" applyFill="1" applyBorder="1" applyAlignment="1">
      <protection locked="0" hidden="1"/>
    </xf>
    <xf numFmtId="168" fontId="20" fillId="0" borderId="11" xfId="0" applyNumberFormat="1" applyFont="1" applyFill="1" applyBorder="1" applyAlignment="1">
      <protection locked="0" hidden="1"/>
    </xf>
    <xf numFmtId="200" fontId="20" fillId="0" borderId="11" xfId="0" applyNumberFormat="1" applyFont="1" applyFill="1" applyBorder="1" applyAlignment="1">
      <protection locked="0" hidden="1"/>
    </xf>
    <xf numFmtId="172" fontId="20" fillId="0" borderId="0" xfId="0" applyNumberFormat="1" applyFont="1" applyFill="1" applyBorder="1" applyAlignment="1">
      <protection locked="0" hidden="1"/>
    </xf>
    <xf numFmtId="191" fontId="20" fillId="0" borderId="15" xfId="0" applyNumberFormat="1" applyFont="1" applyFill="1" applyBorder="1" applyAlignment="1">
      <protection locked="0" hidden="1"/>
    </xf>
    <xf numFmtId="164" fontId="20" fillId="0" borderId="11" xfId="0" applyNumberFormat="1" applyFont="1" applyFill="1" applyBorder="1" applyAlignment="1">
      <alignment horizontal="center"/>
      <protection locked="0" hidden="1"/>
    </xf>
    <xf numFmtId="207" fontId="20" fillId="0" borderId="11" xfId="0" applyNumberFormat="1" applyFont="1" applyFill="1" applyBorder="1" applyAlignment="1">
      <protection locked="0" hidden="1"/>
    </xf>
    <xf numFmtId="180" fontId="20" fillId="0" borderId="11" xfId="0" applyNumberFormat="1" applyFont="1" applyFill="1" applyBorder="1" applyAlignment="1">
      <protection locked="0" hidden="1"/>
    </xf>
    <xf numFmtId="171" fontId="20" fillId="0" borderId="11" xfId="0" applyNumberFormat="1" applyFont="1" applyFill="1" applyBorder="1" applyAlignment="1">
      <protection locked="0" hidden="1"/>
    </xf>
    <xf numFmtId="0" fontId="3" fillId="0" borderId="0" xfId="22" applyFont="1" applyBorder="1" applyAlignment="1"/>
    <xf numFmtId="3" fontId="3" fillId="0" borderId="0" xfId="22" applyNumberFormat="1" applyFont="1" applyBorder="1" applyAlignment="1"/>
    <xf numFmtId="166" fontId="20" fillId="0" borderId="11" xfId="0" applyFont="1" applyFill="1" applyBorder="1" applyAlignment="1">
      <alignment horizontal="right" indent="3"/>
      <protection locked="0" hidden="1"/>
    </xf>
    <xf numFmtId="3" fontId="20" fillId="0" borderId="11" xfId="0" applyNumberFormat="1" applyFont="1" applyFill="1" applyBorder="1" applyAlignment="1">
      <alignment horizontal="right" indent="2"/>
      <protection locked="0" hidden="1"/>
    </xf>
    <xf numFmtId="3" fontId="20" fillId="0" borderId="11" xfId="0" applyNumberFormat="1" applyFont="1" applyFill="1" applyBorder="1" applyAlignment="1">
      <alignment horizontal="right" indent="3"/>
      <protection locked="0" hidden="1"/>
    </xf>
    <xf numFmtId="4" fontId="20" fillId="0" borderId="11" xfId="0" applyNumberFormat="1" applyFont="1" applyFill="1" applyBorder="1" applyAlignment="1">
      <alignment horizontal="center"/>
      <protection locked="0" hidden="1"/>
    </xf>
    <xf numFmtId="4" fontId="20" fillId="0" borderId="11" xfId="0" applyNumberFormat="1" applyFont="1" applyFill="1" applyBorder="1" applyAlignment="1">
      <alignment horizontal="right" indent="2"/>
      <protection locked="0" hidden="1"/>
    </xf>
    <xf numFmtId="2" fontId="20" fillId="0" borderId="0" xfId="22" applyNumberFormat="1" applyFont="1" applyFill="1" applyAlignment="1">
      <alignment horizontal="right" indent="3"/>
    </xf>
    <xf numFmtId="2" fontId="20" fillId="0" borderId="11" xfId="0" applyNumberFormat="1" applyFont="1" applyFill="1" applyBorder="1" applyAlignment="1">
      <alignment horizontal="right" indent="3"/>
      <protection locked="0" hidden="1"/>
    </xf>
    <xf numFmtId="166" fontId="29" fillId="0" borderId="9" xfId="0" applyFont="1" applyFill="1" applyBorder="1" applyAlignment="1" applyProtection="1">
      <alignment horizontal="left"/>
    </xf>
    <xf numFmtId="166" fontId="26" fillId="0" borderId="0" xfId="26" applyFont="1" applyFill="1" applyAlignment="1" applyProtection="1">
      <alignment vertical="center"/>
    </xf>
    <xf numFmtId="166" fontId="26" fillId="0" borderId="0" xfId="0" applyFont="1" applyFill="1" applyAlignment="1" applyProtection="1">
      <alignment vertical="center"/>
    </xf>
    <xf numFmtId="166" fontId="29" fillId="0" borderId="9" xfId="26" applyFont="1" applyFill="1" applyBorder="1" applyAlignment="1" applyProtection="1">
      <alignment horizontal="left"/>
    </xf>
    <xf numFmtId="217" fontId="26" fillId="0" borderId="11" xfId="2" applyNumberFormat="1" applyFont="1" applyFill="1" applyBorder="1" applyAlignment="1" applyProtection="1">
      <alignment vertical="center"/>
    </xf>
    <xf numFmtId="228" fontId="26" fillId="0" borderId="11" xfId="2" applyNumberFormat="1" applyFont="1" applyFill="1" applyBorder="1" applyAlignment="1" applyProtection="1">
      <alignment horizontal="right" indent="1"/>
    </xf>
    <xf numFmtId="217" fontId="26" fillId="0" borderId="11" xfId="2" applyNumberFormat="1" applyFont="1" applyFill="1" applyBorder="1" applyAlignment="1" applyProtection="1"/>
    <xf numFmtId="217" fontId="14" fillId="0" borderId="11" xfId="2" applyNumberFormat="1" applyFont="1" applyFill="1" applyBorder="1" applyAlignment="1" applyProtection="1"/>
    <xf numFmtId="166" fontId="29" fillId="0" borderId="9" xfId="0" applyNumberFormat="1" applyFont="1" applyFill="1" applyBorder="1" applyAlignment="1">
      <alignment horizontal="left"/>
      <protection locked="0" hidden="1"/>
    </xf>
    <xf numFmtId="206" fontId="20" fillId="0" borderId="0" xfId="0" applyNumberFormat="1" applyFont="1" applyFill="1" applyBorder="1" applyAlignment="1">
      <protection locked="0" hidden="1"/>
    </xf>
    <xf numFmtId="165" fontId="6" fillId="0" borderId="0" xfId="0" applyNumberFormat="1" applyFont="1" applyFill="1" applyBorder="1" applyAlignment="1">
      <alignment horizontal="right"/>
      <protection locked="0" hidden="1"/>
    </xf>
    <xf numFmtId="213" fontId="20" fillId="0" borderId="9" xfId="0" applyNumberFormat="1" applyFont="1" applyFill="1" applyBorder="1" applyAlignment="1">
      <protection locked="0" hidden="1"/>
    </xf>
    <xf numFmtId="170" fontId="20" fillId="0" borderId="0" xfId="0" applyNumberFormat="1" applyFont="1" applyFill="1" applyBorder="1" applyAlignment="1">
      <protection locked="0" hidden="1"/>
    </xf>
    <xf numFmtId="203" fontId="16" fillId="0" borderId="9" xfId="0" applyNumberFormat="1" applyFont="1" applyFill="1" applyBorder="1" applyAlignment="1">
      <protection locked="0" hidden="1"/>
    </xf>
    <xf numFmtId="166" fontId="10" fillId="0" borderId="0" xfId="0" applyNumberFormat="1" applyFont="1" applyFill="1" applyBorder="1" applyAlignment="1" applyProtection="1">
      <alignment horizontal="left"/>
      <protection locked="0" hidden="1"/>
    </xf>
    <xf numFmtId="164" fontId="14" fillId="0" borderId="11" xfId="0" applyNumberFormat="1" applyFont="1" applyFill="1" applyBorder="1" applyAlignment="1" applyProtection="1">
      <alignment horizontal="right" indent="1" readingOrder="1"/>
      <protection locked="0" hidden="1"/>
    </xf>
    <xf numFmtId="165" fontId="14" fillId="0" borderId="11" xfId="0" applyNumberFormat="1" applyFont="1" applyFill="1" applyBorder="1" applyAlignment="1" applyProtection="1">
      <alignment horizontal="right" indent="1"/>
      <protection locked="0" hidden="1"/>
    </xf>
    <xf numFmtId="165" fontId="14" fillId="0" borderId="11" xfId="0" applyNumberFormat="1" applyFont="1" applyFill="1" applyBorder="1" applyAlignment="1" applyProtection="1">
      <alignment horizontal="right" indent="1" readingOrder="1"/>
      <protection locked="0" hidden="1"/>
    </xf>
    <xf numFmtId="2" fontId="4" fillId="0" borderId="11" xfId="18" applyNumberFormat="1" applyFont="1" applyFill="1" applyBorder="1" applyAlignment="1">
      <alignment horizontal="center"/>
      <protection locked="0" hidden="1"/>
    </xf>
    <xf numFmtId="2" fontId="4" fillId="0" borderId="11" xfId="18" applyNumberFormat="1" applyFont="1" applyFill="1" applyBorder="1" applyAlignment="1">
      <alignment horizontal="right" indent="1"/>
      <protection locked="0" hidden="1"/>
    </xf>
    <xf numFmtId="2" fontId="4" fillId="0" borderId="11" xfId="18" applyNumberFormat="1" applyFont="1" applyFill="1" applyBorder="1" applyAlignment="1">
      <alignment horizontal="right" indent="3"/>
      <protection locked="0" hidden="1"/>
    </xf>
    <xf numFmtId="218" fontId="20" fillId="0" borderId="11" xfId="0" applyNumberFormat="1" applyFont="1" applyFill="1" applyBorder="1" applyAlignment="1">
      <alignment horizontal="right" indent="2"/>
      <protection locked="0" hidden="1"/>
    </xf>
    <xf numFmtId="210" fontId="20" fillId="0" borderId="11" xfId="0" applyNumberFormat="1" applyFont="1" applyFill="1" applyBorder="1" applyAlignment="1">
      <alignment horizontal="right" indent="2"/>
      <protection locked="0" hidden="1"/>
    </xf>
    <xf numFmtId="196" fontId="20" fillId="0" borderId="11" xfId="0" applyNumberFormat="1" applyFont="1" applyFill="1" applyBorder="1" applyAlignment="1">
      <alignment horizontal="right"/>
      <protection locked="0" hidden="1"/>
    </xf>
    <xf numFmtId="166" fontId="16" fillId="0" borderId="0" xfId="0" applyFont="1" applyFill="1" applyAlignment="1">
      <alignment wrapText="1"/>
      <protection locked="0" hidden="1"/>
    </xf>
    <xf numFmtId="181" fontId="20" fillId="0" borderId="11" xfId="0" applyNumberFormat="1" applyFont="1" applyFill="1" applyBorder="1" applyAlignment="1">
      <protection locked="0" hidden="1"/>
    </xf>
    <xf numFmtId="175" fontId="20" fillId="0" borderId="11" xfId="0" applyNumberFormat="1" applyFont="1" applyFill="1" applyBorder="1" applyAlignment="1">
      <protection locked="0" hidden="1"/>
    </xf>
    <xf numFmtId="181" fontId="20" fillId="0" borderId="9" xfId="0" applyNumberFormat="1" applyFont="1" applyFill="1" applyBorder="1" applyAlignment="1">
      <protection locked="0" hidden="1"/>
    </xf>
    <xf numFmtId="166" fontId="10" fillId="0" borderId="1" xfId="0" applyFont="1" applyFill="1" applyBorder="1" applyAlignment="1">
      <alignment horizontal="left"/>
      <protection locked="0" hidden="1"/>
    </xf>
    <xf numFmtId="166" fontId="29" fillId="0" borderId="1" xfId="0" applyFont="1" applyFill="1" applyBorder="1" applyAlignment="1">
      <alignment horizontal="left"/>
      <protection locked="0" hidden="1"/>
    </xf>
    <xf numFmtId="166" fontId="27" fillId="0" borderId="1" xfId="0" applyFont="1" applyFill="1" applyBorder="1" applyAlignment="1">
      <alignment horizontal="left"/>
      <protection locked="0" hidden="1"/>
    </xf>
    <xf numFmtId="166" fontId="27" fillId="0" borderId="0" xfId="0" applyFont="1" applyFill="1" applyBorder="1" applyAlignment="1">
      <alignment horizontal="left"/>
      <protection locked="0" hidden="1"/>
    </xf>
    <xf numFmtId="166" fontId="19" fillId="0" borderId="1" xfId="0" applyFont="1" applyFill="1" applyBorder="1" applyAlignment="1">
      <alignment horizontal="left"/>
      <protection locked="0" hidden="1"/>
    </xf>
    <xf numFmtId="166" fontId="46" fillId="0" borderId="1" xfId="0" applyFont="1" applyFill="1" applyBorder="1" applyAlignment="1">
      <alignment horizontal="left"/>
      <protection locked="0" hidden="1"/>
    </xf>
    <xf numFmtId="166" fontId="46" fillId="0" borderId="0" xfId="0" applyFont="1" applyFill="1" applyBorder="1" applyAlignment="1">
      <alignment horizontal="left"/>
      <protection locked="0" hidden="1"/>
    </xf>
    <xf numFmtId="166" fontId="14" fillId="0" borderId="0" xfId="0" applyNumberFormat="1" applyFont="1" applyFill="1" applyBorder="1" applyAlignment="1">
      <alignment horizontal="centerContinuous"/>
      <protection locked="0" hidden="1"/>
    </xf>
    <xf numFmtId="166" fontId="14" fillId="0" borderId="0" xfId="0" applyFont="1" applyFill="1" applyBorder="1" applyAlignment="1">
      <alignment horizontal="centerContinuous"/>
      <protection locked="0" hidden="1"/>
    </xf>
    <xf numFmtId="0" fontId="14" fillId="6" borderId="23" xfId="28" applyFont="1" applyFill="1" applyBorder="1" applyAlignment="1">
      <alignment horizontal="left" vertical="center" wrapText="1"/>
    </xf>
    <xf numFmtId="166" fontId="9" fillId="0" borderId="11" xfId="0" applyFont="1" applyFill="1" applyBorder="1" applyAlignment="1">
      <alignment horizontal="center" vertical="center" wrapText="1"/>
      <protection locked="0" hidden="1"/>
    </xf>
    <xf numFmtId="0" fontId="10" fillId="0" borderId="11" xfId="0" applyNumberFormat="1" applyFont="1" applyFill="1" applyBorder="1" applyAlignment="1" applyProtection="1">
      <alignment horizontal="center" wrapText="1"/>
    </xf>
    <xf numFmtId="0" fontId="12" fillId="0" borderId="6" xfId="0" applyNumberFormat="1" applyFont="1" applyFill="1" applyBorder="1" applyAlignment="1" applyProtection="1">
      <alignment horizontal="center" vertical="center" wrapText="1" readingOrder="2"/>
    </xf>
    <xf numFmtId="0" fontId="17" fillId="0" borderId="1" xfId="22" applyFont="1" applyBorder="1" applyAlignment="1">
      <alignment horizontal="center" vertical="center"/>
    </xf>
    <xf numFmtId="0" fontId="17" fillId="0" borderId="9" xfId="22" applyFont="1" applyBorder="1" applyAlignment="1">
      <alignment horizontal="center" vertical="center"/>
    </xf>
    <xf numFmtId="0" fontId="17" fillId="0" borderId="1" xfId="22" applyFont="1" applyBorder="1" applyAlignment="1">
      <alignment horizontal="center" vertical="center" readingOrder="2"/>
    </xf>
    <xf numFmtId="0" fontId="17" fillId="0" borderId="9" xfId="22" applyFont="1" applyBorder="1" applyAlignment="1">
      <alignment horizontal="center" vertical="center" readingOrder="2"/>
    </xf>
    <xf numFmtId="0" fontId="10" fillId="0" borderId="0" xfId="22" applyFont="1" applyAlignment="1">
      <alignment horizontal="center" vertical="top"/>
    </xf>
    <xf numFmtId="0" fontId="17" fillId="0" borderId="2" xfId="22" applyFont="1" applyBorder="1" applyAlignment="1">
      <alignment horizontal="center"/>
    </xf>
    <xf numFmtId="0" fontId="17" fillId="0" borderId="6" xfId="22" applyFont="1" applyBorder="1" applyAlignment="1">
      <alignment horizontal="center"/>
    </xf>
    <xf numFmtId="0" fontId="19" fillId="0" borderId="6" xfId="22" applyFont="1" applyBorder="1" applyAlignment="1">
      <alignment horizontal="center" vertical="center" wrapText="1"/>
    </xf>
    <xf numFmtId="0" fontId="43" fillId="0" borderId="8" xfId="0" applyNumberFormat="1" applyFont="1" applyFill="1" applyBorder="1" applyAlignment="1" applyProtection="1">
      <alignment horizontal="center" vertical="center" wrapText="1" readingOrder="1"/>
    </xf>
    <xf numFmtId="166" fontId="27" fillId="0" borderId="11" xfId="0" applyNumberFormat="1" applyFont="1" applyFill="1" applyBorder="1" applyAlignment="1" applyProtection="1">
      <alignment horizontal="center" vertical="center" wrapText="1"/>
      <protection locked="0" hidden="1"/>
    </xf>
    <xf numFmtId="166" fontId="27" fillId="0" borderId="8" xfId="0" applyNumberFormat="1" applyFont="1" applyFill="1" applyBorder="1" applyAlignment="1" applyProtection="1">
      <alignment horizontal="center" vertical="center" wrapText="1"/>
      <protection locked="0" hidden="1"/>
    </xf>
    <xf numFmtId="166" fontId="27" fillId="0" borderId="12" xfId="0" applyNumberFormat="1" applyFont="1" applyFill="1" applyBorder="1" applyAlignment="1" applyProtection="1">
      <alignment horizontal="center" vertical="center"/>
      <protection locked="0" hidden="1"/>
    </xf>
    <xf numFmtId="166" fontId="27" fillId="0" borderId="11" xfId="0" applyNumberFormat="1" applyFont="1" applyFill="1" applyBorder="1" applyAlignment="1" applyProtection="1">
      <alignment horizontal="center" vertical="center"/>
      <protection locked="0" hidden="1"/>
    </xf>
    <xf numFmtId="166" fontId="27" fillId="0" borderId="5" xfId="0" applyNumberFormat="1" applyFont="1" applyFill="1" applyBorder="1" applyAlignment="1" applyProtection="1">
      <alignment horizontal="center" vertical="center"/>
      <protection locked="0" hidden="1"/>
    </xf>
    <xf numFmtId="166" fontId="27" fillId="0" borderId="6" xfId="0" applyNumberFormat="1" applyFont="1" applyFill="1" applyBorder="1" applyAlignment="1" applyProtection="1">
      <alignment horizontal="center" vertical="center"/>
      <protection locked="0" hidden="1"/>
    </xf>
    <xf numFmtId="166" fontId="7" fillId="0" borderId="11" xfId="0" applyFont="1" applyFill="1" applyBorder="1" applyAlignment="1">
      <alignment horizontal="center" wrapText="1" readingOrder="2"/>
      <protection locked="0" hidden="1"/>
    </xf>
    <xf numFmtId="166" fontId="49" fillId="0" borderId="0" xfId="0" applyFont="1" applyFill="1" applyAlignment="1">
      <protection locked="0" hidden="1"/>
    </xf>
    <xf numFmtId="166" fontId="49" fillId="0" borderId="31" xfId="0" applyFont="1" applyFill="1" applyBorder="1" applyAlignment="1">
      <protection locked="0" hidden="1"/>
    </xf>
    <xf numFmtId="166" fontId="49" fillId="0" borderId="32" xfId="0" applyFont="1" applyFill="1" applyBorder="1" applyAlignment="1">
      <protection locked="0" hidden="1"/>
    </xf>
    <xf numFmtId="166" fontId="49" fillId="0" borderId="33" xfId="0" applyFont="1" applyFill="1" applyBorder="1" applyAlignment="1">
      <protection locked="0" hidden="1"/>
    </xf>
    <xf numFmtId="166" fontId="5" fillId="0" borderId="34" xfId="0" applyFont="1" applyFill="1" applyBorder="1" applyAlignment="1">
      <alignment horizontal="centerContinuous"/>
      <protection locked="0" hidden="1"/>
    </xf>
    <xf numFmtId="166" fontId="50" fillId="0" borderId="0" xfId="0" applyFont="1" applyFill="1" applyAlignment="1">
      <alignment horizontal="centerContinuous"/>
      <protection locked="0" hidden="1"/>
    </xf>
    <xf numFmtId="166" fontId="9" fillId="0" borderId="0" xfId="0" applyFont="1" applyFill="1" applyBorder="1" applyAlignment="1">
      <alignment horizontal="centerContinuous"/>
      <protection locked="0" hidden="1"/>
    </xf>
    <xf numFmtId="166" fontId="21" fillId="0" borderId="0" xfId="0" applyFont="1" applyFill="1" applyBorder="1" applyAlignment="1">
      <alignment horizontal="centerContinuous"/>
      <protection locked="0" hidden="1"/>
    </xf>
    <xf numFmtId="166" fontId="21" fillId="0" borderId="35" xfId="0" applyFont="1" applyFill="1" applyBorder="1" applyAlignment="1">
      <alignment horizontal="centerContinuous"/>
      <protection locked="0" hidden="1"/>
    </xf>
    <xf numFmtId="166" fontId="21" fillId="0" borderId="0" xfId="0" applyFont="1" applyFill="1" applyAlignment="1">
      <protection locked="0" hidden="1"/>
    </xf>
    <xf numFmtId="166" fontId="51" fillId="0" borderId="0" xfId="0" applyFont="1" applyFill="1" applyBorder="1" applyAlignment="1">
      <alignment horizontal="centerContinuous"/>
      <protection locked="0" hidden="1"/>
    </xf>
    <xf numFmtId="166" fontId="49" fillId="0" borderId="34" xfId="0" applyFont="1" applyFill="1" applyBorder="1" applyAlignment="1">
      <alignment vertical="top"/>
      <protection locked="0" hidden="1"/>
    </xf>
    <xf numFmtId="166" fontId="52" fillId="0" borderId="0" xfId="0" applyFont="1" applyFill="1" applyBorder="1" applyAlignment="1">
      <alignment readingOrder="1"/>
      <protection locked="0" hidden="1"/>
    </xf>
    <xf numFmtId="166" fontId="53" fillId="0" borderId="0" xfId="0" applyFont="1" applyFill="1" applyBorder="1" applyAlignment="1">
      <alignment vertical="top"/>
      <protection locked="0" hidden="1"/>
    </xf>
    <xf numFmtId="166" fontId="54" fillId="0" borderId="0" xfId="0" applyFont="1" applyFill="1" applyBorder="1" applyAlignment="1">
      <alignment horizontal="center" vertical="top"/>
      <protection locked="0" hidden="1"/>
    </xf>
    <xf numFmtId="166" fontId="55" fillId="0" borderId="0" xfId="0" applyFont="1" applyFill="1" applyBorder="1" applyAlignment="1">
      <alignment horizontal="right" readingOrder="2"/>
      <protection locked="0" hidden="1"/>
    </xf>
    <xf numFmtId="166" fontId="49" fillId="0" borderId="35" xfId="0" applyFont="1" applyFill="1" applyBorder="1" applyAlignment="1">
      <alignment vertical="top"/>
      <protection locked="0" hidden="1"/>
    </xf>
    <xf numFmtId="166" fontId="49" fillId="0" borderId="0" xfId="0" applyFont="1" applyFill="1" applyAlignment="1">
      <alignment vertical="top"/>
      <protection locked="0" hidden="1"/>
    </xf>
    <xf numFmtId="166" fontId="49" fillId="0" borderId="34" xfId="0" applyFont="1" applyFill="1" applyBorder="1" applyAlignment="1">
      <protection locked="0" hidden="1"/>
    </xf>
    <xf numFmtId="166" fontId="35" fillId="0" borderId="0" xfId="0" applyFont="1" applyFill="1" applyBorder="1" applyAlignment="1">
      <protection locked="0" hidden="1"/>
    </xf>
    <xf numFmtId="166" fontId="54" fillId="0" borderId="0" xfId="0" applyFont="1" applyFill="1" applyBorder="1" applyAlignment="1">
      <protection locked="0" hidden="1"/>
    </xf>
    <xf numFmtId="166" fontId="54" fillId="0" borderId="0" xfId="0" applyFont="1" applyFill="1" applyBorder="1" applyAlignment="1">
      <alignment horizontal="center"/>
      <protection locked="0" hidden="1"/>
    </xf>
    <xf numFmtId="166" fontId="56" fillId="0" borderId="0" xfId="0" applyFont="1" applyFill="1" applyBorder="1" applyAlignment="1">
      <alignment horizontal="right"/>
      <protection locked="0" hidden="1"/>
    </xf>
    <xf numFmtId="166" fontId="49" fillId="0" borderId="35" xfId="0" applyFont="1" applyFill="1" applyBorder="1" applyAlignment="1">
      <protection locked="0" hidden="1"/>
    </xf>
    <xf numFmtId="166" fontId="49" fillId="0" borderId="36" xfId="0" applyFont="1" applyFill="1" applyBorder="1" applyAlignment="1">
      <protection locked="0" hidden="1"/>
    </xf>
    <xf numFmtId="166" fontId="49" fillId="0" borderId="36" xfId="0" applyFont="1" applyFill="1" applyBorder="1" applyAlignment="1">
      <alignment horizontal="right"/>
      <protection locked="0" hidden="1"/>
    </xf>
    <xf numFmtId="166" fontId="32" fillId="0" borderId="36" xfId="0" applyFont="1" applyFill="1" applyBorder="1" applyAlignment="1">
      <alignment horizontal="right"/>
      <protection locked="0" hidden="1"/>
    </xf>
    <xf numFmtId="166" fontId="32" fillId="0" borderId="36" xfId="0" applyFont="1" applyFill="1" applyBorder="1" applyAlignment="1">
      <alignment horizontal="right" readingOrder="2"/>
      <protection locked="0" hidden="1"/>
    </xf>
    <xf numFmtId="166" fontId="4" fillId="0" borderId="34" xfId="0" applyFont="1" applyFill="1" applyBorder="1" applyAlignment="1">
      <protection locked="0" hidden="1"/>
    </xf>
    <xf numFmtId="166" fontId="4" fillId="0" borderId="0" xfId="0" applyFont="1" applyFill="1" applyBorder="1" applyAlignment="1">
      <alignment horizontal="right"/>
      <protection locked="0" hidden="1"/>
    </xf>
    <xf numFmtId="166" fontId="4" fillId="0" borderId="35" xfId="0" applyFont="1" applyFill="1" applyBorder="1" applyAlignment="1">
      <protection locked="0" hidden="1"/>
    </xf>
    <xf numFmtId="166" fontId="49" fillId="0" borderId="37" xfId="0" applyFont="1" applyFill="1" applyBorder="1" applyAlignment="1">
      <protection locked="0" hidden="1"/>
    </xf>
    <xf numFmtId="166" fontId="49" fillId="0" borderId="38" xfId="0" applyFont="1" applyFill="1" applyBorder="1" applyAlignment="1">
      <protection locked="0" hidden="1"/>
    </xf>
    <xf numFmtId="166" fontId="49" fillId="0" borderId="38" xfId="0" applyFont="1" applyFill="1" applyBorder="1" applyAlignment="1">
      <alignment horizontal="right"/>
      <protection locked="0" hidden="1"/>
    </xf>
    <xf numFmtId="166" fontId="49" fillId="0" borderId="39" xfId="0" applyFont="1" applyFill="1" applyBorder="1" applyAlignment="1">
      <protection locked="0" hidden="1"/>
    </xf>
    <xf numFmtId="166" fontId="49" fillId="0" borderId="0" xfId="0" applyFont="1" applyFill="1" applyAlignment="1">
      <alignment horizontal="right"/>
      <protection locked="0" hidden="1"/>
    </xf>
    <xf numFmtId="166" fontId="49" fillId="0" borderId="32" xfId="0" applyFont="1" applyFill="1" applyBorder="1" applyAlignment="1">
      <alignment horizontal="right"/>
      <protection locked="0" hidden="1"/>
    </xf>
    <xf numFmtId="166" fontId="35" fillId="0" borderId="36" xfId="0" applyFont="1" applyFill="1" applyBorder="1" applyAlignment="1">
      <protection locked="0" hidden="1"/>
    </xf>
    <xf numFmtId="166" fontId="56" fillId="0" borderId="36" xfId="0" applyFont="1" applyFill="1" applyBorder="1" applyAlignment="1">
      <alignment horizontal="right"/>
      <protection locked="0" hidden="1"/>
    </xf>
    <xf numFmtId="166" fontId="16" fillId="0" borderId="34" xfId="0" applyFont="1" applyFill="1" applyBorder="1" applyAlignment="1">
      <protection locked="0" hidden="1"/>
    </xf>
    <xf numFmtId="166" fontId="16" fillId="0" borderId="0" xfId="0" applyFont="1" applyFill="1" applyBorder="1" applyAlignment="1">
      <alignment horizontal="center"/>
      <protection locked="0" hidden="1"/>
    </xf>
    <xf numFmtId="166" fontId="16" fillId="0" borderId="35" xfId="0" applyFont="1" applyFill="1" applyBorder="1" applyAlignment="1">
      <protection locked="0" hidden="1"/>
    </xf>
    <xf numFmtId="166" fontId="49" fillId="0" borderId="0" xfId="0" applyFont="1" applyFill="1" applyBorder="1" applyAlignment="1">
      <protection locked="0" hidden="1"/>
    </xf>
    <xf numFmtId="166" fontId="49" fillId="0" borderId="0" xfId="0" applyFont="1" applyFill="1" applyBorder="1" applyAlignment="1">
      <alignment horizontal="right"/>
      <protection locked="0" hidden="1"/>
    </xf>
    <xf numFmtId="166" fontId="57" fillId="0" borderId="0" xfId="0" applyFont="1" applyFill="1" applyAlignment="1">
      <alignment horizontal="centerContinuous"/>
      <protection locked="0" hidden="1"/>
    </xf>
    <xf numFmtId="166" fontId="7" fillId="0" borderId="5" xfId="0" applyFont="1" applyFill="1" applyBorder="1" applyAlignment="1">
      <alignment horizontal="left" vertical="center" indent="2"/>
      <protection locked="0" hidden="1"/>
    </xf>
    <xf numFmtId="166" fontId="7" fillId="0" borderId="22" xfId="0" applyFont="1" applyFill="1" applyBorder="1" applyAlignment="1">
      <alignment horizontal="right" vertical="center" indent="2"/>
      <protection locked="0" hidden="1"/>
    </xf>
    <xf numFmtId="166" fontId="7" fillId="0" borderId="12" xfId="0" applyFont="1" applyFill="1" applyBorder="1" applyAlignment="1">
      <alignment horizontal="center"/>
      <protection locked="0" hidden="1"/>
    </xf>
    <xf numFmtId="166" fontId="7" fillId="0" borderId="11" xfId="0" applyFont="1" applyFill="1" applyBorder="1" applyAlignment="1">
      <alignment horizontal="center" vertical="top" wrapText="1"/>
      <protection locked="0" hidden="1"/>
    </xf>
    <xf numFmtId="166" fontId="7" fillId="0" borderId="0" xfId="0" applyFont="1" applyFill="1" applyBorder="1" applyAlignment="1">
      <alignment horizontal="center" vertical="top" wrapText="1"/>
      <protection locked="0" hidden="1"/>
    </xf>
    <xf numFmtId="166" fontId="7" fillId="0" borderId="12" xfId="0" applyNumberFormat="1" applyFont="1" applyFill="1" applyBorder="1" applyAlignment="1">
      <alignment horizontal="left" readingOrder="1"/>
      <protection locked="0" hidden="1"/>
    </xf>
    <xf numFmtId="166" fontId="7" fillId="0" borderId="25" xfId="0" applyFont="1" applyFill="1" applyBorder="1" applyAlignment="1">
      <protection locked="0" hidden="1"/>
    </xf>
    <xf numFmtId="166" fontId="6" fillId="0" borderId="11" xfId="0" applyNumberFormat="1" applyFont="1" applyFill="1" applyBorder="1" applyAlignment="1">
      <alignment horizontal="left"/>
      <protection locked="0" hidden="1"/>
    </xf>
    <xf numFmtId="166" fontId="7" fillId="0" borderId="26" xfId="0" applyFont="1" applyFill="1" applyBorder="1" applyAlignment="1">
      <protection locked="0" hidden="1"/>
    </xf>
    <xf numFmtId="166" fontId="7" fillId="0" borderId="27" xfId="0" applyFont="1" applyFill="1" applyBorder="1" applyAlignment="1">
      <protection locked="0" hidden="1"/>
    </xf>
    <xf numFmtId="166" fontId="6" fillId="0" borderId="8" xfId="0" applyNumberFormat="1" applyFont="1" applyFill="1" applyBorder="1" applyAlignment="1">
      <alignment horizontal="left"/>
      <protection locked="0" hidden="1"/>
    </xf>
    <xf numFmtId="166" fontId="7" fillId="0" borderId="8" xfId="0" applyFont="1" applyFill="1" applyBorder="1" applyAlignment="1">
      <protection locked="0" hidden="1"/>
    </xf>
    <xf numFmtId="165" fontId="7" fillId="0" borderId="8" xfId="0" applyNumberFormat="1" applyFont="1" applyFill="1" applyBorder="1" applyAlignment="1">
      <alignment horizontal="right" indent="2"/>
      <protection locked="0" hidden="1"/>
    </xf>
    <xf numFmtId="0" fontId="6" fillId="0" borderId="0" xfId="22" applyFont="1" applyAlignment="1"/>
    <xf numFmtId="166" fontId="3" fillId="0" borderId="0" xfId="0" applyFont="1" applyFill="1" applyAlignment="1">
      <alignment horizontal="centerContinuous"/>
      <protection locked="0" hidden="1"/>
    </xf>
    <xf numFmtId="0" fontId="35" fillId="0" borderId="0" xfId="22" applyFont="1" applyAlignment="1">
      <alignment horizontal="centerContinuous"/>
    </xf>
    <xf numFmtId="0" fontId="4" fillId="0" borderId="0" xfId="22" applyFont="1" applyAlignment="1">
      <alignment horizontal="centerContinuous" vertical="top"/>
    </xf>
    <xf numFmtId="0" fontId="4" fillId="0" borderId="0" xfId="22" applyFont="1" applyAlignment="1">
      <alignment vertical="top"/>
    </xf>
    <xf numFmtId="0" fontId="10" fillId="0" borderId="2" xfId="22" applyFont="1" applyBorder="1" applyAlignment="1">
      <alignment horizontal="centerContinuous"/>
    </xf>
    <xf numFmtId="0" fontId="10" fillId="0" borderId="6" xfId="22" applyFont="1" applyBorder="1" applyAlignment="1">
      <alignment horizontal="centerContinuous"/>
    </xf>
    <xf numFmtId="0" fontId="12" fillId="0" borderId="6" xfId="22" applyFont="1" applyBorder="1" applyAlignment="1">
      <alignment horizontal="centerContinuous" readingOrder="2"/>
    </xf>
    <xf numFmtId="0" fontId="12" fillId="0" borderId="7" xfId="22" applyFont="1" applyBorder="1" applyAlignment="1">
      <alignment horizontal="centerContinuous"/>
    </xf>
    <xf numFmtId="0" fontId="4" fillId="0" borderId="6" xfId="22" applyFont="1" applyBorder="1" applyAlignment="1">
      <alignment horizontal="centerContinuous"/>
    </xf>
    <xf numFmtId="0" fontId="12" fillId="0" borderId="7" xfId="22" applyFont="1" applyBorder="1" applyAlignment="1">
      <alignment horizontal="centerContinuous" readingOrder="2"/>
    </xf>
    <xf numFmtId="0" fontId="12" fillId="0" borderId="11" xfId="22" applyFont="1" applyBorder="1" applyAlignment="1">
      <alignment horizontal="center" vertical="center" readingOrder="2"/>
    </xf>
    <xf numFmtId="0" fontId="10" fillId="0" borderId="11" xfId="22" applyFont="1" applyBorder="1" applyAlignment="1">
      <alignment horizontal="center"/>
    </xf>
    <xf numFmtId="0" fontId="10" fillId="0" borderId="1" xfId="22" applyFont="1" applyBorder="1" applyAlignment="1">
      <alignment horizontal="center"/>
    </xf>
    <xf numFmtId="0" fontId="10" fillId="0" borderId="8" xfId="22" applyFont="1" applyBorder="1" applyAlignment="1">
      <alignment horizontal="center" vertical="top"/>
    </xf>
    <xf numFmtId="3" fontId="14" fillId="0" borderId="0" xfId="0" applyNumberFormat="1" applyFont="1" applyFill="1" applyBorder="1" applyAlignment="1">
      <alignment horizontal="right" indent="1"/>
      <protection locked="0" hidden="1"/>
    </xf>
    <xf numFmtId="0" fontId="57" fillId="0" borderId="0" xfId="22" applyFont="1" applyAlignment="1">
      <alignment horizontal="centerContinuous"/>
    </xf>
    <xf numFmtId="0" fontId="57" fillId="0" borderId="0" xfId="22" applyFont="1" applyAlignment="1">
      <alignment horizontal="centerContinuous" vertical="top"/>
    </xf>
    <xf numFmtId="0" fontId="3" fillId="0" borderId="1" xfId="22" applyFont="1" applyBorder="1" applyAlignment="1"/>
    <xf numFmtId="166" fontId="46" fillId="0" borderId="4" xfId="0" applyNumberFormat="1" applyFont="1" applyFill="1" applyBorder="1" applyAlignment="1">
      <alignment horizontal="left"/>
      <protection locked="0" hidden="1"/>
    </xf>
    <xf numFmtId="3" fontId="3" fillId="0" borderId="8" xfId="22" applyNumberFormat="1" applyFont="1" applyBorder="1" applyAlignment="1">
      <alignment horizontal="right" indent="2" readingOrder="1"/>
    </xf>
    <xf numFmtId="3" fontId="6" fillId="0" borderId="8" xfId="22" applyNumberFormat="1" applyFont="1" applyBorder="1" applyAlignment="1">
      <alignment horizontal="right" indent="2" readingOrder="1"/>
    </xf>
    <xf numFmtId="1" fontId="3" fillId="0" borderId="0" xfId="22" applyNumberFormat="1" applyFont="1" applyBorder="1" applyAlignment="1"/>
    <xf numFmtId="164" fontId="3" fillId="0" borderId="0" xfId="22" applyNumberFormat="1" applyFont="1" applyBorder="1" applyAlignment="1"/>
    <xf numFmtId="166" fontId="46" fillId="0" borderId="3" xfId="0" applyNumberFormat="1" applyFont="1" applyFill="1" applyBorder="1" applyAlignment="1">
      <alignment horizontal="left"/>
      <protection locked="0" hidden="1"/>
    </xf>
    <xf numFmtId="166" fontId="29" fillId="0" borderId="4" xfId="0" applyNumberFormat="1" applyFont="1" applyFill="1" applyBorder="1" applyAlignment="1">
      <alignment horizontal="left"/>
      <protection locked="0" hidden="1"/>
    </xf>
    <xf numFmtId="166" fontId="29" fillId="0" borderId="3" xfId="0" applyNumberFormat="1" applyFont="1" applyFill="1" applyBorder="1" applyAlignment="1">
      <alignment horizontal="left"/>
      <protection locked="0" hidden="1"/>
    </xf>
    <xf numFmtId="166" fontId="40" fillId="0" borderId="0" xfId="0" applyNumberFormat="1" applyFont="1" applyFill="1" applyAlignment="1" applyProtection="1">
      <alignment horizontal="centerContinuous" readingOrder="1"/>
      <protection locked="0" hidden="1"/>
    </xf>
    <xf numFmtId="166" fontId="40" fillId="0" borderId="0" xfId="0" applyNumberFormat="1" applyFont="1" applyFill="1" applyAlignment="1" applyProtection="1">
      <alignment horizontal="centerContinuous"/>
      <protection locked="0" hidden="1"/>
    </xf>
    <xf numFmtId="166" fontId="50" fillId="0" borderId="0" xfId="0" applyNumberFormat="1" applyFont="1" applyFill="1" applyAlignment="1" applyProtection="1">
      <protection locked="0" hidden="1"/>
    </xf>
    <xf numFmtId="166" fontId="31" fillId="0" borderId="0" xfId="0" applyNumberFormat="1" applyFont="1" applyFill="1" applyAlignment="1" applyProtection="1">
      <alignment horizontal="centerContinuous"/>
      <protection locked="0" hidden="1"/>
    </xf>
    <xf numFmtId="166" fontId="20" fillId="0" borderId="0" xfId="0" applyNumberFormat="1" applyFont="1" applyFill="1" applyAlignment="1" applyProtection="1">
      <alignment horizontal="right"/>
      <protection locked="0" hidden="1"/>
    </xf>
    <xf numFmtId="166" fontId="29" fillId="0" borderId="12" xfId="0" applyNumberFormat="1" applyFont="1" applyFill="1" applyBorder="1" applyAlignment="1" applyProtection="1">
      <alignment horizontal="left" wrapText="1" indent="1"/>
      <protection locked="0" hidden="1"/>
    </xf>
    <xf numFmtId="0" fontId="57" fillId="0" borderId="0" xfId="8" applyFont="1" applyAlignment="1">
      <alignment horizontal="centerContinuous"/>
    </xf>
    <xf numFmtId="0" fontId="9" fillId="0" borderId="0" xfId="19" applyFont="1" applyAlignment="1">
      <alignment horizontal="centerContinuous" vertical="center"/>
    </xf>
    <xf numFmtId="166" fontId="6" fillId="0" borderId="0" xfId="0" applyNumberFormat="1" applyFont="1" applyFill="1" applyAlignment="1" applyProtection="1">
      <alignment horizontal="centerContinuous"/>
      <protection locked="0" hidden="1"/>
    </xf>
    <xf numFmtId="166" fontId="22" fillId="0" borderId="0" xfId="0" applyNumberFormat="1" applyFont="1" applyFill="1" applyAlignment="1" applyProtection="1">
      <alignment horizontal="centerContinuous"/>
      <protection locked="0" hidden="1"/>
    </xf>
    <xf numFmtId="166" fontId="7" fillId="0" borderId="0" xfId="0" applyNumberFormat="1" applyFont="1" applyFill="1" applyAlignment="1" applyProtection="1">
      <alignment horizontal="centerContinuous"/>
      <protection locked="0" hidden="1"/>
    </xf>
    <xf numFmtId="166" fontId="57" fillId="0" borderId="0" xfId="0" applyNumberFormat="1" applyFont="1" applyFill="1" applyAlignment="1" applyProtection="1">
      <alignment horizontal="centerContinuous"/>
      <protection locked="0" hidden="1"/>
    </xf>
    <xf numFmtId="166" fontId="6" fillId="0" borderId="0" xfId="0" applyNumberFormat="1" applyFont="1" applyFill="1" applyAlignment="1" applyProtection="1">
      <protection locked="0" hidden="1"/>
    </xf>
    <xf numFmtId="1" fontId="7" fillId="0" borderId="1" xfId="0" applyNumberFormat="1" applyFont="1" applyFill="1" applyBorder="1" applyAlignment="1" applyProtection="1">
      <alignment horizontal="center" vertical="center"/>
      <protection locked="0" hidden="1"/>
    </xf>
    <xf numFmtId="1" fontId="7" fillId="0" borderId="12" xfId="0" applyNumberFormat="1" applyFont="1" applyFill="1" applyBorder="1" applyAlignment="1" applyProtection="1">
      <alignment horizontal="center" vertical="center"/>
      <protection locked="0" hidden="1"/>
    </xf>
    <xf numFmtId="1" fontId="7" fillId="0" borderId="2" xfId="0" applyNumberFormat="1" applyFont="1" applyFill="1" applyBorder="1" applyAlignment="1" applyProtection="1">
      <alignment horizontal="center" vertical="center"/>
      <protection locked="0" hidden="1"/>
    </xf>
    <xf numFmtId="3" fontId="7" fillId="0" borderId="11" xfId="0" applyNumberFormat="1" applyFont="1" applyFill="1" applyBorder="1" applyAlignment="1" applyProtection="1">
      <alignment horizontal="left" wrapText="1"/>
      <protection locked="0" hidden="1"/>
    </xf>
    <xf numFmtId="212" fontId="7" fillId="0" borderId="11" xfId="0" applyNumberFormat="1" applyFont="1" applyFill="1" applyBorder="1" applyAlignment="1" applyProtection="1">
      <alignment horizontal="right"/>
    </xf>
    <xf numFmtId="212" fontId="7" fillId="0" borderId="1" xfId="0" applyNumberFormat="1" applyFont="1" applyFill="1" applyBorder="1" applyAlignment="1" applyProtection="1">
      <alignment horizontal="right"/>
    </xf>
    <xf numFmtId="212" fontId="7" fillId="0" borderId="12" xfId="0" applyNumberFormat="1" applyFont="1" applyFill="1" applyBorder="1" applyAlignment="1" applyProtection="1">
      <alignment horizontal="right"/>
    </xf>
    <xf numFmtId="166" fontId="17" fillId="0" borderId="9" xfId="0" applyNumberFormat="1" applyFont="1" applyFill="1" applyBorder="1" applyAlignment="1" applyProtection="1">
      <alignment horizontal="right" readingOrder="2"/>
      <protection locked="0" hidden="1"/>
    </xf>
    <xf numFmtId="166" fontId="7" fillId="0" borderId="11" xfId="0" applyNumberFormat="1" applyFont="1" applyFill="1" applyBorder="1" applyAlignment="1" applyProtection="1">
      <alignment horizontal="left" indent="1"/>
      <protection locked="0" hidden="1"/>
    </xf>
    <xf numFmtId="212" fontId="6" fillId="0" borderId="11" xfId="0" applyNumberFormat="1" applyFont="1" applyFill="1" applyBorder="1" applyAlignment="1" applyProtection="1">
      <alignment horizontal="right"/>
    </xf>
    <xf numFmtId="212" fontId="6" fillId="0" borderId="1" xfId="0" applyNumberFormat="1" applyFont="1" applyFill="1" applyBorder="1" applyAlignment="1" applyProtection="1">
      <alignment horizontal="right"/>
    </xf>
    <xf numFmtId="166" fontId="17" fillId="0" borderId="9" xfId="0" applyNumberFormat="1" applyFont="1" applyFill="1" applyBorder="1" applyAlignment="1" applyProtection="1">
      <alignment horizontal="right" indent="1" readingOrder="2"/>
      <protection locked="0" hidden="1"/>
    </xf>
    <xf numFmtId="206" fontId="3" fillId="0" borderId="0" xfId="0" applyNumberFormat="1" applyFont="1" applyFill="1" applyAlignment="1" applyProtection="1">
      <protection locked="0" hidden="1"/>
    </xf>
    <xf numFmtId="3" fontId="6" fillId="0" borderId="11" xfId="0" applyNumberFormat="1" applyFont="1" applyFill="1" applyBorder="1" applyAlignment="1" applyProtection="1">
      <alignment horizontal="left" wrapText="1" indent="4"/>
      <protection locked="0" hidden="1"/>
    </xf>
    <xf numFmtId="166" fontId="18" fillId="0" borderId="9" xfId="0" applyNumberFormat="1" applyFont="1" applyFill="1" applyBorder="1" applyAlignment="1" applyProtection="1">
      <alignment horizontal="right" indent="4" readingOrder="2"/>
      <protection locked="0" hidden="1"/>
    </xf>
    <xf numFmtId="3" fontId="6" fillId="0" borderId="11" xfId="0" applyNumberFormat="1" applyFont="1" applyFill="1" applyBorder="1" applyAlignment="1" applyProtection="1">
      <alignment horizontal="left" wrapText="1" indent="5"/>
      <protection locked="0" hidden="1"/>
    </xf>
    <xf numFmtId="212" fontId="3" fillId="0" borderId="11" xfId="0" applyNumberFormat="1" applyFont="1" applyFill="1" applyBorder="1" applyAlignment="1" applyProtection="1">
      <alignment horizontal="right"/>
    </xf>
    <xf numFmtId="166" fontId="18" fillId="0" borderId="9" xfId="0" applyNumberFormat="1" applyFont="1" applyFill="1" applyBorder="1" applyAlignment="1" applyProtection="1">
      <alignment horizontal="right" indent="5" readingOrder="2"/>
      <protection locked="0" hidden="1"/>
    </xf>
    <xf numFmtId="3" fontId="7" fillId="0" borderId="11" xfId="0" applyNumberFormat="1" applyFont="1" applyFill="1" applyBorder="1" applyAlignment="1" applyProtection="1">
      <alignment horizontal="left" wrapText="1" indent="3"/>
      <protection locked="0" hidden="1"/>
    </xf>
    <xf numFmtId="212" fontId="3" fillId="0" borderId="1" xfId="0" applyNumberFormat="1" applyFont="1" applyFill="1" applyBorder="1" applyAlignment="1" applyProtection="1">
      <alignment horizontal="right"/>
    </xf>
    <xf numFmtId="166" fontId="17" fillId="0" borderId="9" xfId="0" applyNumberFormat="1" applyFont="1" applyFill="1" applyBorder="1" applyAlignment="1" applyProtection="1">
      <alignment horizontal="right" indent="3" readingOrder="2"/>
      <protection locked="0" hidden="1"/>
    </xf>
    <xf numFmtId="206" fontId="46" fillId="0" borderId="0" xfId="0" applyNumberFormat="1" applyFont="1" applyFill="1" applyAlignment="1" applyProtection="1">
      <protection locked="0" hidden="1"/>
    </xf>
    <xf numFmtId="166" fontId="46" fillId="0" borderId="0" xfId="0" applyNumberFormat="1" applyFont="1" applyFill="1" applyAlignment="1" applyProtection="1">
      <protection locked="0" hidden="1"/>
    </xf>
    <xf numFmtId="3" fontId="6" fillId="0" borderId="11" xfId="0" applyNumberFormat="1" applyFont="1" applyFill="1" applyBorder="1" applyAlignment="1" applyProtection="1">
      <alignment horizontal="left" wrapText="1" indent="3"/>
      <protection locked="0" hidden="1"/>
    </xf>
    <xf numFmtId="166" fontId="18" fillId="0" borderId="9" xfId="0" applyNumberFormat="1" applyFont="1" applyFill="1" applyBorder="1" applyAlignment="1" applyProtection="1">
      <alignment horizontal="right" indent="3" readingOrder="2"/>
      <protection locked="0" hidden="1"/>
    </xf>
    <xf numFmtId="3" fontId="7" fillId="0" borderId="11" xfId="0" applyNumberFormat="1" applyFont="1" applyFill="1" applyBorder="1" applyAlignment="1" applyProtection="1">
      <alignment horizontal="left" readingOrder="1"/>
      <protection locked="0" hidden="1"/>
    </xf>
    <xf numFmtId="212" fontId="7" fillId="0" borderId="11" xfId="0" applyNumberFormat="1" applyFont="1" applyFill="1" applyBorder="1" applyAlignment="1" applyProtection="1">
      <alignment horizontal="right"/>
      <protection locked="0" hidden="1"/>
    </xf>
    <xf numFmtId="212" fontId="7" fillId="0" borderId="1" xfId="0" applyNumberFormat="1" applyFont="1" applyFill="1" applyBorder="1" applyAlignment="1" applyProtection="1">
      <alignment horizontal="right"/>
      <protection locked="0" hidden="1"/>
    </xf>
    <xf numFmtId="212" fontId="46" fillId="0" borderId="11" xfId="0" applyNumberFormat="1" applyFont="1" applyFill="1" applyBorder="1" applyAlignment="1" applyProtection="1">
      <alignment horizontal="right"/>
    </xf>
    <xf numFmtId="212" fontId="46" fillId="0" borderId="8" xfId="0" applyNumberFormat="1" applyFont="1" applyFill="1" applyBorder="1" applyAlignment="1" applyProtection="1">
      <alignment horizontal="right"/>
    </xf>
    <xf numFmtId="166" fontId="6" fillId="0" borderId="7" xfId="0" applyNumberFormat="1" applyFont="1" applyFill="1" applyBorder="1" applyAlignment="1" applyProtection="1">
      <alignment horizontal="left"/>
      <protection locked="0" hidden="1"/>
    </xf>
    <xf numFmtId="166" fontId="6" fillId="0" borderId="7" xfId="0" applyNumberFormat="1" applyFont="1" applyFill="1" applyBorder="1" applyAlignment="1" applyProtection="1">
      <alignment horizontal="right" readingOrder="2"/>
      <protection locked="0" hidden="1"/>
    </xf>
    <xf numFmtId="166" fontId="8" fillId="0" borderId="7" xfId="0" applyNumberFormat="1" applyFont="1" applyFill="1" applyBorder="1" applyAlignment="1" applyProtection="1">
      <alignment horizontal="right" readingOrder="2"/>
      <protection locked="0" hidden="1"/>
    </xf>
    <xf numFmtId="0" fontId="6" fillId="0" borderId="0" xfId="19" applyFont="1" applyBorder="1" applyAlignment="1"/>
    <xf numFmtId="0" fontId="8" fillId="0" borderId="0" xfId="19" applyFont="1" applyBorder="1" applyAlignment="1">
      <alignment horizontal="right" readingOrder="2"/>
    </xf>
    <xf numFmtId="166" fontId="6" fillId="0" borderId="0" xfId="0" applyFont="1" applyFill="1" applyAlignment="1">
      <alignment horizontal="centerContinuous"/>
      <protection locked="0" hidden="1"/>
    </xf>
    <xf numFmtId="206" fontId="6" fillId="0" borderId="0" xfId="0" applyNumberFormat="1" applyFont="1" applyFill="1" applyAlignment="1" applyProtection="1">
      <protection locked="0" hidden="1"/>
    </xf>
    <xf numFmtId="166" fontId="57" fillId="0" borderId="0" xfId="0" applyFont="1" applyFill="1" applyAlignment="1">
      <alignment horizontal="centerContinuous" wrapText="1"/>
      <protection locked="0" hidden="1"/>
    </xf>
    <xf numFmtId="166" fontId="22" fillId="0" borderId="0" xfId="0" applyFont="1" applyFill="1" applyAlignment="1">
      <alignment horizontal="centerContinuous" wrapText="1"/>
      <protection locked="0" hidden="1"/>
    </xf>
    <xf numFmtId="166" fontId="7" fillId="0" borderId="12" xfId="0" applyFont="1" applyFill="1" applyBorder="1" applyAlignment="1">
      <alignment vertical="center"/>
      <protection locked="0" hidden="1"/>
    </xf>
    <xf numFmtId="166" fontId="33" fillId="0" borderId="5" xfId="0" applyFont="1" applyFill="1" applyBorder="1" applyAlignment="1">
      <alignment vertical="center" readingOrder="2"/>
      <protection locked="0" hidden="1"/>
    </xf>
    <xf numFmtId="166" fontId="7" fillId="0" borderId="0" xfId="0" applyFont="1" applyFill="1" applyAlignment="1">
      <alignment vertical="center"/>
      <protection locked="0" hidden="1"/>
    </xf>
    <xf numFmtId="166" fontId="7" fillId="0" borderId="11" xfId="0" applyFont="1" applyFill="1" applyBorder="1" applyAlignment="1">
      <alignment horizontal="centerContinuous" vertical="top"/>
      <protection locked="0" hidden="1"/>
    </xf>
    <xf numFmtId="166" fontId="33" fillId="0" borderId="1" xfId="0" applyFont="1" applyFill="1" applyBorder="1" applyAlignment="1">
      <alignment horizontal="center"/>
      <protection locked="0" hidden="1"/>
    </xf>
    <xf numFmtId="1" fontId="33" fillId="0" borderId="11" xfId="0" applyNumberFormat="1" applyFont="1" applyFill="1" applyBorder="1" applyAlignment="1">
      <alignment horizontal="center" readingOrder="2"/>
      <protection locked="0" hidden="1"/>
    </xf>
    <xf numFmtId="0" fontId="16" fillId="0" borderId="0" xfId="19" applyFont="1" applyAlignment="1"/>
    <xf numFmtId="0" fontId="6" fillId="0" borderId="0" xfId="19" applyFont="1"/>
    <xf numFmtId="0" fontId="8" fillId="0" borderId="0" xfId="19" applyFont="1" applyAlignment="1">
      <alignment horizontal="right" vertical="center" readingOrder="2"/>
    </xf>
    <xf numFmtId="0" fontId="40" fillId="0" borderId="0" xfId="22" applyFont="1" applyAlignment="1">
      <alignment horizontal="centerContinuous"/>
    </xf>
    <xf numFmtId="0" fontId="27" fillId="0" borderId="0" xfId="26" applyNumberFormat="1" applyFont="1" applyFill="1" applyAlignment="1" applyProtection="1">
      <alignment horizontal="centerContinuous"/>
    </xf>
    <xf numFmtId="166" fontId="14" fillId="0" borderId="0" xfId="26" applyFont="1" applyFill="1" applyAlignment="1" applyProtection="1">
      <alignment vertical="center"/>
    </xf>
    <xf numFmtId="0" fontId="27" fillId="0" borderId="0" xfId="26" applyNumberFormat="1" applyFont="1" applyFill="1" applyAlignment="1" applyProtection="1">
      <alignment horizontal="centerContinuous" readingOrder="2"/>
    </xf>
    <xf numFmtId="0" fontId="27" fillId="0" borderId="0" xfId="26" applyNumberFormat="1" applyFont="1" applyFill="1" applyAlignment="1" applyProtection="1">
      <alignment horizontal="center"/>
    </xf>
    <xf numFmtId="166" fontId="27" fillId="0" borderId="12" xfId="26" applyFont="1" applyFill="1" applyBorder="1" applyAlignment="1" applyProtection="1">
      <alignment horizontal="centerContinuous" vertical="center" wrapText="1"/>
    </xf>
    <xf numFmtId="166" fontId="14" fillId="0" borderId="0" xfId="26" applyFont="1" applyFill="1" applyAlignment="1" applyProtection="1">
      <alignment horizontal="center" vertical="center"/>
    </xf>
    <xf numFmtId="166" fontId="27" fillId="0" borderId="12" xfId="26" applyFont="1" applyFill="1" applyBorder="1" applyAlignment="1" applyProtection="1">
      <alignment horizontal="center" vertical="center" wrapText="1"/>
    </xf>
    <xf numFmtId="166" fontId="27" fillId="0" borderId="8" xfId="26" applyFont="1" applyFill="1" applyBorder="1" applyAlignment="1" applyProtection="1">
      <alignment horizontal="center" vertical="center" wrapText="1"/>
    </xf>
    <xf numFmtId="166" fontId="27" fillId="0" borderId="0" xfId="26" applyFont="1" applyFill="1" applyAlignment="1" applyProtection="1">
      <alignment vertical="center"/>
    </xf>
    <xf numFmtId="166" fontId="29" fillId="0" borderId="1" xfId="26" applyFont="1" applyFill="1" applyBorder="1" applyAlignment="1" applyProtection="1">
      <alignment horizontal="left"/>
    </xf>
    <xf numFmtId="166" fontId="27" fillId="0" borderId="12" xfId="26" applyFont="1" applyFill="1" applyBorder="1" applyAlignment="1" applyProtection="1">
      <alignment wrapText="1"/>
    </xf>
    <xf numFmtId="227" fontId="14" fillId="0" borderId="11" xfId="2" applyNumberFormat="1" applyFont="1" applyFill="1" applyBorder="1" applyAlignment="1" applyProtection="1"/>
    <xf numFmtId="227" fontId="59" fillId="0" borderId="11" xfId="2" applyNumberFormat="1" applyFont="1" applyFill="1" applyBorder="1" applyAlignment="1" applyProtection="1">
      <alignment readingOrder="2"/>
    </xf>
    <xf numFmtId="166" fontId="27" fillId="0" borderId="11" xfId="26" applyFont="1" applyFill="1" applyBorder="1" applyAlignment="1" applyProtection="1">
      <alignment wrapText="1"/>
    </xf>
    <xf numFmtId="227" fontId="59" fillId="0" borderId="11" xfId="2" applyNumberFormat="1" applyFont="1" applyFill="1" applyBorder="1" applyAlignment="1" applyProtection="1"/>
    <xf numFmtId="227" fontId="59" fillId="0" borderId="11" xfId="2" applyNumberFormat="1" applyFont="1" applyFill="1" applyBorder="1" applyAlignment="1" applyProtection="1">
      <alignment wrapText="1"/>
    </xf>
    <xf numFmtId="166" fontId="29" fillId="0" borderId="4" xfId="26" applyFont="1" applyFill="1" applyBorder="1" applyAlignment="1" applyProtection="1">
      <alignment horizontal="left"/>
    </xf>
    <xf numFmtId="166" fontId="27" fillId="0" borderId="8" xfId="26" applyFont="1" applyFill="1" applyBorder="1" applyAlignment="1" applyProtection="1">
      <alignment horizontal="center" wrapText="1"/>
    </xf>
    <xf numFmtId="227" fontId="27" fillId="0" borderId="8" xfId="2" applyNumberFormat="1" applyFont="1" applyFill="1" applyBorder="1" applyAlignment="1" applyProtection="1"/>
    <xf numFmtId="227" fontId="39" fillId="0" borderId="8" xfId="2" applyNumberFormat="1" applyFont="1" applyFill="1" applyBorder="1" applyAlignment="1" applyProtection="1">
      <alignment horizontal="center"/>
    </xf>
    <xf numFmtId="166" fontId="27" fillId="0" borderId="0" xfId="26" applyFont="1" applyFill="1" applyAlignment="1" applyProtection="1"/>
    <xf numFmtId="166" fontId="20" fillId="0" borderId="0" xfId="26" applyFont="1" applyFill="1" applyBorder="1" applyAlignment="1" applyProtection="1"/>
    <xf numFmtId="166" fontId="14" fillId="0" borderId="0" xfId="26" applyFont="1" applyFill="1" applyBorder="1" applyAlignment="1" applyProtection="1">
      <alignment wrapText="1"/>
    </xf>
    <xf numFmtId="166" fontId="3" fillId="0" borderId="0" xfId="26" applyFont="1" applyFill="1" applyBorder="1" applyAlignment="1" applyProtection="1"/>
    <xf numFmtId="166" fontId="50" fillId="0" borderId="0" xfId="26" applyFont="1" applyFill="1" applyBorder="1" applyAlignment="1" applyProtection="1">
      <alignment horizontal="right"/>
    </xf>
    <xf numFmtId="166" fontId="3" fillId="0" borderId="0" xfId="26" applyFont="1" applyFill="1" applyAlignment="1" applyProtection="1">
      <alignment vertical="center"/>
    </xf>
    <xf numFmtId="49" fontId="3" fillId="0" borderId="0" xfId="26" applyNumberFormat="1" applyFont="1" applyFill="1" applyAlignment="1" applyProtection="1">
      <alignment horizontal="centerContinuous"/>
    </xf>
    <xf numFmtId="166" fontId="14" fillId="0" borderId="0" xfId="26" applyFont="1" applyFill="1" applyAlignment="1" applyProtection="1">
      <alignment horizontal="right" vertical="center"/>
    </xf>
    <xf numFmtId="206" fontId="14" fillId="0" borderId="0" xfId="26" applyNumberFormat="1" applyFont="1" applyFill="1" applyAlignment="1" applyProtection="1">
      <alignment vertical="center"/>
    </xf>
    <xf numFmtId="166" fontId="14" fillId="0" borderId="0" xfId="26" applyFont="1" applyFill="1" applyBorder="1" applyAlignment="1" applyProtection="1">
      <alignment horizontal="right" vertical="center"/>
    </xf>
    <xf numFmtId="166" fontId="14" fillId="0" borderId="0" xfId="26" applyFont="1" applyFill="1" applyBorder="1" applyAlignment="1" applyProtection="1">
      <alignment vertical="center"/>
    </xf>
    <xf numFmtId="166" fontId="14" fillId="0" borderId="0" xfId="26" applyFont="1" applyFill="1" applyBorder="1" applyAlignment="1" applyProtection="1">
      <alignment horizontal="left" vertical="center"/>
    </xf>
    <xf numFmtId="0" fontId="10" fillId="0" borderId="0" xfId="26" applyNumberFormat="1" applyFont="1" applyFill="1" applyAlignment="1" applyProtection="1">
      <alignment horizontal="centerContinuous"/>
    </xf>
    <xf numFmtId="0" fontId="12" fillId="0" borderId="0" xfId="26" applyNumberFormat="1" applyFont="1" applyFill="1" applyAlignment="1" applyProtection="1">
      <alignment horizontal="centerContinuous" readingOrder="2"/>
    </xf>
    <xf numFmtId="0" fontId="6" fillId="0" borderId="0" xfId="26" applyNumberFormat="1" applyFont="1" applyFill="1" applyAlignment="1" applyProtection="1">
      <alignment horizontal="left"/>
    </xf>
    <xf numFmtId="166" fontId="26" fillId="0" borderId="0" xfId="26" applyFont="1" applyFill="1" applyAlignment="1" applyProtection="1">
      <alignment horizontal="center" vertical="center"/>
    </xf>
    <xf numFmtId="166" fontId="27" fillId="0" borderId="4" xfId="26" applyFont="1" applyFill="1" applyBorder="1" applyAlignment="1" applyProtection="1">
      <alignment horizontal="center" vertical="center" wrapText="1"/>
    </xf>
    <xf numFmtId="166" fontId="29" fillId="0" borderId="10" xfId="26" applyFont="1" applyFill="1" applyBorder="1" applyAlignment="1" applyProtection="1">
      <alignment horizontal="left"/>
    </xf>
    <xf numFmtId="227" fontId="26" fillId="0" borderId="8" xfId="2" applyNumberFormat="1" applyFont="1" applyFill="1" applyBorder="1" applyAlignment="1" applyProtection="1">
      <alignment vertical="center"/>
    </xf>
    <xf numFmtId="227" fontId="26" fillId="0" borderId="8" xfId="2" applyNumberFormat="1" applyFont="1" applyFill="1" applyBorder="1" applyAlignment="1" applyProtection="1"/>
    <xf numFmtId="217" fontId="26" fillId="0" borderId="8" xfId="2" applyNumberFormat="1" applyFont="1" applyFill="1" applyBorder="1" applyAlignment="1" applyProtection="1"/>
    <xf numFmtId="166" fontId="29" fillId="0" borderId="1" xfId="26" applyNumberFormat="1" applyFont="1" applyFill="1" applyBorder="1" applyAlignment="1">
      <alignment horizontal="left"/>
      <protection locked="0" hidden="1"/>
    </xf>
    <xf numFmtId="227" fontId="26" fillId="0" borderId="11" xfId="2" applyNumberFormat="1" applyFont="1" applyFill="1" applyBorder="1" applyAlignment="1" applyProtection="1">
      <alignment vertical="center"/>
    </xf>
    <xf numFmtId="166" fontId="29" fillId="0" borderId="1" xfId="26" applyFont="1" applyFill="1" applyBorder="1" applyAlignment="1" applyProtection="1"/>
    <xf numFmtId="166" fontId="26" fillId="0" borderId="0" xfId="26" applyFont="1" applyFill="1" applyBorder="1" applyAlignment="1" applyProtection="1">
      <alignment vertical="center"/>
    </xf>
    <xf numFmtId="166" fontId="29" fillId="0" borderId="1" xfId="0" applyFont="1" applyFill="1" applyBorder="1" applyAlignment="1" applyProtection="1">
      <alignment horizontal="left"/>
    </xf>
    <xf numFmtId="166" fontId="3" fillId="0" borderId="7" xfId="26" applyFont="1" applyFill="1" applyBorder="1" applyAlignment="1" applyProtection="1">
      <alignment vertical="center"/>
    </xf>
    <xf numFmtId="166" fontId="60" fillId="0" borderId="7" xfId="26" applyFont="1" applyFill="1" applyBorder="1" applyAlignment="1" applyProtection="1">
      <alignment vertical="center"/>
    </xf>
    <xf numFmtId="166" fontId="60" fillId="0" borderId="0" xfId="26" applyFont="1" applyFill="1" applyAlignment="1" applyProtection="1">
      <alignment vertical="center"/>
    </xf>
    <xf numFmtId="166" fontId="26" fillId="0" borderId="0" xfId="26" applyFont="1" applyFill="1" applyBorder="1" applyAlignment="1" applyProtection="1">
      <alignment horizontal="right" vertical="center"/>
    </xf>
    <xf numFmtId="166" fontId="26" fillId="0" borderId="0" xfId="26" applyFont="1" applyFill="1" applyBorder="1" applyAlignment="1" applyProtection="1">
      <alignment horizontal="left" vertical="center"/>
    </xf>
    <xf numFmtId="166" fontId="26" fillId="0" borderId="0" xfId="26" applyFont="1" applyFill="1" applyAlignment="1" applyProtection="1">
      <alignment horizontal="right" vertical="center"/>
    </xf>
    <xf numFmtId="166" fontId="61" fillId="0" borderId="0" xfId="26" applyFont="1" applyFill="1" applyAlignment="1" applyProtection="1">
      <alignment vertical="center"/>
    </xf>
    <xf numFmtId="166" fontId="27" fillId="0" borderId="1" xfId="26" applyFont="1" applyFill="1" applyBorder="1" applyAlignment="1" applyProtection="1">
      <alignment horizontal="center" vertical="center" wrapText="1"/>
    </xf>
    <xf numFmtId="166" fontId="27" fillId="0" borderId="9" xfId="26" applyFont="1" applyFill="1" applyBorder="1" applyAlignment="1" applyProtection="1">
      <alignment horizontal="center" vertical="center" wrapText="1"/>
    </xf>
    <xf numFmtId="166" fontId="27" fillId="0" borderId="11" xfId="26" applyFont="1" applyFill="1" applyBorder="1" applyAlignment="1" applyProtection="1">
      <alignment horizontal="center" vertical="center" wrapText="1"/>
    </xf>
    <xf numFmtId="228" fontId="26" fillId="0" borderId="11" xfId="23" applyNumberFormat="1" applyFont="1" applyFill="1" applyBorder="1" applyAlignment="1" applyProtection="1">
      <alignment horizontal="right" indent="1"/>
    </xf>
    <xf numFmtId="217" fontId="26" fillId="0" borderId="8" xfId="2" applyNumberFormat="1" applyFont="1" applyFill="1" applyBorder="1" applyAlignment="1" applyProtection="1">
      <alignment vertical="center"/>
    </xf>
    <xf numFmtId="228" fontId="26" fillId="0" borderId="8" xfId="2" applyNumberFormat="1" applyFont="1" applyFill="1" applyBorder="1" applyAlignment="1" applyProtection="1">
      <alignment horizontal="right" indent="1"/>
    </xf>
    <xf numFmtId="166" fontId="29" fillId="0" borderId="4" xfId="26" applyNumberFormat="1" applyFont="1" applyFill="1" applyBorder="1" applyAlignment="1">
      <alignment horizontal="left"/>
      <protection locked="0" hidden="1"/>
    </xf>
    <xf numFmtId="166" fontId="26" fillId="0" borderId="7" xfId="26" applyFont="1" applyFill="1" applyBorder="1" applyAlignment="1" applyProtection="1">
      <alignment vertical="center"/>
    </xf>
    <xf numFmtId="0" fontId="8" fillId="0" borderId="7" xfId="26" applyNumberFormat="1" applyFont="1" applyFill="1" applyBorder="1" applyAlignment="1" applyProtection="1">
      <alignment horizontal="right" readingOrder="2"/>
    </xf>
    <xf numFmtId="0" fontId="5" fillId="0" borderId="0" xfId="26" applyNumberFormat="1" applyFont="1" applyFill="1" applyAlignment="1" applyProtection="1">
      <alignment horizontal="centerContinuous"/>
    </xf>
    <xf numFmtId="0" fontId="9" fillId="0" borderId="0" xfId="26" applyNumberFormat="1" applyFont="1" applyFill="1" applyAlignment="1" applyProtection="1">
      <alignment horizontal="centerContinuous" readingOrder="2"/>
    </xf>
    <xf numFmtId="0" fontId="4" fillId="0" borderId="0" xfId="26" applyNumberFormat="1" applyFont="1" applyFill="1" applyAlignment="1" applyProtection="1">
      <alignment horizontal="centerContinuous"/>
    </xf>
    <xf numFmtId="166" fontId="27" fillId="0" borderId="2" xfId="26" applyFont="1" applyFill="1" applyBorder="1" applyAlignment="1" applyProtection="1">
      <alignment horizontal="center" vertical="center" wrapText="1"/>
    </xf>
    <xf numFmtId="166" fontId="27" fillId="0" borderId="6" xfId="26" applyFont="1" applyFill="1" applyBorder="1" applyAlignment="1" applyProtection="1">
      <alignment horizontal="center" vertical="center" wrapText="1"/>
    </xf>
    <xf numFmtId="166" fontId="27" fillId="0" borderId="8" xfId="26" applyFont="1" applyFill="1" applyBorder="1" applyAlignment="1" applyProtection="1">
      <alignment horizontal="center" vertical="center"/>
    </xf>
    <xf numFmtId="217" fontId="14" fillId="0" borderId="8" xfId="2" applyNumberFormat="1" applyFont="1" applyFill="1" applyBorder="1" applyAlignment="1" applyProtection="1"/>
    <xf numFmtId="166" fontId="26" fillId="0" borderId="1" xfId="26" applyFont="1" applyFill="1" applyBorder="1" applyAlignment="1" applyProtection="1">
      <alignment vertical="center"/>
    </xf>
    <xf numFmtId="217" fontId="14" fillId="0" borderId="1" xfId="2" applyNumberFormat="1" applyFont="1" applyFill="1" applyBorder="1" applyAlignment="1" applyProtection="1"/>
    <xf numFmtId="217" fontId="14" fillId="0" borderId="9" xfId="2" applyNumberFormat="1" applyFont="1" applyFill="1" applyBorder="1" applyAlignment="1" applyProtection="1"/>
    <xf numFmtId="166" fontId="3" fillId="0" borderId="7" xfId="26" applyFont="1" applyFill="1" applyBorder="1" applyAlignment="1">
      <protection locked="0" hidden="1"/>
    </xf>
    <xf numFmtId="0" fontId="3" fillId="0" borderId="7" xfId="26" applyNumberFormat="1" applyFont="1" applyFill="1" applyBorder="1" applyAlignment="1" applyProtection="1"/>
    <xf numFmtId="166" fontId="3" fillId="0" borderId="0" xfId="26" applyFont="1" applyFill="1" applyBorder="1" applyAlignment="1">
      <protection locked="0" hidden="1"/>
    </xf>
    <xf numFmtId="166" fontId="8" fillId="0" borderId="0" xfId="26" applyFont="1" applyFill="1" applyBorder="1" applyAlignment="1">
      <alignment horizontal="right" readingOrder="2"/>
      <protection locked="0" hidden="1"/>
    </xf>
    <xf numFmtId="166" fontId="3" fillId="0" borderId="0" xfId="26" applyFont="1" applyFill="1" applyAlignment="1">
      <protection locked="0" hidden="1"/>
    </xf>
    <xf numFmtId="0" fontId="8" fillId="0" borderId="0" xfId="26" applyNumberFormat="1" applyFont="1" applyFill="1" applyBorder="1" applyAlignment="1" applyProtection="1">
      <alignment horizontal="right" readingOrder="2"/>
    </xf>
    <xf numFmtId="0" fontId="3" fillId="0" borderId="0" xfId="26" applyNumberFormat="1" applyFont="1" applyFill="1" applyAlignment="1" applyProtection="1">
      <alignment horizontal="centerContinuous"/>
    </xf>
    <xf numFmtId="166" fontId="26" fillId="0" borderId="0" xfId="26" applyFont="1" applyFill="1" applyAlignment="1" applyProtection="1">
      <alignment horizontal="centerContinuous" vertical="center"/>
    </xf>
    <xf numFmtId="0" fontId="4" fillId="0" borderId="0" xfId="0" applyNumberFormat="1" applyFont="1" applyFill="1" applyAlignment="1" applyProtection="1">
      <alignment horizontal="centerContinuous"/>
    </xf>
    <xf numFmtId="0" fontId="9" fillId="0" borderId="0" xfId="0" applyNumberFormat="1" applyFont="1" applyFill="1" applyAlignment="1" applyProtection="1">
      <alignment horizontal="centerContinuous" readingOrder="2"/>
    </xf>
    <xf numFmtId="166" fontId="4" fillId="0" borderId="3" xfId="0" applyFont="1" applyFill="1" applyBorder="1" applyAlignment="1">
      <alignment horizontal="left"/>
      <protection locked="0" hidden="1"/>
    </xf>
    <xf numFmtId="0" fontId="4" fillId="0" borderId="3" xfId="0" applyNumberFormat="1" applyFont="1" applyFill="1" applyBorder="1" applyAlignment="1" applyProtection="1">
      <alignment horizontal="centerContinuous" vertical="top" wrapText="1"/>
    </xf>
    <xf numFmtId="0" fontId="4" fillId="0" borderId="3" xfId="0" applyNumberFormat="1" applyFont="1" applyFill="1" applyBorder="1" applyAlignment="1" applyProtection="1">
      <alignment vertical="top" wrapText="1"/>
    </xf>
    <xf numFmtId="0" fontId="13" fillId="0" borderId="3" xfId="0" applyNumberFormat="1" applyFont="1" applyFill="1" applyBorder="1" applyAlignment="1" applyProtection="1">
      <alignment vertical="top"/>
    </xf>
    <xf numFmtId="166" fontId="13" fillId="0" borderId="3" xfId="0" applyFont="1" applyFill="1" applyBorder="1" applyAlignment="1">
      <protection locked="0" hidden="1"/>
    </xf>
    <xf numFmtId="0" fontId="4" fillId="0" borderId="0" xfId="0" applyNumberFormat="1" applyFont="1" applyFill="1" applyAlignment="1" applyProtection="1">
      <alignment vertical="top"/>
    </xf>
    <xf numFmtId="0" fontId="10" fillId="0" borderId="4" xfId="0" applyNumberFormat="1" applyFont="1" applyFill="1" applyBorder="1" applyAlignment="1" applyProtection="1">
      <alignment horizontal="left" vertical="center" indent="3"/>
    </xf>
    <xf numFmtId="0" fontId="10" fillId="0" borderId="3" xfId="0" applyNumberFormat="1" applyFont="1" applyFill="1" applyBorder="1" applyAlignment="1" applyProtection="1">
      <alignment horizontal="left" vertical="center" indent="3"/>
    </xf>
    <xf numFmtId="0" fontId="4" fillId="0" borderId="3" xfId="0" applyNumberFormat="1" applyFont="1" applyFill="1" applyBorder="1" applyAlignment="1" applyProtection="1">
      <alignment horizontal="centerContinuous" vertical="top"/>
    </xf>
    <xf numFmtId="0" fontId="4" fillId="0" borderId="5" xfId="0" applyNumberFormat="1" applyFont="1" applyFill="1" applyBorder="1" applyAlignment="1" applyProtection="1">
      <alignment vertical="top"/>
    </xf>
    <xf numFmtId="0" fontId="12" fillId="0" borderId="3" xfId="0" applyNumberFormat="1" applyFont="1" applyFill="1" applyBorder="1" applyAlignment="1" applyProtection="1">
      <alignment horizontal="right" vertical="center" indent="3"/>
    </xf>
    <xf numFmtId="0" fontId="4" fillId="0" borderId="24" xfId="0" applyNumberFormat="1" applyFont="1" applyFill="1" applyBorder="1" applyAlignment="1" applyProtection="1">
      <alignment vertical="top" wrapText="1"/>
    </xf>
    <xf numFmtId="0" fontId="10"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Continuous" vertical="top"/>
    </xf>
    <xf numFmtId="0" fontId="4"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alignment horizontal="left" vertical="center" indent="2"/>
    </xf>
    <xf numFmtId="0" fontId="10" fillId="0" borderId="3"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Continuous" vertical="center"/>
    </xf>
    <xf numFmtId="0" fontId="12" fillId="0" borderId="3" xfId="0" applyNumberFormat="1" applyFont="1" applyFill="1" applyBorder="1" applyAlignment="1" applyProtection="1">
      <alignment horizontal="right" vertical="center" indent="2" readingOrder="2"/>
    </xf>
    <xf numFmtId="0" fontId="12" fillId="0" borderId="1" xfId="0" applyNumberFormat="1" applyFont="1" applyFill="1" applyBorder="1" applyAlignment="1" applyProtection="1">
      <alignment horizontal="center"/>
    </xf>
    <xf numFmtId="0" fontId="12" fillId="0" borderId="1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vertical="top"/>
    </xf>
    <xf numFmtId="0" fontId="10" fillId="0" borderId="12"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top" readingOrder="2"/>
    </xf>
    <xf numFmtId="0" fontId="12" fillId="0" borderId="0" xfId="0" applyNumberFormat="1" applyFont="1" applyFill="1" applyBorder="1" applyAlignment="1" applyProtection="1">
      <alignment horizontal="center" vertical="top" readingOrder="2"/>
    </xf>
    <xf numFmtId="0" fontId="12" fillId="0" borderId="9"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readingOrder="2"/>
    </xf>
    <xf numFmtId="0" fontId="12" fillId="0" borderId="11" xfId="0" applyNumberFormat="1" applyFont="1" applyFill="1" applyBorder="1" applyAlignment="1" applyProtection="1">
      <alignment horizontal="centerContinuous" vertical="top" readingOrder="2"/>
    </xf>
    <xf numFmtId="0" fontId="12" fillId="0" borderId="11"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Continuous" vertical="top"/>
    </xf>
    <xf numFmtId="0" fontId="10" fillId="0" borderId="1" xfId="0" applyNumberFormat="1" applyFont="1" applyFill="1" applyBorder="1" applyAlignment="1" applyProtection="1">
      <alignment horizontal="center"/>
    </xf>
    <xf numFmtId="0" fontId="12" fillId="0" borderId="10" xfId="0" applyNumberFormat="1" applyFont="1" applyFill="1" applyBorder="1" applyAlignment="1" applyProtection="1">
      <alignment horizontal="center" vertical="top" readingOrder="2"/>
    </xf>
    <xf numFmtId="0" fontId="10" fillId="0" borderId="8"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18" xfId="0" applyNumberFormat="1" applyFont="1" applyFill="1" applyBorder="1" applyAlignment="1" applyProtection="1"/>
    <xf numFmtId="189" fontId="16" fillId="0" borderId="1" xfId="0" applyNumberFormat="1" applyFont="1" applyFill="1" applyBorder="1" applyAlignment="1">
      <alignment horizontal="right"/>
      <protection locked="0" hidden="1"/>
    </xf>
    <xf numFmtId="189" fontId="16" fillId="0" borderId="15" xfId="0" applyNumberFormat="1" applyFont="1" applyFill="1" applyBorder="1" applyAlignment="1">
      <alignment horizontal="right"/>
      <protection locked="0" hidden="1"/>
    </xf>
    <xf numFmtId="189" fontId="16" fillId="0" borderId="0" xfId="0" applyNumberFormat="1" applyFont="1" applyFill="1" applyBorder="1" applyAlignment="1">
      <alignment horizontal="right"/>
      <protection locked="0" hidden="1"/>
    </xf>
    <xf numFmtId="166" fontId="19" fillId="0" borderId="0" xfId="0" applyNumberFormat="1" applyFont="1" applyFill="1" applyBorder="1" applyAlignment="1">
      <alignment horizontal="left" vertical="top"/>
      <protection locked="0" hidden="1"/>
    </xf>
    <xf numFmtId="166" fontId="29" fillId="4" borderId="1" xfId="0" applyNumberFormat="1" applyFont="1" applyFill="1" applyBorder="1" applyAlignment="1">
      <alignment horizontal="left"/>
      <protection locked="0" hidden="1"/>
    </xf>
    <xf numFmtId="166" fontId="29" fillId="4" borderId="0" xfId="0" applyFont="1" applyFill="1" applyBorder="1" applyAlignment="1">
      <alignment horizontal="left"/>
      <protection locked="0" hidden="1"/>
    </xf>
    <xf numFmtId="189" fontId="20" fillId="4" borderId="1" xfId="0" applyNumberFormat="1" applyFont="1" applyFill="1" applyBorder="1" applyAlignment="1">
      <alignment horizontal="right"/>
      <protection locked="0" hidden="1"/>
    </xf>
    <xf numFmtId="178" fontId="20" fillId="4" borderId="11" xfId="0" applyNumberFormat="1" applyFont="1" applyFill="1" applyBorder="1" applyAlignment="1">
      <alignment horizontal="right"/>
      <protection locked="0" hidden="1"/>
    </xf>
    <xf numFmtId="189" fontId="16" fillId="4" borderId="1" xfId="0" applyNumberFormat="1" applyFont="1" applyFill="1" applyBorder="1" applyAlignment="1">
      <alignment horizontal="right"/>
      <protection locked="0" hidden="1"/>
    </xf>
    <xf numFmtId="177" fontId="20" fillId="4" borderId="1" xfId="0" applyNumberFormat="1" applyFont="1" applyFill="1" applyBorder="1" applyAlignment="1">
      <alignment horizontal="right"/>
      <protection locked="0" hidden="1"/>
    </xf>
    <xf numFmtId="189" fontId="16" fillId="0" borderId="18" xfId="0" applyNumberFormat="1" applyFont="1" applyFill="1" applyBorder="1" applyAlignment="1">
      <alignment horizontal="right"/>
      <protection locked="0" hidden="1"/>
    </xf>
    <xf numFmtId="189" fontId="16" fillId="0" borderId="8" xfId="0" applyNumberFormat="1" applyFont="1" applyFill="1" applyBorder="1" applyAlignment="1">
      <alignment horizontal="right"/>
      <protection locked="0" hidden="1"/>
    </xf>
    <xf numFmtId="208" fontId="20" fillId="0" borderId="8" xfId="0" applyNumberFormat="1" applyFont="1" applyFill="1" applyBorder="1" applyAlignment="1">
      <alignment horizontal="right"/>
      <protection locked="0" hidden="1"/>
    </xf>
    <xf numFmtId="166" fontId="29" fillId="0" borderId="9" xfId="0" applyFont="1" applyFill="1" applyBorder="1" applyAlignment="1">
      <alignment horizontal="left"/>
      <protection locked="0" hidden="1"/>
    </xf>
    <xf numFmtId="189" fontId="16" fillId="0" borderId="9" xfId="0" applyNumberFormat="1" applyFont="1" applyFill="1" applyBorder="1" applyAlignment="1">
      <alignment horizontal="right"/>
      <protection locked="0" hidden="1"/>
    </xf>
    <xf numFmtId="0" fontId="16" fillId="0" borderId="7" xfId="0" applyNumberFormat="1" applyFont="1" applyFill="1" applyBorder="1" applyAlignment="1" applyProtection="1">
      <alignment wrapText="1"/>
    </xf>
    <xf numFmtId="0" fontId="6" fillId="0" borderId="7" xfId="0" applyNumberFormat="1" applyFont="1" applyFill="1" applyBorder="1" applyAlignment="1" applyProtection="1">
      <alignment horizontal="right" wrapText="1"/>
    </xf>
    <xf numFmtId="0" fontId="16" fillId="0" borderId="0" xfId="0" applyNumberFormat="1" applyFont="1" applyFill="1" applyAlignment="1" applyProtection="1">
      <alignment wrapText="1"/>
    </xf>
    <xf numFmtId="0" fontId="40" fillId="0" borderId="0" xfId="0" applyNumberFormat="1" applyFont="1" applyFill="1" applyAlignment="1" applyProtection="1">
      <alignment horizontal="centerContinuous" readingOrder="1"/>
    </xf>
    <xf numFmtId="0" fontId="50" fillId="0" borderId="0" xfId="0" applyNumberFormat="1" applyFont="1" applyFill="1" applyAlignment="1" applyProtection="1">
      <alignment horizontal="centerContinuous" readingOrder="1"/>
    </xf>
    <xf numFmtId="0" fontId="50" fillId="0" borderId="0" xfId="0" applyNumberFormat="1" applyFont="1" applyFill="1" applyAlignment="1" applyProtection="1">
      <alignment readingOrder="1"/>
    </xf>
    <xf numFmtId="166" fontId="40" fillId="0" borderId="0" xfId="0" applyFont="1" applyFill="1" applyAlignment="1" applyProtection="1">
      <alignment horizontal="centerContinuous" readingOrder="1"/>
    </xf>
    <xf numFmtId="166" fontId="27" fillId="0" borderId="1" xfId="0" applyNumberFormat="1" applyFont="1" applyFill="1" applyBorder="1" applyAlignment="1" applyProtection="1">
      <alignment horizontal="left" readingOrder="1"/>
      <protection locked="0" hidden="1"/>
    </xf>
    <xf numFmtId="166" fontId="27" fillId="0" borderId="9" xfId="0" applyNumberFormat="1" applyFont="1" applyFill="1" applyBorder="1" applyAlignment="1" applyProtection="1">
      <alignment horizontal="left" readingOrder="1"/>
      <protection locked="0" hidden="1"/>
    </xf>
    <xf numFmtId="165" fontId="14" fillId="0" borderId="11" xfId="0" applyNumberFormat="1" applyFont="1" applyFill="1" applyBorder="1" applyAlignment="1" applyProtection="1">
      <alignment horizontal="right" indent="1"/>
    </xf>
    <xf numFmtId="165" fontId="27" fillId="0" borderId="11" xfId="0" applyNumberFormat="1" applyFont="1" applyFill="1" applyBorder="1" applyAlignment="1" applyProtection="1">
      <alignment horizontal="right" indent="1"/>
    </xf>
    <xf numFmtId="165" fontId="14" fillId="0" borderId="11" xfId="0" applyNumberFormat="1" applyFont="1" applyFill="1" applyBorder="1" applyAlignment="1" applyProtection="1">
      <alignment horizontal="right" indent="2"/>
    </xf>
    <xf numFmtId="165" fontId="27" fillId="0" borderId="11" xfId="0" applyNumberFormat="1" applyFont="1" applyFill="1" applyBorder="1" applyAlignment="1" applyProtection="1">
      <alignment horizontal="right" indent="2"/>
    </xf>
    <xf numFmtId="165" fontId="27" fillId="0" borderId="9" xfId="0" applyNumberFormat="1" applyFont="1" applyFill="1" applyBorder="1" applyAlignment="1" applyProtection="1">
      <alignment horizontal="right" indent="1"/>
    </xf>
    <xf numFmtId="165" fontId="20" fillId="0" borderId="0" xfId="0" applyNumberFormat="1" applyFont="1" applyFill="1" applyBorder="1" applyAlignment="1" applyProtection="1">
      <alignment horizontal="right" indent="1" readingOrder="1"/>
      <protection locked="0" hidden="1"/>
    </xf>
    <xf numFmtId="166" fontId="20" fillId="0" borderId="0" xfId="0" applyNumberFormat="1" applyFont="1" applyFill="1" applyBorder="1" applyAlignment="1" applyProtection="1">
      <alignment horizontal="right" indent="1" readingOrder="1"/>
      <protection locked="0" hidden="1"/>
    </xf>
    <xf numFmtId="166" fontId="27" fillId="0" borderId="1" xfId="0" applyNumberFormat="1" applyFont="1" applyFill="1" applyBorder="1" applyAlignment="1" applyProtection="1">
      <alignment horizontal="left" vertical="top" readingOrder="1"/>
      <protection locked="0" hidden="1"/>
    </xf>
    <xf numFmtId="166" fontId="27" fillId="0" borderId="9" xfId="0" applyNumberFormat="1" applyFont="1" applyFill="1" applyBorder="1" applyAlignment="1" applyProtection="1">
      <alignment horizontal="left" vertical="top" readingOrder="1"/>
      <protection locked="0" hidden="1"/>
    </xf>
    <xf numFmtId="165" fontId="14" fillId="0" borderId="11" xfId="0" applyNumberFormat="1" applyFont="1" applyFill="1" applyBorder="1" applyAlignment="1" applyProtection="1">
      <alignment horizontal="right" vertical="top" indent="1"/>
    </xf>
    <xf numFmtId="165" fontId="27" fillId="0" borderId="11" xfId="0" applyNumberFormat="1" applyFont="1" applyFill="1" applyBorder="1" applyAlignment="1" applyProtection="1">
      <alignment horizontal="right" vertical="top" indent="1"/>
    </xf>
    <xf numFmtId="165" fontId="14" fillId="0" borderId="11" xfId="0" applyNumberFormat="1" applyFont="1" applyFill="1" applyBorder="1" applyAlignment="1" applyProtection="1">
      <alignment horizontal="right" vertical="top" indent="2"/>
    </xf>
    <xf numFmtId="165" fontId="27" fillId="0" borderId="11" xfId="0" applyNumberFormat="1" applyFont="1" applyFill="1" applyBorder="1" applyAlignment="1" applyProtection="1">
      <alignment horizontal="right" vertical="top" indent="2"/>
    </xf>
    <xf numFmtId="165" fontId="27" fillId="0" borderId="9" xfId="0" applyNumberFormat="1" applyFont="1" applyFill="1" applyBorder="1" applyAlignment="1" applyProtection="1">
      <alignment horizontal="right" vertical="top" indent="1"/>
    </xf>
    <xf numFmtId="165" fontId="20" fillId="0" borderId="0" xfId="0" applyNumberFormat="1" applyFont="1" applyFill="1" applyBorder="1" applyAlignment="1" applyProtection="1">
      <alignment readingOrder="1"/>
      <protection locked="0" hidden="1"/>
    </xf>
    <xf numFmtId="166" fontId="20" fillId="0" borderId="0" xfId="0" applyNumberFormat="1" applyFont="1" applyFill="1" applyBorder="1" applyAlignment="1" applyProtection="1">
      <alignment vertical="top" readingOrder="1"/>
      <protection locked="0" hidden="1"/>
    </xf>
    <xf numFmtId="0" fontId="14" fillId="0" borderId="7" xfId="0" applyNumberFormat="1" applyFont="1" applyFill="1" applyBorder="1" applyAlignment="1" applyProtection="1">
      <alignment readingOrder="1"/>
    </xf>
    <xf numFmtId="166" fontId="20" fillId="0" borderId="0" xfId="0" applyFont="1" applyFill="1" applyAlignment="1" applyProtection="1">
      <alignment horizontal="centerContinuous"/>
    </xf>
    <xf numFmtId="166" fontId="20" fillId="0" borderId="0" xfId="0" applyFont="1" applyFill="1" applyAlignment="1" applyProtection="1">
      <alignment horizontal="left"/>
    </xf>
    <xf numFmtId="166" fontId="3" fillId="0" borderId="0" xfId="0" applyFont="1" applyFill="1" applyAlignment="1" applyProtection="1">
      <alignment horizontal="left"/>
    </xf>
    <xf numFmtId="166" fontId="3" fillId="0" borderId="0" xfId="0" applyFont="1" applyFill="1" applyAlignment="1" applyProtection="1">
      <alignment horizontal="centerContinuous"/>
    </xf>
    <xf numFmtId="206" fontId="3" fillId="0" borderId="0" xfId="0" applyNumberFormat="1" applyFont="1" applyFill="1" applyAlignment="1" applyProtection="1">
      <alignment horizontal="centerContinuous"/>
    </xf>
    <xf numFmtId="166" fontId="3" fillId="0" borderId="0" xfId="0" applyFont="1" applyFill="1" applyAlignment="1" applyProtection="1"/>
    <xf numFmtId="206" fontId="3" fillId="0" borderId="0" xfId="0" applyNumberFormat="1" applyFont="1" applyFill="1" applyAlignment="1">
      <alignment horizontal="centerContinuous"/>
      <protection locked="0" hidden="1"/>
    </xf>
    <xf numFmtId="166" fontId="9" fillId="0" borderId="0" xfId="0" applyFont="1" applyFill="1" applyAlignment="1">
      <alignment horizontal="centerContinuous"/>
      <protection locked="0" hidden="1"/>
    </xf>
    <xf numFmtId="166" fontId="14" fillId="0" borderId="0" xfId="0" applyFont="1" applyFill="1" applyAlignment="1" applyProtection="1"/>
    <xf numFmtId="206" fontId="3" fillId="0" borderId="0" xfId="0" applyNumberFormat="1" applyFont="1" applyFill="1" applyAlignment="1" applyProtection="1"/>
    <xf numFmtId="166" fontId="14" fillId="0" borderId="0" xfId="0" applyFont="1" applyFill="1" applyAlignment="1" applyProtection="1">
      <alignment horizontal="right"/>
    </xf>
    <xf numFmtId="166" fontId="27" fillId="0" borderId="12" xfId="0" applyFont="1" applyFill="1" applyBorder="1" applyAlignment="1" applyProtection="1">
      <alignment horizontal="centerContinuous" vertical="top" readingOrder="2"/>
    </xf>
    <xf numFmtId="166" fontId="27" fillId="0" borderId="7" xfId="0" applyFont="1" applyFill="1" applyBorder="1" applyAlignment="1" applyProtection="1">
      <alignment horizontal="centerContinuous" readingOrder="2"/>
    </xf>
    <xf numFmtId="166" fontId="27" fillId="0" borderId="6" xfId="0" applyFont="1" applyFill="1" applyBorder="1" applyAlignment="1" applyProtection="1">
      <alignment horizontal="centerContinuous"/>
    </xf>
    <xf numFmtId="166" fontId="27" fillId="0" borderId="2" xfId="0" applyFont="1" applyFill="1" applyBorder="1" applyAlignment="1" applyProtection="1">
      <alignment horizontal="centerContinuous" vertical="top"/>
    </xf>
    <xf numFmtId="166" fontId="27" fillId="0" borderId="7" xfId="0" applyFont="1" applyFill="1" applyBorder="1" applyAlignment="1" applyProtection="1">
      <alignment horizontal="centerContinuous" vertical="top"/>
    </xf>
    <xf numFmtId="166" fontId="27" fillId="0" borderId="6" xfId="0" applyFont="1" applyFill="1" applyBorder="1" applyAlignment="1" applyProtection="1">
      <alignment horizontal="centerContinuous" vertical="top"/>
    </xf>
    <xf numFmtId="206" fontId="27" fillId="0" borderId="2" xfId="0" applyNumberFormat="1" applyFont="1" applyFill="1" applyBorder="1" applyAlignment="1" applyProtection="1">
      <alignment horizontal="centerContinuous" vertical="top"/>
    </xf>
    <xf numFmtId="166" fontId="27" fillId="0" borderId="4" xfId="0" applyFont="1" applyFill="1" applyBorder="1" applyAlignment="1" applyProtection="1">
      <alignment horizontal="centerContinuous" vertical="center"/>
    </xf>
    <xf numFmtId="166" fontId="14" fillId="0" borderId="10" xfId="0" applyFont="1" applyFill="1" applyBorder="1" applyAlignment="1" applyProtection="1">
      <alignment horizontal="centerContinuous" vertical="center"/>
    </xf>
    <xf numFmtId="166" fontId="14" fillId="0" borderId="3" xfId="0" applyFont="1" applyFill="1" applyBorder="1" applyAlignment="1" applyProtection="1">
      <alignment horizontal="centerContinuous" vertical="center"/>
    </xf>
    <xf numFmtId="206" fontId="27" fillId="0" borderId="4" xfId="0" applyNumberFormat="1" applyFont="1" applyFill="1" applyBorder="1" applyAlignment="1" applyProtection="1">
      <alignment horizontal="centerContinuous" vertical="center"/>
    </xf>
    <xf numFmtId="166" fontId="46" fillId="0" borderId="12" xfId="0" applyFont="1" applyFill="1" applyBorder="1" applyAlignment="1" applyProtection="1">
      <alignment horizontal="center"/>
    </xf>
    <xf numFmtId="206" fontId="46" fillId="0" borderId="12" xfId="0" applyNumberFormat="1" applyFont="1" applyFill="1" applyBorder="1" applyAlignment="1" applyProtection="1">
      <alignment horizontal="center"/>
    </xf>
    <xf numFmtId="166" fontId="46" fillId="0" borderId="8" xfId="0" applyFont="1" applyFill="1" applyBorder="1" applyAlignment="1" applyProtection="1">
      <alignment horizontal="center"/>
    </xf>
    <xf numFmtId="166" fontId="46" fillId="0" borderId="4" xfId="0" applyFont="1" applyFill="1" applyBorder="1" applyAlignment="1" applyProtection="1">
      <alignment horizontal="center"/>
    </xf>
    <xf numFmtId="206" fontId="46" fillId="0" borderId="8" xfId="0" applyNumberFormat="1" applyFont="1" applyFill="1" applyBorder="1" applyAlignment="1" applyProtection="1">
      <alignment horizontal="center"/>
    </xf>
    <xf numFmtId="166" fontId="27" fillId="0" borderId="8" xfId="0" applyFont="1" applyFill="1" applyBorder="1" applyAlignment="1" applyProtection="1">
      <alignment horizontal="left" indent="1"/>
    </xf>
    <xf numFmtId="166" fontId="27" fillId="0" borderId="8" xfId="0" applyFont="1" applyFill="1" applyBorder="1" applyAlignment="1" applyProtection="1">
      <alignment horizontal="right" indent="1"/>
    </xf>
    <xf numFmtId="166" fontId="14" fillId="0" borderId="8" xfId="0" applyFont="1" applyFill="1" applyBorder="1" applyAlignment="1" applyProtection="1">
      <alignment horizontal="left" wrapText="1" indent="1"/>
    </xf>
    <xf numFmtId="166" fontId="14" fillId="0" borderId="8" xfId="0" applyFont="1" applyFill="1" applyBorder="1" applyAlignment="1" applyProtection="1">
      <alignment horizontal="right" wrapText="1" indent="1"/>
    </xf>
    <xf numFmtId="166" fontId="14" fillId="0" borderId="23" xfId="0" applyFont="1" applyFill="1" applyBorder="1" applyAlignment="1" applyProtection="1">
      <alignment horizontal="left" indent="1"/>
    </xf>
    <xf numFmtId="166" fontId="14" fillId="0" borderId="23" xfId="0" applyFont="1" applyFill="1" applyBorder="1" applyAlignment="1" applyProtection="1">
      <alignment horizontal="right" indent="1"/>
    </xf>
    <xf numFmtId="166" fontId="14" fillId="0" borderId="12" xfId="0" applyFont="1" applyFill="1" applyBorder="1" applyAlignment="1" applyProtection="1">
      <alignment horizontal="left" indent="1"/>
    </xf>
    <xf numFmtId="166" fontId="14" fillId="0" borderId="12" xfId="0" applyFont="1" applyFill="1" applyBorder="1" applyAlignment="1" applyProtection="1">
      <alignment horizontal="right" indent="1"/>
    </xf>
    <xf numFmtId="166" fontId="14" fillId="0" borderId="12" xfId="0" applyFont="1" applyFill="1" applyBorder="1" applyAlignment="1" applyProtection="1">
      <alignment horizontal="left" wrapText="1" indent="1"/>
    </xf>
    <xf numFmtId="166" fontId="14" fillId="0" borderId="12" xfId="0" applyFont="1" applyFill="1" applyBorder="1" applyAlignment="1" applyProtection="1">
      <alignment horizontal="right" wrapText="1" indent="1"/>
    </xf>
    <xf numFmtId="165" fontId="3" fillId="5" borderId="12" xfId="0" applyNumberFormat="1" applyFont="1" applyFill="1" applyBorder="1" applyAlignment="1" applyProtection="1"/>
    <xf numFmtId="165" fontId="3" fillId="5" borderId="23" xfId="0" applyNumberFormat="1" applyFont="1" applyFill="1" applyBorder="1" applyAlignment="1" applyProtection="1"/>
    <xf numFmtId="166" fontId="3" fillId="0" borderId="0" xfId="0" applyFont="1" applyFill="1" applyAlignment="1">
      <alignment horizontal="centerContinuous" wrapText="1"/>
      <protection locked="0" hidden="1"/>
    </xf>
    <xf numFmtId="166" fontId="5" fillId="0" borderId="0" xfId="0" applyFont="1" applyFill="1" applyAlignment="1">
      <alignment horizontal="centerContinuous" wrapText="1"/>
      <protection locked="0" hidden="1"/>
    </xf>
    <xf numFmtId="166" fontId="16" fillId="0" borderId="0" xfId="0" applyFont="1" applyFill="1" applyBorder="1" applyAlignment="1">
      <alignment horizontal="centerContinuous"/>
      <protection locked="0" hidden="1"/>
    </xf>
    <xf numFmtId="166" fontId="18" fillId="0" borderId="3" xfId="0" applyFont="1" applyFill="1" applyBorder="1" applyAlignment="1">
      <protection locked="0" hidden="1"/>
    </xf>
    <xf numFmtId="165" fontId="14" fillId="0" borderId="11" xfId="0" applyNumberFormat="1" applyFont="1" applyFill="1" applyBorder="1" applyAlignment="1">
      <alignment horizontal="right" readingOrder="2"/>
      <protection locked="0" hidden="1"/>
    </xf>
    <xf numFmtId="166" fontId="14" fillId="0" borderId="0" xfId="0" applyFont="1" applyFill="1" applyAlignment="1">
      <alignment vertical="top"/>
      <protection locked="0" hidden="1"/>
    </xf>
    <xf numFmtId="164" fontId="14" fillId="0" borderId="0" xfId="0" applyNumberFormat="1" applyFont="1" applyFill="1" applyBorder="1" applyAlignment="1">
      <protection locked="0" hidden="1"/>
    </xf>
    <xf numFmtId="166" fontId="27" fillId="0" borderId="4" xfId="0" applyNumberFormat="1" applyFont="1" applyFill="1" applyBorder="1" applyAlignment="1">
      <alignment horizontal="left"/>
      <protection locked="0" hidden="1"/>
    </xf>
    <xf numFmtId="166" fontId="27" fillId="0" borderId="3" xfId="0" applyNumberFormat="1" applyFont="1" applyFill="1" applyBorder="1" applyAlignment="1">
      <alignment horizontal="left"/>
      <protection locked="0" hidden="1"/>
    </xf>
    <xf numFmtId="165" fontId="14" fillId="0" borderId="4" xfId="0" applyNumberFormat="1" applyFont="1" applyFill="1" applyBorder="1" applyAlignment="1">
      <alignment horizontal="right"/>
      <protection locked="0" hidden="1"/>
    </xf>
    <xf numFmtId="165" fontId="14" fillId="0" borderId="8" xfId="0" applyNumberFormat="1" applyFont="1" applyFill="1" applyBorder="1" applyAlignment="1">
      <alignment horizontal="right"/>
      <protection locked="0" hidden="1"/>
    </xf>
    <xf numFmtId="165" fontId="14" fillId="0" borderId="18" xfId="0" applyNumberFormat="1" applyFont="1" applyFill="1" applyBorder="1" applyAlignment="1">
      <alignment horizontal="right"/>
      <protection locked="0" hidden="1"/>
    </xf>
    <xf numFmtId="166" fontId="14" fillId="0" borderId="0" xfId="0" applyFont="1" applyFill="1" applyBorder="1" applyAlignment="1">
      <alignment vertical="top"/>
      <protection locked="0" hidden="1"/>
    </xf>
    <xf numFmtId="166" fontId="9" fillId="0" borderId="0" xfId="0" applyFont="1" applyFill="1" applyAlignment="1">
      <alignment horizontal="centerContinuous" wrapText="1"/>
      <protection locked="0" hidden="1"/>
    </xf>
    <xf numFmtId="0" fontId="9" fillId="0" borderId="0" xfId="0" applyNumberFormat="1" applyFont="1" applyFill="1" applyAlignment="1" applyProtection="1">
      <alignment horizontal="centerContinuous" wrapText="1"/>
    </xf>
    <xf numFmtId="0" fontId="4" fillId="0" borderId="0" xfId="0" applyNumberFormat="1" applyFont="1" applyFill="1" applyAlignment="1" applyProtection="1">
      <alignment horizontal="centerContinuous" wrapText="1"/>
    </xf>
    <xf numFmtId="0" fontId="5" fillId="0" borderId="0" xfId="0" applyNumberFormat="1" applyFont="1" applyFill="1" applyAlignment="1" applyProtection="1">
      <alignment horizontal="centerContinuous" wrapText="1"/>
    </xf>
    <xf numFmtId="0" fontId="5" fillId="0" borderId="0" xfId="0" applyNumberFormat="1" applyFont="1" applyFill="1" applyAlignment="1" applyProtection="1">
      <alignment horizontal="centerContinuous" readingOrder="1"/>
    </xf>
    <xf numFmtId="0" fontId="10" fillId="0" borderId="22" xfId="0" applyNumberFormat="1" applyFont="1" applyFill="1" applyBorder="1" applyAlignment="1" applyProtection="1">
      <alignment horizontal="right" vertical="center" indent="2" readingOrder="2"/>
    </xf>
    <xf numFmtId="0" fontId="10" fillId="0" borderId="21" xfId="0" applyNumberFormat="1" applyFont="1" applyFill="1" applyBorder="1" applyAlignment="1" applyProtection="1">
      <alignment horizontal="left" vertical="center" indent="2"/>
    </xf>
    <xf numFmtId="0" fontId="10" fillId="0" borderId="12" xfId="0" applyNumberFormat="1" applyFont="1" applyFill="1" applyBorder="1" applyAlignment="1" applyProtection="1">
      <alignment horizontal="right" vertical="center" readingOrder="2"/>
    </xf>
    <xf numFmtId="165" fontId="16" fillId="0" borderId="1" xfId="0" applyNumberFormat="1" applyFont="1" applyFill="1" applyBorder="1" applyAlignment="1">
      <alignment horizontal="right" indent="1"/>
      <protection locked="0" hidden="1"/>
    </xf>
    <xf numFmtId="165" fontId="16" fillId="0" borderId="1" xfId="0" applyNumberFormat="1" applyFont="1" applyFill="1" applyBorder="1" applyAlignment="1">
      <alignment horizontal="right" indent="1" readingOrder="1"/>
      <protection locked="0" hidden="1"/>
    </xf>
    <xf numFmtId="165" fontId="16" fillId="0" borderId="11" xfId="0" applyNumberFormat="1" applyFont="1" applyFill="1" applyBorder="1" applyAlignment="1">
      <alignment horizontal="right" indent="1"/>
      <protection locked="0" hidden="1"/>
    </xf>
    <xf numFmtId="178" fontId="16" fillId="0" borderId="11" xfId="0" applyNumberFormat="1" applyFont="1" applyFill="1" applyBorder="1" applyAlignment="1">
      <alignment horizontal="center"/>
      <protection locked="0" hidden="1"/>
    </xf>
    <xf numFmtId="165" fontId="16" fillId="0" borderId="1" xfId="0" applyNumberFormat="1" applyFont="1" applyFill="1" applyBorder="1" applyAlignment="1">
      <alignment horizontal="right" vertical="top" indent="1"/>
      <protection locked="0" hidden="1"/>
    </xf>
    <xf numFmtId="165" fontId="16" fillId="0" borderId="11" xfId="0" applyNumberFormat="1" applyFont="1" applyFill="1" applyBorder="1" applyAlignment="1">
      <alignment horizontal="right" vertical="top" indent="1"/>
      <protection locked="0" hidden="1"/>
    </xf>
    <xf numFmtId="166" fontId="16" fillId="0" borderId="11" xfId="0" applyFont="1" applyFill="1" applyBorder="1" applyAlignment="1">
      <alignment horizontal="center"/>
      <protection locked="0" hidden="1"/>
    </xf>
    <xf numFmtId="166" fontId="29" fillId="0" borderId="3" xfId="0" applyFont="1" applyFill="1" applyBorder="1" applyAlignment="1">
      <alignment horizontal="left"/>
      <protection locked="0" hidden="1"/>
    </xf>
    <xf numFmtId="165" fontId="20" fillId="0" borderId="4" xfId="0" applyNumberFormat="1" applyFont="1" applyFill="1" applyBorder="1" applyAlignment="1">
      <alignment horizontal="right" indent="1"/>
      <protection locked="0" hidden="1"/>
    </xf>
    <xf numFmtId="165" fontId="20" fillId="0" borderId="8" xfId="0" applyNumberFormat="1" applyFont="1" applyFill="1" applyBorder="1" applyAlignment="1">
      <alignment horizontal="right" indent="1"/>
      <protection locked="0" hidden="1"/>
    </xf>
    <xf numFmtId="166" fontId="20" fillId="0" borderId="8" xfId="0" applyFont="1" applyFill="1" applyBorder="1" applyAlignment="1">
      <alignment horizontal="center"/>
      <protection locked="0" hidden="1"/>
    </xf>
    <xf numFmtId="0" fontId="10" fillId="0" borderId="21" xfId="0" applyNumberFormat="1" applyFont="1" applyFill="1" applyBorder="1" applyAlignment="1" applyProtection="1">
      <alignment horizontal="centerContinuous" vertical="center" readingOrder="1"/>
    </xf>
    <xf numFmtId="0" fontId="10" fillId="0" borderId="5" xfId="0" applyNumberFormat="1" applyFont="1" applyFill="1" applyBorder="1" applyAlignment="1" applyProtection="1">
      <alignment horizontal="centerContinuous" vertical="center" readingOrder="2"/>
    </xf>
    <xf numFmtId="0" fontId="10" fillId="0" borderId="22" xfId="0" applyNumberFormat="1" applyFont="1" applyFill="1" applyBorder="1" applyAlignment="1" applyProtection="1">
      <alignment horizontal="right" vertical="center" readingOrder="2"/>
    </xf>
    <xf numFmtId="0" fontId="10" fillId="0" borderId="21" xfId="0" applyNumberFormat="1" applyFont="1" applyFill="1" applyBorder="1" applyAlignment="1" applyProtection="1">
      <alignment vertical="center"/>
    </xf>
    <xf numFmtId="0" fontId="10" fillId="0" borderId="5" xfId="0" applyNumberFormat="1" applyFont="1" applyFill="1" applyBorder="1" applyAlignment="1" applyProtection="1">
      <alignment horizontal="right" vertical="center" readingOrder="2"/>
    </xf>
    <xf numFmtId="166" fontId="16" fillId="0" borderId="0" xfId="0" applyFont="1" applyFill="1" applyAlignment="1">
      <alignment readingOrder="1"/>
      <protection locked="0" hidden="1"/>
    </xf>
    <xf numFmtId="165" fontId="14" fillId="0" borderId="9" xfId="0" applyNumberFormat="1" applyFont="1" applyFill="1" applyBorder="1" applyAlignment="1">
      <alignment horizontal="right"/>
      <protection locked="0" hidden="1"/>
    </xf>
    <xf numFmtId="206" fontId="3" fillId="0" borderId="7" xfId="0" applyNumberFormat="1" applyFont="1" applyFill="1" applyBorder="1" applyAlignment="1">
      <protection locked="0" hidden="1"/>
    </xf>
    <xf numFmtId="166" fontId="20" fillId="0" borderId="7" xfId="0" applyFont="1" applyFill="1" applyBorder="1" applyAlignment="1">
      <alignment horizontal="right" readingOrder="2"/>
      <protection locked="0" hidden="1"/>
    </xf>
    <xf numFmtId="206" fontId="3" fillId="0" borderId="0" xfId="0" applyNumberFormat="1" applyFont="1" applyFill="1" applyAlignment="1">
      <protection locked="0" hidden="1"/>
    </xf>
    <xf numFmtId="166" fontId="4" fillId="0" borderId="0" xfId="0" applyFont="1" applyFill="1" applyAlignment="1">
      <alignment horizontal="left"/>
      <protection locked="0" hidden="1"/>
    </xf>
    <xf numFmtId="166" fontId="6" fillId="0" borderId="0" xfId="0" applyFont="1" applyFill="1" applyBorder="1" applyAlignment="1">
      <alignment horizontal="left"/>
      <protection locked="0" hidden="1"/>
    </xf>
    <xf numFmtId="166" fontId="10" fillId="0" borderId="2" xfId="0" applyFont="1" applyFill="1" applyBorder="1" applyAlignment="1">
      <alignment vertical="center"/>
      <protection locked="0" hidden="1"/>
    </xf>
    <xf numFmtId="0" fontId="10" fillId="0" borderId="23" xfId="0" applyNumberFormat="1" applyFont="1" applyFill="1" applyBorder="1" applyAlignment="1" applyProtection="1">
      <alignment horizontal="left" vertical="center" indent="1" readingOrder="1"/>
    </xf>
    <xf numFmtId="0" fontId="12" fillId="0" borderId="22" xfId="0" applyNumberFormat="1" applyFont="1" applyFill="1" applyBorder="1" applyAlignment="1" applyProtection="1">
      <alignment horizontal="right" vertical="center" indent="1" readingOrder="2"/>
    </xf>
    <xf numFmtId="166" fontId="10" fillId="0" borderId="21" xfId="0" applyFont="1" applyFill="1" applyBorder="1" applyAlignment="1">
      <alignment horizontal="left" vertical="center" indent="1" readingOrder="1"/>
      <protection locked="0" hidden="1"/>
    </xf>
    <xf numFmtId="166" fontId="12" fillId="0" borderId="22" xfId="0" applyFont="1" applyFill="1" applyBorder="1" applyAlignment="1">
      <alignment horizontal="right" vertical="center" indent="1" readingOrder="2"/>
      <protection locked="0" hidden="1"/>
    </xf>
    <xf numFmtId="166" fontId="10" fillId="0" borderId="13" xfId="0" applyFont="1" applyFill="1" applyBorder="1" applyAlignment="1">
      <alignment vertical="center"/>
      <protection locked="0" hidden="1"/>
    </xf>
    <xf numFmtId="166" fontId="12" fillId="0" borderId="20" xfId="0" applyFont="1" applyFill="1" applyBorder="1" applyAlignment="1">
      <alignment horizontal="center" vertical="top"/>
      <protection locked="0" hidden="1"/>
    </xf>
    <xf numFmtId="166" fontId="10" fillId="0" borderId="1" xfId="0" applyFont="1" applyFill="1" applyBorder="1" applyAlignment="1">
      <alignment vertical="top"/>
      <protection locked="0" hidden="1"/>
    </xf>
    <xf numFmtId="166" fontId="10" fillId="0" borderId="0" xfId="0" applyFont="1" applyFill="1" applyBorder="1" applyAlignment="1">
      <alignment vertical="top"/>
      <protection locked="0" hidden="1"/>
    </xf>
    <xf numFmtId="166" fontId="12" fillId="0" borderId="1" xfId="0" applyFont="1" applyFill="1" applyBorder="1" applyAlignment="1">
      <alignment horizontal="center" vertical="top"/>
      <protection locked="0" hidden="1"/>
    </xf>
    <xf numFmtId="166" fontId="12" fillId="0" borderId="11" xfId="0" applyFont="1" applyFill="1" applyBorder="1" applyAlignment="1">
      <alignment horizontal="center" vertical="top"/>
      <protection locked="0" hidden="1"/>
    </xf>
    <xf numFmtId="166" fontId="12" fillId="0" borderId="11" xfId="0" applyFont="1" applyFill="1" applyBorder="1" applyAlignment="1">
      <alignment horizontal="centerContinuous" vertical="top"/>
      <protection locked="0" hidden="1"/>
    </xf>
    <xf numFmtId="166" fontId="10" fillId="0" borderId="9" xfId="0" applyFont="1" applyFill="1" applyBorder="1" applyAlignment="1">
      <alignment horizontal="centerContinuous" vertical="top"/>
      <protection locked="0" hidden="1"/>
    </xf>
    <xf numFmtId="166" fontId="10" fillId="0" borderId="11" xfId="0" applyFont="1" applyFill="1" applyBorder="1" applyAlignment="1">
      <alignment vertical="top"/>
      <protection locked="0" hidden="1"/>
    </xf>
    <xf numFmtId="166" fontId="12" fillId="0" borderId="6" xfId="0" applyFont="1" applyFill="1" applyBorder="1" applyAlignment="1">
      <alignment horizontal="centerContinuous" vertical="top"/>
      <protection locked="0" hidden="1"/>
    </xf>
    <xf numFmtId="166" fontId="10" fillId="0" borderId="6" xfId="0" applyFont="1" applyFill="1" applyBorder="1" applyAlignment="1">
      <alignment horizontal="centerContinuous" vertical="top"/>
      <protection locked="0" hidden="1"/>
    </xf>
    <xf numFmtId="166" fontId="12" fillId="0" borderId="19" xfId="0" applyFont="1" applyFill="1" applyBorder="1" applyAlignment="1">
      <alignment horizontal="center" vertical="top"/>
      <protection locked="0" hidden="1"/>
    </xf>
    <xf numFmtId="166" fontId="10" fillId="0" borderId="0" xfId="0" applyFont="1" applyFill="1" applyAlignment="1">
      <alignment vertical="top"/>
      <protection locked="0" hidden="1"/>
    </xf>
    <xf numFmtId="166" fontId="12" fillId="0" borderId="11" xfId="0" applyFont="1" applyFill="1" applyBorder="1" applyAlignment="1">
      <alignment horizontal="center" vertical="top" readingOrder="2"/>
      <protection locked="0" hidden="1"/>
    </xf>
    <xf numFmtId="166" fontId="10" fillId="0" borderId="20" xfId="0" applyFont="1" applyFill="1" applyBorder="1" applyAlignment="1">
      <alignment horizontal="center" vertical="top"/>
      <protection locked="0" hidden="1"/>
    </xf>
    <xf numFmtId="166" fontId="10" fillId="0" borderId="1" xfId="0" applyFont="1" applyFill="1" applyBorder="1" applyAlignment="1">
      <alignment horizontal="centerContinuous" vertical="top"/>
      <protection locked="0" hidden="1"/>
    </xf>
    <xf numFmtId="166" fontId="10" fillId="0" borderId="0" xfId="0" applyFont="1" applyFill="1" applyBorder="1" applyAlignment="1">
      <alignment horizontal="centerContinuous" vertical="top"/>
      <protection locked="0" hidden="1"/>
    </xf>
    <xf numFmtId="166" fontId="10" fillId="0" borderId="11" xfId="0" applyFont="1" applyFill="1" applyBorder="1" applyAlignment="1">
      <alignment horizontal="center" vertical="top"/>
      <protection locked="0" hidden="1"/>
    </xf>
    <xf numFmtId="166" fontId="10" fillId="0" borderId="11" xfId="0" applyFont="1" applyFill="1" applyBorder="1" applyAlignment="1">
      <alignment horizontal="centerContinuous" vertical="top"/>
      <protection locked="0" hidden="1"/>
    </xf>
    <xf numFmtId="166" fontId="10" fillId="0" borderId="19" xfId="0" applyFont="1" applyFill="1" applyBorder="1" applyAlignment="1">
      <alignment horizontal="center" vertical="top"/>
      <protection locked="0" hidden="1"/>
    </xf>
    <xf numFmtId="166" fontId="10" fillId="0" borderId="4" xfId="0" applyFont="1" applyFill="1" applyBorder="1" applyAlignment="1">
      <alignment horizontal="centerContinuous" vertical="top"/>
      <protection locked="0" hidden="1"/>
    </xf>
    <xf numFmtId="166" fontId="10" fillId="0" borderId="3" xfId="0" applyFont="1" applyFill="1" applyBorder="1" applyAlignment="1">
      <alignment horizontal="centerContinuous" vertical="top"/>
      <protection locked="0" hidden="1"/>
    </xf>
    <xf numFmtId="166" fontId="10" fillId="0" borderId="8" xfId="0" applyFont="1" applyFill="1" applyBorder="1" applyAlignment="1">
      <alignment horizontal="center" vertical="top"/>
      <protection locked="0" hidden="1"/>
    </xf>
    <xf numFmtId="166" fontId="10" fillId="0" borderId="10" xfId="0" applyFont="1" applyFill="1" applyBorder="1" applyAlignment="1">
      <alignment horizontal="center" vertical="top"/>
      <protection locked="0" hidden="1"/>
    </xf>
    <xf numFmtId="166" fontId="10" fillId="0" borderId="10" xfId="0" applyFont="1" applyFill="1" applyBorder="1" applyAlignment="1">
      <alignment vertical="top"/>
      <protection locked="0" hidden="1"/>
    </xf>
    <xf numFmtId="166" fontId="10" fillId="0" borderId="8" xfId="0" applyFont="1" applyFill="1" applyBorder="1" applyAlignment="1">
      <alignment vertical="top"/>
      <protection locked="0" hidden="1"/>
    </xf>
    <xf numFmtId="166" fontId="10" fillId="0" borderId="14" xfId="0" applyFont="1" applyFill="1" applyBorder="1" applyAlignment="1">
      <alignment vertical="top"/>
      <protection locked="0" hidden="1"/>
    </xf>
    <xf numFmtId="176" fontId="16" fillId="0" borderId="11" xfId="0" applyNumberFormat="1" applyFont="1" applyFill="1" applyBorder="1" applyAlignment="1">
      <protection locked="0" hidden="1"/>
    </xf>
    <xf numFmtId="202" fontId="16" fillId="0" borderId="11" xfId="0" applyNumberFormat="1" applyFont="1" applyFill="1" applyBorder="1" applyAlignment="1">
      <protection locked="0" hidden="1"/>
    </xf>
    <xf numFmtId="170" fontId="16" fillId="0" borderId="11" xfId="0" applyNumberFormat="1" applyFont="1" applyFill="1" applyBorder="1" applyAlignment="1">
      <protection locked="0" hidden="1"/>
    </xf>
    <xf numFmtId="177" fontId="16" fillId="0" borderId="11" xfId="0" applyNumberFormat="1" applyFont="1" applyFill="1" applyBorder="1" applyAlignment="1">
      <protection locked="0" hidden="1"/>
    </xf>
    <xf numFmtId="178" fontId="16" fillId="0" borderId="11" xfId="0" applyNumberFormat="1" applyFont="1" applyFill="1" applyBorder="1" applyAlignment="1">
      <protection locked="0" hidden="1"/>
    </xf>
    <xf numFmtId="167" fontId="20" fillId="0" borderId="12" xfId="0" applyNumberFormat="1" applyFont="1" applyFill="1" applyBorder="1" applyAlignment="1">
      <protection locked="0" hidden="1"/>
    </xf>
    <xf numFmtId="183" fontId="16" fillId="0" borderId="11" xfId="0" applyNumberFormat="1" applyFont="1" applyFill="1" applyBorder="1" applyAlignment="1">
      <protection locked="0" hidden="1"/>
    </xf>
    <xf numFmtId="188" fontId="16" fillId="0" borderId="20" xfId="0" applyNumberFormat="1" applyFont="1" applyFill="1" applyBorder="1" applyAlignment="1">
      <protection locked="0" hidden="1"/>
    </xf>
    <xf numFmtId="164" fontId="20" fillId="0" borderId="0" xfId="0" applyNumberFormat="1" applyFont="1" applyFill="1" applyBorder="1" applyAlignment="1">
      <alignment vertical="top"/>
      <protection locked="0" hidden="1"/>
    </xf>
    <xf numFmtId="1" fontId="20" fillId="0" borderId="0" xfId="0" applyNumberFormat="1" applyFont="1" applyFill="1" applyBorder="1" applyAlignment="1">
      <alignment vertical="top"/>
      <protection locked="0" hidden="1"/>
    </xf>
    <xf numFmtId="176" fontId="20" fillId="0" borderId="8" xfId="0" applyNumberFormat="1" applyFont="1" applyFill="1" applyBorder="1" applyAlignment="1">
      <protection locked="0" hidden="1"/>
    </xf>
    <xf numFmtId="202" fontId="20" fillId="0" borderId="8" xfId="0" applyNumberFormat="1" applyFont="1" applyFill="1" applyBorder="1" applyAlignment="1">
      <protection locked="0" hidden="1"/>
    </xf>
    <xf numFmtId="172" fontId="20" fillId="0" borderId="8" xfId="0" applyNumberFormat="1" applyFont="1" applyFill="1" applyBorder="1" applyAlignment="1">
      <protection locked="0" hidden="1"/>
    </xf>
    <xf numFmtId="170" fontId="20" fillId="0" borderId="8" xfId="0" applyNumberFormat="1" applyFont="1" applyFill="1" applyBorder="1" applyAlignment="1">
      <protection locked="0" hidden="1"/>
    </xf>
    <xf numFmtId="177" fontId="20" fillId="0" borderId="8" xfId="0" applyNumberFormat="1" applyFont="1" applyFill="1" applyBorder="1" applyAlignment="1">
      <protection locked="0" hidden="1"/>
    </xf>
    <xf numFmtId="178" fontId="20" fillId="0" borderId="8" xfId="0" applyNumberFormat="1" applyFont="1" applyFill="1" applyBorder="1" applyAlignment="1">
      <protection locked="0" hidden="1"/>
    </xf>
    <xf numFmtId="167" fontId="20" fillId="0" borderId="8" xfId="0" applyNumberFormat="1" applyFont="1" applyFill="1" applyBorder="1" applyAlignment="1">
      <protection locked="0" hidden="1"/>
    </xf>
    <xf numFmtId="183" fontId="20" fillId="0" borderId="8" xfId="0" applyNumberFormat="1" applyFont="1" applyFill="1" applyBorder="1" applyAlignment="1">
      <protection locked="0" hidden="1"/>
    </xf>
    <xf numFmtId="178" fontId="20" fillId="0" borderId="14" xfId="0" applyNumberFormat="1" applyFont="1" applyFill="1" applyBorder="1" applyAlignment="1">
      <protection locked="0" hidden="1"/>
    </xf>
    <xf numFmtId="188" fontId="20" fillId="0" borderId="17" xfId="0" applyNumberFormat="1" applyFont="1" applyFill="1" applyBorder="1" applyAlignment="1">
      <protection locked="0" hidden="1"/>
    </xf>
    <xf numFmtId="165" fontId="4" fillId="0" borderId="0" xfId="0" applyNumberFormat="1" applyFont="1" applyFill="1" applyBorder="1" applyAlignment="1">
      <protection locked="0" hidden="1"/>
    </xf>
    <xf numFmtId="165" fontId="4" fillId="0" borderId="0" xfId="0" applyNumberFormat="1" applyFont="1" applyFill="1" applyBorder="1" applyAlignment="1">
      <alignment horizontal="centerContinuous"/>
      <protection locked="0" hidden="1"/>
    </xf>
    <xf numFmtId="206" fontId="6" fillId="0" borderId="0" xfId="0" applyNumberFormat="1" applyFont="1" applyFill="1" applyAlignment="1">
      <alignment horizontal="centerContinuous"/>
      <protection locked="0" hidden="1"/>
    </xf>
    <xf numFmtId="0" fontId="10" fillId="0" borderId="21" xfId="0" applyNumberFormat="1" applyFont="1" applyFill="1" applyBorder="1" applyAlignment="1" applyProtection="1">
      <alignment horizontal="left" vertical="center" indent="1" readingOrder="1"/>
    </xf>
    <xf numFmtId="166" fontId="12" fillId="0" borderId="19" xfId="0" applyFont="1" applyFill="1" applyBorder="1" applyAlignment="1">
      <alignment horizontal="center"/>
      <protection locked="0" hidden="1"/>
    </xf>
    <xf numFmtId="0" fontId="3" fillId="0" borderId="11" xfId="0" applyNumberFormat="1" applyFont="1" applyFill="1" applyBorder="1" applyAlignment="1" applyProtection="1"/>
    <xf numFmtId="166" fontId="10" fillId="0" borderId="3" xfId="0" applyFont="1" applyFill="1" applyBorder="1" applyAlignment="1">
      <alignment horizontal="center" vertical="top"/>
      <protection locked="0" hidden="1"/>
    </xf>
    <xf numFmtId="166" fontId="10" fillId="0" borderId="17" xfId="0" applyFont="1" applyFill="1" applyBorder="1" applyAlignment="1">
      <alignment horizontal="center" vertical="top"/>
      <protection locked="0" hidden="1"/>
    </xf>
    <xf numFmtId="166" fontId="6" fillId="0" borderId="0" xfId="0" applyFont="1" applyFill="1" applyAlignment="1">
      <alignment horizontal="center" vertical="top"/>
      <protection locked="0" hidden="1"/>
    </xf>
    <xf numFmtId="170" fontId="16" fillId="0" borderId="11" xfId="0" applyNumberFormat="1" applyFont="1" applyFill="1" applyBorder="1" applyAlignment="1">
      <alignment horizontal="right" indent="1"/>
      <protection locked="0" hidden="1"/>
    </xf>
    <xf numFmtId="164" fontId="16" fillId="0" borderId="11" xfId="0" applyNumberFormat="1" applyFont="1" applyFill="1" applyBorder="1" applyAlignment="1">
      <alignment horizontal="right" indent="2"/>
      <protection locked="0" hidden="1"/>
    </xf>
    <xf numFmtId="179" fontId="16" fillId="0" borderId="11" xfId="0" applyNumberFormat="1" applyFont="1" applyFill="1" applyBorder="1" applyAlignment="1">
      <protection locked="0" hidden="1"/>
    </xf>
    <xf numFmtId="216" fontId="16" fillId="0" borderId="9" xfId="0" applyNumberFormat="1" applyFont="1" applyFill="1" applyBorder="1" applyAlignment="1">
      <protection locked="0" hidden="1"/>
    </xf>
    <xf numFmtId="165" fontId="16" fillId="0" borderId="9" xfId="0" applyNumberFormat="1" applyFont="1" applyFill="1" applyBorder="1" applyAlignment="1">
      <alignment horizontal="right" indent="1"/>
      <protection locked="0" hidden="1"/>
    </xf>
    <xf numFmtId="170" fontId="16" fillId="0" borderId="9" xfId="0" applyNumberFormat="1" applyFont="1" applyFill="1" applyBorder="1" applyAlignment="1">
      <alignment horizontal="right" indent="1"/>
      <protection locked="0" hidden="1"/>
    </xf>
    <xf numFmtId="167" fontId="16" fillId="0" borderId="20" xfId="0" applyNumberFormat="1" applyFont="1" applyFill="1" applyBorder="1" applyAlignment="1">
      <protection locked="0" hidden="1"/>
    </xf>
    <xf numFmtId="170" fontId="20" fillId="0" borderId="8" xfId="0" applyNumberFormat="1" applyFont="1" applyFill="1" applyBorder="1" applyAlignment="1">
      <alignment horizontal="right" indent="1"/>
      <protection locked="0" hidden="1"/>
    </xf>
    <xf numFmtId="165" fontId="20" fillId="0" borderId="8" xfId="0" applyNumberFormat="1" applyFont="1" applyFill="1" applyBorder="1" applyAlignment="1">
      <alignment horizontal="right" indent="2"/>
      <protection locked="0" hidden="1"/>
    </xf>
    <xf numFmtId="179" fontId="20" fillId="0" borderId="8" xfId="0" applyNumberFormat="1" applyFont="1" applyFill="1" applyBorder="1" applyAlignment="1">
      <protection locked="0" hidden="1"/>
    </xf>
    <xf numFmtId="216" fontId="20" fillId="0" borderId="10" xfId="0" applyNumberFormat="1" applyFont="1" applyFill="1" applyBorder="1" applyAlignment="1">
      <protection locked="0" hidden="1"/>
    </xf>
    <xf numFmtId="165" fontId="20" fillId="0" borderId="10" xfId="0" applyNumberFormat="1" applyFont="1" applyFill="1" applyBorder="1" applyAlignment="1">
      <alignment horizontal="right" indent="1"/>
      <protection locked="0" hidden="1"/>
    </xf>
    <xf numFmtId="170" fontId="20" fillId="0" borderId="14" xfId="0" applyNumberFormat="1" applyFont="1" applyFill="1" applyBorder="1" applyAlignment="1">
      <alignment horizontal="right" indent="1"/>
      <protection locked="0" hidden="1"/>
    </xf>
    <xf numFmtId="167" fontId="20" fillId="0" borderId="17" xfId="0" applyNumberFormat="1" applyFont="1" applyFill="1" applyBorder="1" applyAlignment="1">
      <protection locked="0" hidden="1"/>
    </xf>
    <xf numFmtId="166" fontId="6" fillId="0" borderId="7" xfId="0" applyFont="1" applyFill="1" applyBorder="1" applyAlignment="1">
      <alignment horizontal="left"/>
      <protection locked="0" hidden="1"/>
    </xf>
    <xf numFmtId="166" fontId="3" fillId="0" borderId="7" xfId="0" applyFont="1" applyFill="1" applyBorder="1" applyAlignment="1">
      <alignment readingOrder="2"/>
      <protection locked="0" hidden="1"/>
    </xf>
    <xf numFmtId="166" fontId="6" fillId="0" borderId="0" xfId="0" applyNumberFormat="1" applyFont="1" applyFill="1" applyBorder="1" applyAlignment="1">
      <alignment horizontal="centerContinuous"/>
      <protection locked="0" hidden="1"/>
    </xf>
    <xf numFmtId="22" fontId="6" fillId="0" borderId="0" xfId="0" applyNumberFormat="1" applyFont="1" applyFill="1" applyBorder="1" applyAlignment="1">
      <alignment horizontal="left"/>
      <protection locked="0" hidden="1"/>
    </xf>
    <xf numFmtId="166" fontId="19" fillId="0" borderId="2" xfId="0" applyNumberFormat="1" applyFont="1" applyFill="1" applyBorder="1" applyAlignment="1">
      <alignment horizontal="left"/>
      <protection locked="0" hidden="1"/>
    </xf>
    <xf numFmtId="177" fontId="16" fillId="0" borderId="2" xfId="0" applyNumberFormat="1" applyFont="1" applyFill="1" applyBorder="1" applyAlignment="1">
      <alignment horizontal="right"/>
      <protection locked="0" hidden="1"/>
    </xf>
    <xf numFmtId="171" fontId="16" fillId="0" borderId="2" xfId="0" applyNumberFormat="1" applyFont="1" applyFill="1" applyBorder="1" applyAlignment="1">
      <alignment horizontal="right"/>
      <protection locked="0" hidden="1"/>
    </xf>
    <xf numFmtId="187" fontId="16" fillId="0" borderId="12" xfId="0" applyNumberFormat="1" applyFont="1" applyFill="1" applyBorder="1" applyAlignment="1">
      <alignment horizontal="right"/>
      <protection locked="0" hidden="1"/>
    </xf>
    <xf numFmtId="172" fontId="16" fillId="0" borderId="12" xfId="0" applyNumberFormat="1" applyFont="1" applyFill="1" applyBorder="1" applyAlignment="1">
      <alignment horizontal="right"/>
      <protection locked="0" hidden="1"/>
    </xf>
    <xf numFmtId="223" fontId="16" fillId="0" borderId="12" xfId="0" applyNumberFormat="1" applyFont="1" applyFill="1" applyBorder="1" applyAlignment="1">
      <alignment horizontal="right"/>
      <protection locked="0" hidden="1"/>
    </xf>
    <xf numFmtId="177" fontId="16" fillId="0" borderId="12" xfId="0" applyNumberFormat="1" applyFont="1" applyFill="1" applyBorder="1" applyAlignment="1">
      <alignment horizontal="right"/>
      <protection locked="0" hidden="1"/>
    </xf>
    <xf numFmtId="224" fontId="16" fillId="0" borderId="2" xfId="0" applyNumberFormat="1" applyFont="1" applyFill="1" applyBorder="1" applyAlignment="1">
      <alignment horizontal="right"/>
      <protection locked="0" hidden="1"/>
    </xf>
    <xf numFmtId="226" fontId="16" fillId="0" borderId="12" xfId="0" applyNumberFormat="1" applyFont="1" applyFill="1" applyBorder="1" applyAlignment="1">
      <alignment horizontal="right"/>
      <protection locked="0" hidden="1"/>
    </xf>
    <xf numFmtId="224" fontId="16" fillId="0" borderId="12" xfId="0" applyNumberFormat="1" applyFont="1" applyFill="1" applyBorder="1" applyAlignment="1">
      <alignment horizontal="right"/>
      <protection locked="0" hidden="1"/>
    </xf>
    <xf numFmtId="165" fontId="16" fillId="0" borderId="12" xfId="0" applyNumberFormat="1" applyFont="1" applyFill="1" applyBorder="1" applyAlignment="1">
      <alignment horizontal="right" indent="1"/>
      <protection locked="0" hidden="1"/>
    </xf>
    <xf numFmtId="208" fontId="16" fillId="0" borderId="12" xfId="0" applyNumberFormat="1" applyFont="1" applyFill="1" applyBorder="1" applyAlignment="1">
      <alignment horizontal="right"/>
      <protection locked="0" hidden="1"/>
    </xf>
    <xf numFmtId="225" fontId="16" fillId="0" borderId="12" xfId="0" applyNumberFormat="1" applyFont="1" applyFill="1" applyBorder="1" applyAlignment="1">
      <alignment horizontal="right"/>
      <protection locked="0" hidden="1"/>
    </xf>
    <xf numFmtId="166" fontId="29" fillId="0" borderId="0" xfId="0" applyFont="1" applyFill="1" applyBorder="1" applyAlignment="1">
      <alignment horizontal="left" vertical="top"/>
      <protection locked="0" hidden="1"/>
    </xf>
    <xf numFmtId="177" fontId="20" fillId="0" borderId="1" xfId="0" applyNumberFormat="1" applyFont="1" applyFill="1" applyBorder="1" applyAlignment="1">
      <alignment horizontal="right" vertical="top"/>
      <protection locked="0" hidden="1"/>
    </xf>
    <xf numFmtId="171" fontId="20" fillId="0" borderId="1" xfId="0" applyNumberFormat="1" applyFont="1" applyFill="1" applyBorder="1" applyAlignment="1">
      <alignment horizontal="right" vertical="top"/>
      <protection locked="0" hidden="1"/>
    </xf>
    <xf numFmtId="187" fontId="20" fillId="0" borderId="1" xfId="0" applyNumberFormat="1" applyFont="1" applyFill="1" applyBorder="1" applyAlignment="1">
      <alignment horizontal="right" vertical="top"/>
      <protection locked="0" hidden="1"/>
    </xf>
    <xf numFmtId="172" fontId="20" fillId="0" borderId="1" xfId="0" applyNumberFormat="1" applyFont="1" applyFill="1" applyBorder="1" applyAlignment="1">
      <alignment horizontal="right" vertical="top"/>
      <protection locked="0" hidden="1"/>
    </xf>
    <xf numFmtId="223" fontId="20" fillId="0" borderId="1" xfId="0" applyNumberFormat="1" applyFont="1" applyFill="1" applyBorder="1" applyAlignment="1">
      <alignment horizontal="right" vertical="top"/>
      <protection locked="0" hidden="1"/>
    </xf>
    <xf numFmtId="224" fontId="20" fillId="0" borderId="1" xfId="0" applyNumberFormat="1" applyFont="1" applyFill="1" applyBorder="1" applyAlignment="1">
      <alignment horizontal="right" vertical="top"/>
      <protection locked="0" hidden="1"/>
    </xf>
    <xf numFmtId="226" fontId="20" fillId="0" borderId="1" xfId="0" applyNumberFormat="1" applyFont="1" applyFill="1" applyBorder="1" applyAlignment="1">
      <alignment horizontal="right" vertical="top"/>
      <protection locked="0" hidden="1"/>
    </xf>
    <xf numFmtId="165" fontId="20" fillId="0" borderId="1" xfId="0" applyNumberFormat="1" applyFont="1" applyFill="1" applyBorder="1" applyAlignment="1">
      <alignment horizontal="right" vertical="top" indent="1"/>
      <protection locked="0" hidden="1"/>
    </xf>
    <xf numFmtId="208" fontId="20" fillId="0" borderId="1" xfId="0" applyNumberFormat="1" applyFont="1" applyFill="1" applyBorder="1" applyAlignment="1">
      <alignment horizontal="right" vertical="top"/>
      <protection locked="0" hidden="1"/>
    </xf>
    <xf numFmtId="225" fontId="20" fillId="0" borderId="11" xfId="0" applyNumberFormat="1" applyFont="1" applyFill="1" applyBorder="1" applyAlignment="1">
      <alignment horizontal="right" vertical="top"/>
      <protection locked="0" hidden="1"/>
    </xf>
    <xf numFmtId="166" fontId="29" fillId="0" borderId="3" xfId="0" applyFont="1" applyFill="1" applyBorder="1" applyAlignment="1">
      <alignment horizontal="left" vertical="top"/>
      <protection locked="0" hidden="1"/>
    </xf>
    <xf numFmtId="177" fontId="20" fillId="0" borderId="4" xfId="0" applyNumberFormat="1" applyFont="1" applyFill="1" applyBorder="1" applyAlignment="1">
      <alignment horizontal="right" vertical="top"/>
      <protection locked="0" hidden="1"/>
    </xf>
    <xf numFmtId="171" fontId="20" fillId="0" borderId="4" xfId="0" applyNumberFormat="1" applyFont="1" applyFill="1" applyBorder="1" applyAlignment="1">
      <alignment horizontal="right" vertical="top"/>
      <protection locked="0" hidden="1"/>
    </xf>
    <xf numFmtId="187" fontId="20" fillId="0" borderId="4" xfId="0" applyNumberFormat="1" applyFont="1" applyFill="1" applyBorder="1" applyAlignment="1">
      <alignment horizontal="right" vertical="top"/>
      <protection locked="0" hidden="1"/>
    </xf>
    <xf numFmtId="172" fontId="20" fillId="0" borderId="4" xfId="0" applyNumberFormat="1" applyFont="1" applyFill="1" applyBorder="1" applyAlignment="1">
      <alignment horizontal="right" vertical="top"/>
      <protection locked="0" hidden="1"/>
    </xf>
    <xf numFmtId="223" fontId="20" fillId="0" borderId="4" xfId="0" applyNumberFormat="1" applyFont="1" applyFill="1" applyBorder="1" applyAlignment="1">
      <alignment horizontal="right" vertical="top"/>
      <protection locked="0" hidden="1"/>
    </xf>
    <xf numFmtId="224" fontId="20" fillId="0" borderId="4" xfId="0" applyNumberFormat="1" applyFont="1" applyFill="1" applyBorder="1" applyAlignment="1">
      <alignment horizontal="right" vertical="top"/>
      <protection locked="0" hidden="1"/>
    </xf>
    <xf numFmtId="226" fontId="20" fillId="0" borderId="4" xfId="0" applyNumberFormat="1" applyFont="1" applyFill="1" applyBorder="1" applyAlignment="1">
      <alignment horizontal="right" vertical="top"/>
      <protection locked="0" hidden="1"/>
    </xf>
    <xf numFmtId="165" fontId="20" fillId="0" borderId="4" xfId="0" applyNumberFormat="1" applyFont="1" applyFill="1" applyBorder="1" applyAlignment="1">
      <alignment horizontal="right" vertical="top" indent="1"/>
      <protection locked="0" hidden="1"/>
    </xf>
    <xf numFmtId="208" fontId="20" fillId="0" borderId="4" xfId="0" applyNumberFormat="1" applyFont="1" applyFill="1" applyBorder="1" applyAlignment="1">
      <alignment horizontal="right" vertical="top"/>
      <protection locked="0" hidden="1"/>
    </xf>
    <xf numFmtId="225" fontId="20" fillId="0" borderId="8" xfId="0" applyNumberFormat="1" applyFont="1" applyFill="1" applyBorder="1" applyAlignment="1">
      <alignment horizontal="right" vertical="top"/>
      <protection locked="0" hidden="1"/>
    </xf>
    <xf numFmtId="206" fontId="20" fillId="0" borderId="8" xfId="0" applyNumberFormat="1" applyFont="1" applyFill="1" applyBorder="1" applyAlignment="1">
      <alignment horizontal="center"/>
      <protection locked="0" hidden="1"/>
    </xf>
    <xf numFmtId="177" fontId="16" fillId="0" borderId="1" xfId="0" applyNumberFormat="1" applyFont="1" applyFill="1" applyBorder="1" applyAlignment="1">
      <alignment horizontal="right"/>
      <protection locked="0" hidden="1"/>
    </xf>
    <xf numFmtId="171" fontId="16" fillId="0" borderId="1" xfId="0" applyNumberFormat="1" applyFont="1" applyFill="1" applyBorder="1" applyAlignment="1">
      <alignment horizontal="right"/>
      <protection locked="0" hidden="1"/>
    </xf>
    <xf numFmtId="187" fontId="16" fillId="0" borderId="11" xfId="0" applyNumberFormat="1" applyFont="1" applyFill="1" applyBorder="1" applyAlignment="1">
      <alignment horizontal="right"/>
      <protection locked="0" hidden="1"/>
    </xf>
    <xf numFmtId="223" fontId="16" fillId="0" borderId="11" xfId="0" applyNumberFormat="1" applyFont="1" applyFill="1" applyBorder="1" applyAlignment="1">
      <alignment horizontal="right"/>
      <protection locked="0" hidden="1"/>
    </xf>
    <xf numFmtId="224" fontId="16" fillId="0" borderId="1" xfId="0" applyNumberFormat="1" applyFont="1" applyFill="1" applyBorder="1" applyAlignment="1">
      <alignment horizontal="right"/>
      <protection locked="0" hidden="1"/>
    </xf>
    <xf numFmtId="226" fontId="16" fillId="0" borderId="11" xfId="0" applyNumberFormat="1" applyFont="1" applyFill="1" applyBorder="1" applyAlignment="1">
      <alignment horizontal="right"/>
      <protection locked="0" hidden="1"/>
    </xf>
    <xf numFmtId="224" fontId="16" fillId="0" borderId="11" xfId="0" applyNumberFormat="1" applyFont="1" applyFill="1" applyBorder="1" applyAlignment="1">
      <alignment horizontal="right"/>
      <protection locked="0" hidden="1"/>
    </xf>
    <xf numFmtId="208" fontId="16" fillId="0" borderId="11" xfId="0" applyNumberFormat="1" applyFont="1" applyFill="1" applyBorder="1" applyAlignment="1">
      <alignment horizontal="right"/>
      <protection locked="0" hidden="1"/>
    </xf>
    <xf numFmtId="225" fontId="16" fillId="0" borderId="11" xfId="0" applyNumberFormat="1" applyFont="1" applyFill="1" applyBorder="1" applyAlignment="1">
      <alignment horizontal="right"/>
      <protection locked="0" hidden="1"/>
    </xf>
    <xf numFmtId="177" fontId="16" fillId="0" borderId="4" xfId="0" applyNumberFormat="1" applyFont="1" applyFill="1" applyBorder="1" applyAlignment="1">
      <alignment horizontal="right"/>
      <protection locked="0" hidden="1"/>
    </xf>
    <xf numFmtId="171" fontId="16" fillId="0" borderId="4" xfId="0" applyNumberFormat="1" applyFont="1" applyFill="1" applyBorder="1" applyAlignment="1">
      <alignment horizontal="right"/>
      <protection locked="0" hidden="1"/>
    </xf>
    <xf numFmtId="187" fontId="16" fillId="0" borderId="8" xfId="0" applyNumberFormat="1" applyFont="1" applyFill="1" applyBorder="1" applyAlignment="1">
      <alignment horizontal="right"/>
      <protection locked="0" hidden="1"/>
    </xf>
    <xf numFmtId="172" fontId="16" fillId="0" borderId="8" xfId="0" applyNumberFormat="1" applyFont="1" applyFill="1" applyBorder="1" applyAlignment="1">
      <alignment horizontal="right"/>
      <protection locked="0" hidden="1"/>
    </xf>
    <xf numFmtId="223" fontId="16" fillId="0" borderId="8" xfId="0" applyNumberFormat="1" applyFont="1" applyFill="1" applyBorder="1" applyAlignment="1">
      <alignment horizontal="right"/>
      <protection locked="0" hidden="1"/>
    </xf>
    <xf numFmtId="224" fontId="16" fillId="0" borderId="4" xfId="0" applyNumberFormat="1" applyFont="1" applyFill="1" applyBorder="1" applyAlignment="1">
      <alignment horizontal="right"/>
      <protection locked="0" hidden="1"/>
    </xf>
    <xf numFmtId="226" fontId="16" fillId="0" borderId="8" xfId="0" applyNumberFormat="1" applyFont="1" applyFill="1" applyBorder="1" applyAlignment="1">
      <alignment horizontal="right"/>
      <protection locked="0" hidden="1"/>
    </xf>
    <xf numFmtId="224" fontId="16" fillId="0" borderId="8" xfId="0" applyNumberFormat="1" applyFont="1" applyFill="1" applyBorder="1" applyAlignment="1">
      <alignment horizontal="right"/>
      <protection locked="0" hidden="1"/>
    </xf>
    <xf numFmtId="165" fontId="16" fillId="0" borderId="8" xfId="0" applyNumberFormat="1" applyFont="1" applyFill="1" applyBorder="1" applyAlignment="1">
      <alignment horizontal="right" indent="1"/>
      <protection locked="0" hidden="1"/>
    </xf>
    <xf numFmtId="208" fontId="16" fillId="0" borderId="8" xfId="0" applyNumberFormat="1" applyFont="1" applyFill="1" applyBorder="1" applyAlignment="1">
      <alignment horizontal="right"/>
      <protection locked="0" hidden="1"/>
    </xf>
    <xf numFmtId="225" fontId="16" fillId="0" borderId="8" xfId="0" applyNumberFormat="1" applyFont="1" applyFill="1" applyBorder="1" applyAlignment="1">
      <alignment horizontal="right"/>
      <protection locked="0" hidden="1"/>
    </xf>
    <xf numFmtId="219" fontId="16" fillId="0" borderId="2" xfId="0" applyNumberFormat="1" applyFont="1" applyFill="1" applyBorder="1" applyAlignment="1">
      <protection locked="0" hidden="1"/>
    </xf>
    <xf numFmtId="220" fontId="16" fillId="0" borderId="2" xfId="0" applyNumberFormat="1" applyFont="1" applyFill="1" applyBorder="1" applyAlignment="1">
      <protection locked="0" hidden="1"/>
    </xf>
    <xf numFmtId="187" fontId="16" fillId="0" borderId="12" xfId="0" applyNumberFormat="1" applyFont="1" applyFill="1" applyBorder="1" applyAlignment="1">
      <protection locked="0" hidden="1"/>
    </xf>
    <xf numFmtId="164" fontId="16" fillId="0" borderId="12" xfId="0" applyNumberFormat="1" applyFont="1" applyFill="1" applyBorder="1" applyAlignment="1">
      <alignment horizontal="right" indent="2"/>
      <protection locked="0" hidden="1"/>
    </xf>
    <xf numFmtId="176" fontId="16" fillId="0" borderId="12" xfId="0" applyNumberFormat="1" applyFont="1" applyFill="1" applyBorder="1" applyAlignment="1">
      <alignment horizontal="right"/>
      <protection locked="0" hidden="1"/>
    </xf>
    <xf numFmtId="221" fontId="16" fillId="0" borderId="2" xfId="0" applyNumberFormat="1" applyFont="1" applyFill="1" applyBorder="1" applyAlignment="1">
      <alignment horizontal="right"/>
      <protection locked="0" hidden="1"/>
    </xf>
    <xf numFmtId="196" fontId="16" fillId="0" borderId="2" xfId="0" applyNumberFormat="1" applyFont="1" applyFill="1" applyBorder="1" applyAlignment="1">
      <alignment horizontal="right"/>
      <protection locked="0" hidden="1"/>
    </xf>
    <xf numFmtId="222" fontId="16" fillId="0" borderId="12" xfId="0" applyNumberFormat="1" applyFont="1" applyFill="1" applyBorder="1" applyAlignment="1">
      <alignment horizontal="right"/>
      <protection locked="0" hidden="1"/>
    </xf>
    <xf numFmtId="220" fontId="16" fillId="0" borderId="12" xfId="0" applyNumberFormat="1" applyFont="1" applyFill="1" applyBorder="1" applyAlignment="1">
      <alignment horizontal="right"/>
      <protection locked="0" hidden="1"/>
    </xf>
    <xf numFmtId="189" fontId="16" fillId="0" borderId="12" xfId="0" applyNumberFormat="1" applyFont="1" applyFill="1" applyBorder="1" applyAlignment="1">
      <alignment horizontal="right"/>
      <protection locked="0" hidden="1"/>
    </xf>
    <xf numFmtId="178" fontId="16" fillId="0" borderId="2" xfId="0" applyNumberFormat="1" applyFont="1" applyFill="1" applyBorder="1" applyAlignment="1">
      <alignment horizontal="right"/>
      <protection locked="0" hidden="1"/>
    </xf>
    <xf numFmtId="178" fontId="16" fillId="0" borderId="12" xfId="0" applyNumberFormat="1" applyFont="1" applyFill="1" applyBorder="1" applyAlignment="1">
      <alignment horizontal="right"/>
      <protection locked="0" hidden="1"/>
    </xf>
    <xf numFmtId="166" fontId="20" fillId="0" borderId="0" xfId="0" applyFont="1" applyFill="1" applyBorder="1" applyAlignment="1">
      <alignment vertical="top"/>
      <protection locked="0" hidden="1"/>
    </xf>
    <xf numFmtId="219" fontId="20" fillId="0" borderId="4" xfId="0" applyNumberFormat="1" applyFont="1" applyFill="1" applyBorder="1" applyAlignment="1">
      <protection locked="0" hidden="1"/>
    </xf>
    <xf numFmtId="220" fontId="20" fillId="0" borderId="4" xfId="0" applyNumberFormat="1" applyFont="1" applyFill="1" applyBorder="1" applyAlignment="1">
      <protection locked="0" hidden="1"/>
    </xf>
    <xf numFmtId="187" fontId="20" fillId="0" borderId="8" xfId="0" applyNumberFormat="1" applyFont="1" applyFill="1" applyBorder="1" applyAlignment="1">
      <protection locked="0" hidden="1"/>
    </xf>
    <xf numFmtId="164" fontId="20" fillId="0" borderId="8" xfId="0" applyNumberFormat="1" applyFont="1" applyFill="1" applyBorder="1" applyAlignment="1">
      <alignment horizontal="right" indent="2"/>
      <protection locked="0" hidden="1"/>
    </xf>
    <xf numFmtId="176" fontId="20" fillId="0" borderId="8" xfId="0" applyNumberFormat="1" applyFont="1" applyFill="1" applyBorder="1" applyAlignment="1">
      <alignment horizontal="right"/>
      <protection locked="0" hidden="1"/>
    </xf>
    <xf numFmtId="221" fontId="20" fillId="0" borderId="4" xfId="0" applyNumberFormat="1" applyFont="1" applyFill="1" applyBorder="1" applyAlignment="1">
      <alignment horizontal="right"/>
      <protection locked="0" hidden="1"/>
    </xf>
    <xf numFmtId="196" fontId="20" fillId="0" borderId="4" xfId="0" applyNumberFormat="1" applyFont="1" applyFill="1" applyBorder="1" applyAlignment="1">
      <alignment horizontal="right"/>
      <protection locked="0" hidden="1"/>
    </xf>
    <xf numFmtId="222" fontId="20" fillId="0" borderId="8" xfId="0" applyNumberFormat="1" applyFont="1" applyFill="1" applyBorder="1" applyAlignment="1">
      <alignment horizontal="right"/>
      <protection locked="0" hidden="1"/>
    </xf>
    <xf numFmtId="220" fontId="20" fillId="0" borderId="8" xfId="0" applyNumberFormat="1" applyFont="1" applyFill="1" applyBorder="1" applyAlignment="1">
      <alignment horizontal="right"/>
      <protection locked="0" hidden="1"/>
    </xf>
    <xf numFmtId="189" fontId="20" fillId="0" borderId="8" xfId="0" applyNumberFormat="1" applyFont="1" applyFill="1" applyBorder="1" applyAlignment="1">
      <alignment horizontal="right"/>
      <protection locked="0" hidden="1"/>
    </xf>
    <xf numFmtId="178" fontId="20" fillId="0" borderId="4" xfId="0" applyNumberFormat="1" applyFont="1" applyFill="1" applyBorder="1" applyAlignment="1">
      <alignment horizontal="right"/>
      <protection locked="0" hidden="1"/>
    </xf>
    <xf numFmtId="178" fontId="20" fillId="0" borderId="8" xfId="0" applyNumberFormat="1" applyFont="1" applyFill="1" applyBorder="1" applyAlignment="1">
      <alignment horizontal="right"/>
      <protection locked="0" hidden="1"/>
    </xf>
    <xf numFmtId="166" fontId="19" fillId="0" borderId="9" xfId="0" applyFont="1" applyFill="1" applyBorder="1" applyAlignment="1">
      <alignment horizontal="left"/>
      <protection locked="0" hidden="1"/>
    </xf>
    <xf numFmtId="219" fontId="16" fillId="0" borderId="1" xfId="0" applyNumberFormat="1" applyFont="1" applyFill="1" applyBorder="1" applyAlignment="1">
      <protection locked="0" hidden="1"/>
    </xf>
    <xf numFmtId="220" fontId="16" fillId="0" borderId="1" xfId="0" applyNumberFormat="1" applyFont="1" applyFill="1" applyBorder="1" applyAlignment="1">
      <protection locked="0" hidden="1"/>
    </xf>
    <xf numFmtId="221" fontId="16" fillId="0" borderId="1" xfId="0" applyNumberFormat="1" applyFont="1" applyFill="1" applyBorder="1" applyAlignment="1">
      <alignment horizontal="right"/>
      <protection locked="0" hidden="1"/>
    </xf>
    <xf numFmtId="196" fontId="16" fillId="0" borderId="1" xfId="0" applyNumberFormat="1" applyFont="1" applyFill="1" applyBorder="1" applyAlignment="1">
      <alignment horizontal="right"/>
      <protection locked="0" hidden="1"/>
    </xf>
    <xf numFmtId="222" fontId="16" fillId="0" borderId="11" xfId="0" applyNumberFormat="1" applyFont="1" applyFill="1" applyBorder="1" applyAlignment="1">
      <alignment horizontal="right"/>
      <protection locked="0" hidden="1"/>
    </xf>
    <xf numFmtId="220" fontId="16" fillId="0" borderId="11" xfId="0" applyNumberFormat="1" applyFont="1" applyFill="1" applyBorder="1" applyAlignment="1">
      <alignment horizontal="right"/>
      <protection locked="0" hidden="1"/>
    </xf>
    <xf numFmtId="178" fontId="16" fillId="0" borderId="1" xfId="0" applyNumberFormat="1" applyFont="1" applyFill="1" applyBorder="1" applyAlignment="1">
      <alignment horizontal="right"/>
      <protection locked="0" hidden="1"/>
    </xf>
    <xf numFmtId="219" fontId="16" fillId="0" borderId="4" xfId="0" applyNumberFormat="1" applyFont="1" applyFill="1" applyBorder="1" applyAlignment="1">
      <protection locked="0" hidden="1"/>
    </xf>
    <xf numFmtId="220" fontId="16" fillId="0" borderId="4" xfId="0" applyNumberFormat="1" applyFont="1" applyFill="1" applyBorder="1" applyAlignment="1">
      <protection locked="0" hidden="1"/>
    </xf>
    <xf numFmtId="187" fontId="16" fillId="0" borderId="8" xfId="0" applyNumberFormat="1" applyFont="1" applyFill="1" applyBorder="1" applyAlignment="1">
      <protection locked="0" hidden="1"/>
    </xf>
    <xf numFmtId="164" fontId="16" fillId="0" borderId="8" xfId="0" applyNumberFormat="1" applyFont="1" applyFill="1" applyBorder="1" applyAlignment="1">
      <alignment horizontal="right" indent="2"/>
      <protection locked="0" hidden="1"/>
    </xf>
    <xf numFmtId="176" fontId="16" fillId="0" borderId="8" xfId="0" applyNumberFormat="1" applyFont="1" applyFill="1" applyBorder="1" applyAlignment="1">
      <alignment horizontal="right"/>
      <protection locked="0" hidden="1"/>
    </xf>
    <xf numFmtId="221" fontId="16" fillId="0" borderId="4" xfId="0" applyNumberFormat="1" applyFont="1" applyFill="1" applyBorder="1" applyAlignment="1">
      <alignment horizontal="right"/>
      <protection locked="0" hidden="1"/>
    </xf>
    <xf numFmtId="196" fontId="16" fillId="0" borderId="4" xfId="0" applyNumberFormat="1" applyFont="1" applyFill="1" applyBorder="1" applyAlignment="1">
      <alignment horizontal="right"/>
      <protection locked="0" hidden="1"/>
    </xf>
    <xf numFmtId="222" fontId="16" fillId="0" borderId="8" xfId="0" applyNumberFormat="1" applyFont="1" applyFill="1" applyBorder="1" applyAlignment="1">
      <alignment horizontal="right"/>
      <protection locked="0" hidden="1"/>
    </xf>
    <xf numFmtId="220" fontId="16" fillId="0" borderId="8" xfId="0" applyNumberFormat="1" applyFont="1" applyFill="1" applyBorder="1" applyAlignment="1">
      <alignment horizontal="right"/>
      <protection locked="0" hidden="1"/>
    </xf>
    <xf numFmtId="178" fontId="16" fillId="0" borderId="4" xfId="0" applyNumberFormat="1" applyFont="1" applyFill="1" applyBorder="1" applyAlignment="1">
      <alignment horizontal="right"/>
      <protection locked="0" hidden="1"/>
    </xf>
    <xf numFmtId="178" fontId="16" fillId="0" borderId="8" xfId="0" applyNumberFormat="1" applyFont="1" applyFill="1" applyBorder="1" applyAlignment="1">
      <alignment horizontal="right"/>
      <protection locked="0" hidden="1"/>
    </xf>
    <xf numFmtId="166" fontId="19" fillId="0" borderId="6" xfId="0" applyNumberFormat="1" applyFont="1" applyFill="1" applyBorder="1" applyAlignment="1">
      <alignment horizontal="left"/>
      <protection locked="0" hidden="1"/>
    </xf>
    <xf numFmtId="164" fontId="16" fillId="0" borderId="12" xfId="0" applyNumberFormat="1" applyFont="1" applyFill="1" applyBorder="1" applyAlignment="1">
      <alignment horizontal="center"/>
      <protection locked="0" hidden="1"/>
    </xf>
    <xf numFmtId="164" fontId="16" fillId="0" borderId="11" xfId="0" applyNumberFormat="1" applyFont="1" applyFill="1" applyBorder="1" applyAlignment="1">
      <alignment horizontal="center" vertical="top"/>
      <protection locked="0" hidden="1"/>
    </xf>
    <xf numFmtId="164" fontId="16" fillId="0" borderId="11" xfId="0" applyNumberFormat="1" applyFont="1" applyFill="1" applyBorder="1" applyAlignment="1">
      <alignment horizontal="center"/>
      <protection locked="0" hidden="1"/>
    </xf>
    <xf numFmtId="166" fontId="20" fillId="0" borderId="1" xfId="0" applyFont="1" applyFill="1" applyBorder="1" applyAlignment="1">
      <protection locked="0" hidden="1"/>
    </xf>
    <xf numFmtId="166" fontId="29" fillId="0" borderId="10" xfId="0" applyFont="1" applyFill="1" applyBorder="1" applyAlignment="1">
      <alignment horizontal="left"/>
      <protection locked="0" hidden="1"/>
    </xf>
    <xf numFmtId="164" fontId="20" fillId="0" borderId="8" xfId="0" applyNumberFormat="1" applyFont="1" applyFill="1" applyBorder="1" applyAlignment="1">
      <alignment horizontal="center"/>
      <protection locked="0" hidden="1"/>
    </xf>
    <xf numFmtId="164" fontId="3" fillId="0" borderId="0" xfId="0" applyNumberFormat="1" applyFont="1" applyFill="1" applyAlignment="1">
      <protection locked="0" hidden="1"/>
    </xf>
    <xf numFmtId="198" fontId="64" fillId="0" borderId="0" xfId="0" applyNumberFormat="1" applyFont="1" applyFill="1" applyBorder="1" applyAlignment="1">
      <alignment horizontal="right" indent="1"/>
      <protection locked="0" hidden="1"/>
    </xf>
    <xf numFmtId="165" fontId="14" fillId="0" borderId="3" xfId="0" applyNumberFormat="1" applyFont="1" applyFill="1" applyBorder="1" applyAlignment="1">
      <alignment horizontal="right"/>
      <protection locked="0" hidden="1"/>
    </xf>
    <xf numFmtId="206" fontId="3" fillId="0" borderId="0" xfId="0" applyNumberFormat="1" applyFont="1" applyFill="1" applyBorder="1" applyAlignment="1">
      <protection locked="0" hidden="1"/>
    </xf>
    <xf numFmtId="206" fontId="3" fillId="0" borderId="0" xfId="0" applyNumberFormat="1" applyFont="1" applyFill="1" applyAlignment="1">
      <alignment horizontal="right"/>
      <protection locked="0" hidden="1"/>
    </xf>
    <xf numFmtId="0" fontId="21" fillId="0" borderId="0" xfId="0" applyNumberFormat="1" applyFont="1" applyFill="1" applyAlignment="1" applyProtection="1">
      <alignment horizontal="centerContinuous"/>
    </xf>
    <xf numFmtId="0" fontId="21" fillId="0" borderId="0" xfId="0" applyNumberFormat="1" applyFont="1" applyFill="1" applyAlignment="1" applyProtection="1">
      <alignment wrapText="1"/>
    </xf>
    <xf numFmtId="166" fontId="9" fillId="0" borderId="0" xfId="0" applyFont="1" applyFill="1" applyAlignment="1" applyProtection="1">
      <alignment horizontal="centerContinuous"/>
      <protection locked="0" hidden="1"/>
    </xf>
    <xf numFmtId="166" fontId="3" fillId="0" borderId="0" xfId="0" applyFont="1" applyFill="1" applyAlignment="1" applyProtection="1">
      <alignment horizontal="centerContinuous"/>
      <protection locked="0" hidden="1"/>
    </xf>
    <xf numFmtId="166" fontId="3" fillId="0" borderId="0" xfId="0" applyFont="1" applyFill="1" applyAlignment="1" applyProtection="1">
      <protection locked="0" hidden="1"/>
    </xf>
    <xf numFmtId="166" fontId="5" fillId="0" borderId="0" xfId="0" applyFont="1" applyFill="1" applyAlignment="1" applyProtection="1">
      <alignment horizontal="centerContinuous"/>
      <protection locked="0" hidden="1"/>
    </xf>
    <xf numFmtId="0" fontId="6" fillId="0" borderId="0" xfId="0" applyNumberFormat="1" applyFont="1" applyFill="1" applyAlignment="1" applyProtection="1">
      <alignment horizontal="left"/>
    </xf>
    <xf numFmtId="0" fontId="4" fillId="0" borderId="0" xfId="0" applyNumberFormat="1" applyFont="1" applyFill="1" applyBorder="1" applyAlignment="1" applyProtection="1">
      <alignment wrapText="1"/>
    </xf>
    <xf numFmtId="0" fontId="4" fillId="0" borderId="0" xfId="0" quotePrefix="1" applyNumberFormat="1" applyFont="1" applyFill="1" applyAlignment="1" applyProtection="1">
      <alignment wrapText="1"/>
    </xf>
    <xf numFmtId="0" fontId="6" fillId="0" borderId="3" xfId="0" applyNumberFormat="1" applyFont="1" applyFill="1" applyBorder="1" applyAlignment="1" applyProtection="1"/>
    <xf numFmtId="0" fontId="8" fillId="0" borderId="0" xfId="0" applyNumberFormat="1" applyFont="1" applyFill="1" applyAlignment="1" applyProtection="1"/>
    <xf numFmtId="0" fontId="12" fillId="0" borderId="2" xfId="0" applyNumberFormat="1" applyFont="1" applyFill="1" applyBorder="1" applyAlignment="1" applyProtection="1">
      <alignment horizontal="centerContinuous"/>
    </xf>
    <xf numFmtId="0" fontId="10" fillId="0" borderId="9" xfId="0" applyNumberFormat="1" applyFont="1" applyFill="1" applyBorder="1" applyAlignment="1" applyProtection="1">
      <alignment horizontal="center" vertical="top" wrapText="1"/>
    </xf>
    <xf numFmtId="166" fontId="29" fillId="0" borderId="2" xfId="0" applyNumberFormat="1" applyFont="1" applyFill="1" applyBorder="1" applyAlignment="1" applyProtection="1">
      <alignment horizontal="left"/>
      <protection locked="0" hidden="1"/>
    </xf>
    <xf numFmtId="166" fontId="29" fillId="0" borderId="6" xfId="0" applyFont="1" applyFill="1" applyBorder="1" applyAlignment="1" applyProtection="1">
      <alignment horizontal="left"/>
      <protection locked="0" hidden="1"/>
    </xf>
    <xf numFmtId="165" fontId="20" fillId="0" borderId="12" xfId="0" applyNumberFormat="1" applyFont="1" applyFill="1" applyBorder="1" applyAlignment="1" applyProtection="1">
      <alignment horizontal="center"/>
      <protection locked="0" hidden="1"/>
    </xf>
    <xf numFmtId="166" fontId="20" fillId="0" borderId="0" xfId="0" applyFont="1" applyFill="1" applyBorder="1" applyAlignment="1" applyProtection="1">
      <protection locked="0" hidden="1"/>
    </xf>
    <xf numFmtId="166" fontId="19" fillId="0" borderId="1" xfId="0" applyNumberFormat="1" applyFont="1" applyFill="1" applyBorder="1" applyAlignment="1" applyProtection="1">
      <alignment horizontal="left" vertical="top"/>
      <protection locked="0" hidden="1"/>
    </xf>
    <xf numFmtId="166" fontId="19" fillId="0" borderId="9" xfId="0" applyNumberFormat="1" applyFont="1" applyFill="1" applyBorder="1" applyAlignment="1" applyProtection="1">
      <alignment horizontal="left" vertical="top"/>
      <protection locked="0" hidden="1"/>
    </xf>
    <xf numFmtId="166" fontId="16" fillId="0" borderId="0" xfId="0" applyFont="1" applyFill="1" applyBorder="1" applyAlignment="1" applyProtection="1">
      <alignment vertical="top"/>
      <protection locked="0" hidden="1"/>
    </xf>
    <xf numFmtId="166" fontId="29" fillId="0" borderId="1" xfId="0" applyNumberFormat="1" applyFont="1" applyFill="1" applyBorder="1" applyAlignment="1" applyProtection="1">
      <alignment horizontal="left"/>
      <protection locked="0" hidden="1"/>
    </xf>
    <xf numFmtId="166" fontId="29" fillId="0" borderId="9" xfId="0" applyFont="1" applyFill="1" applyBorder="1" applyAlignment="1" applyProtection="1">
      <alignment horizontal="left"/>
      <protection locked="0" hidden="1"/>
    </xf>
    <xf numFmtId="206" fontId="4" fillId="0" borderId="0" xfId="0" applyNumberFormat="1" applyFont="1" applyFill="1" applyAlignment="1">
      <protection locked="0" hidden="1"/>
    </xf>
    <xf numFmtId="165" fontId="20" fillId="0" borderId="8" xfId="0" applyNumberFormat="1" applyFont="1" applyFill="1" applyBorder="1" applyAlignment="1" applyProtection="1">
      <alignment horizontal="right" indent="1" readingOrder="1"/>
      <protection locked="0" hidden="1"/>
    </xf>
    <xf numFmtId="0" fontId="18" fillId="0" borderId="0" xfId="22" applyFont="1" applyFill="1" applyBorder="1" applyAlignment="1">
      <alignment horizontal="right" readingOrder="2"/>
    </xf>
    <xf numFmtId="0" fontId="18" fillId="0" borderId="0" xfId="22" applyFont="1" applyBorder="1" applyAlignment="1">
      <alignment horizontal="right" readingOrder="2"/>
    </xf>
    <xf numFmtId="164" fontId="6" fillId="0" borderId="0" xfId="0" applyNumberFormat="1" applyFont="1" applyFill="1" applyAlignment="1" applyProtection="1">
      <alignment horizontal="centerContinuous"/>
    </xf>
    <xf numFmtId="0" fontId="10" fillId="0" borderId="5" xfId="0" applyNumberFormat="1" applyFont="1" applyFill="1" applyBorder="1" applyAlignment="1" applyProtection="1">
      <alignment horizontal="right" vertical="center" indent="2" readingOrder="2"/>
    </xf>
    <xf numFmtId="0" fontId="10" fillId="0" borderId="7" xfId="0" applyNumberFormat="1" applyFont="1" applyFill="1" applyBorder="1" applyAlignment="1" applyProtection="1">
      <alignment horizontal="centerContinuous" vertical="center"/>
    </xf>
    <xf numFmtId="167" fontId="16" fillId="0" borderId="11" xfId="0" applyNumberFormat="1" applyFont="1" applyFill="1" applyBorder="1" applyAlignment="1">
      <alignment horizontal="right" vertical="top"/>
      <protection locked="0" hidden="1"/>
    </xf>
    <xf numFmtId="185" fontId="16" fillId="0" borderId="11" xfId="0" applyNumberFormat="1" applyFont="1" applyFill="1" applyBorder="1" applyAlignment="1">
      <alignment horizontal="right" vertical="top"/>
      <protection locked="0" hidden="1"/>
    </xf>
    <xf numFmtId="189" fontId="16" fillId="0" borderId="11" xfId="0" applyNumberFormat="1" applyFont="1" applyFill="1" applyBorder="1" applyAlignment="1">
      <alignment horizontal="right" vertical="top"/>
      <protection locked="0" hidden="1"/>
    </xf>
    <xf numFmtId="179" fontId="16" fillId="0" borderId="11" xfId="0" applyNumberFormat="1" applyFont="1" applyFill="1" applyBorder="1" applyAlignment="1">
      <alignment horizontal="right" vertical="top"/>
      <protection locked="0" hidden="1"/>
    </xf>
    <xf numFmtId="167" fontId="20" fillId="0" borderId="1" xfId="0" applyNumberFormat="1" applyFont="1" applyFill="1" applyBorder="1" applyAlignment="1">
      <alignment horizontal="right"/>
      <protection locked="0" hidden="1"/>
    </xf>
    <xf numFmtId="167" fontId="20" fillId="0" borderId="0" xfId="0" applyNumberFormat="1" applyFont="1" applyFill="1" applyBorder="1" applyAlignment="1">
      <alignment horizontal="right"/>
      <protection locked="0" hidden="1"/>
    </xf>
    <xf numFmtId="179" fontId="20" fillId="0" borderId="9" xfId="0" applyNumberFormat="1" applyFont="1" applyFill="1" applyBorder="1" applyAlignment="1">
      <alignment horizontal="right"/>
      <protection locked="0" hidden="1"/>
    </xf>
    <xf numFmtId="167" fontId="20" fillId="0" borderId="4" xfId="0" applyNumberFormat="1" applyFont="1" applyFill="1" applyBorder="1" applyAlignment="1">
      <alignment horizontal="right"/>
      <protection locked="0" hidden="1"/>
    </xf>
    <xf numFmtId="167" fontId="20" fillId="0" borderId="8" xfId="0" applyNumberFormat="1" applyFont="1" applyFill="1" applyBorder="1" applyAlignment="1">
      <alignment horizontal="right"/>
      <protection locked="0" hidden="1"/>
    </xf>
    <xf numFmtId="167" fontId="20" fillId="0" borderId="3" xfId="0" applyNumberFormat="1" applyFont="1" applyFill="1" applyBorder="1" applyAlignment="1">
      <alignment horizontal="right"/>
      <protection locked="0" hidden="1"/>
    </xf>
    <xf numFmtId="185" fontId="20" fillId="0" borderId="8" xfId="0" applyNumberFormat="1" applyFont="1" applyFill="1" applyBorder="1" applyAlignment="1">
      <alignment horizontal="right"/>
      <protection locked="0" hidden="1"/>
    </xf>
    <xf numFmtId="179" fontId="20" fillId="0" borderId="8" xfId="0" applyNumberFormat="1" applyFont="1" applyFill="1" applyBorder="1" applyAlignment="1">
      <alignment horizontal="right"/>
      <protection locked="0" hidden="1"/>
    </xf>
    <xf numFmtId="179" fontId="20" fillId="0" borderId="10" xfId="0" applyNumberFormat="1" applyFont="1" applyFill="1" applyBorder="1" applyAlignment="1">
      <alignment horizontal="right"/>
      <protection locked="0" hidden="1"/>
    </xf>
    <xf numFmtId="0" fontId="9" fillId="0" borderId="0" xfId="0" applyNumberFormat="1" applyFont="1" applyFill="1" applyAlignment="1" applyProtection="1">
      <alignment horizontal="centerContinuous"/>
    </xf>
    <xf numFmtId="164" fontId="3" fillId="0" borderId="0" xfId="0" applyNumberFormat="1" applyFont="1" applyFill="1" applyAlignment="1" applyProtection="1">
      <alignment horizontal="centerContinuous"/>
    </xf>
    <xf numFmtId="0" fontId="2" fillId="0" borderId="0" xfId="0" applyNumberFormat="1" applyFont="1" applyFill="1" applyAlignment="1" applyProtection="1"/>
    <xf numFmtId="187" fontId="16" fillId="0" borderId="0" xfId="0" applyNumberFormat="1" applyFont="1" applyFill="1" applyAlignment="1">
      <alignment horizontal="right"/>
      <protection locked="0" hidden="1"/>
    </xf>
    <xf numFmtId="172" fontId="16" fillId="0" borderId="1" xfId="0" applyNumberFormat="1" applyFont="1" applyFill="1" applyBorder="1" applyAlignment="1">
      <alignment horizontal="right" vertical="top"/>
      <protection locked="0" hidden="1"/>
    </xf>
    <xf numFmtId="188" fontId="16" fillId="0" borderId="11" xfId="0" applyNumberFormat="1" applyFont="1" applyFill="1" applyBorder="1" applyAlignment="1">
      <alignment horizontal="right" vertical="top"/>
      <protection locked="0" hidden="1"/>
    </xf>
    <xf numFmtId="172" fontId="16" fillId="0" borderId="11" xfId="0" applyNumberFormat="1" applyFont="1" applyFill="1" applyBorder="1" applyAlignment="1">
      <alignment horizontal="right" vertical="top"/>
      <protection locked="0" hidden="1"/>
    </xf>
    <xf numFmtId="172" fontId="16" fillId="0" borderId="0" xfId="0" applyNumberFormat="1" applyFont="1" applyFill="1" applyBorder="1" applyAlignment="1">
      <alignment horizontal="right" vertical="top"/>
      <protection locked="0" hidden="1"/>
    </xf>
    <xf numFmtId="187" fontId="16" fillId="0" borderId="0" xfId="0" applyNumberFormat="1" applyFont="1" applyFill="1" applyBorder="1" applyAlignment="1">
      <alignment horizontal="right" vertical="top"/>
      <protection locked="0" hidden="1"/>
    </xf>
    <xf numFmtId="171" fontId="16" fillId="0" borderId="11" xfId="0" applyNumberFormat="1" applyFont="1" applyFill="1" applyBorder="1" applyAlignment="1">
      <alignment horizontal="right" vertical="top"/>
      <protection locked="0" hidden="1"/>
    </xf>
    <xf numFmtId="172" fontId="20" fillId="0" borderId="1" xfId="0" applyNumberFormat="1" applyFont="1" applyFill="1" applyBorder="1" applyAlignment="1">
      <alignment horizontal="right"/>
      <protection locked="0" hidden="1"/>
    </xf>
    <xf numFmtId="188" fontId="20" fillId="0" borderId="11" xfId="0" applyNumberFormat="1" applyFont="1" applyFill="1" applyBorder="1" applyAlignment="1">
      <alignment horizontal="right"/>
      <protection locked="0" hidden="1"/>
    </xf>
    <xf numFmtId="172" fontId="20" fillId="0" borderId="0" xfId="0" applyNumberFormat="1" applyFont="1" applyFill="1" applyBorder="1" applyAlignment="1">
      <alignment horizontal="right"/>
      <protection locked="0" hidden="1"/>
    </xf>
    <xf numFmtId="187" fontId="20" fillId="0" borderId="0" xfId="0" applyNumberFormat="1" applyFont="1" applyFill="1" applyBorder="1" applyAlignment="1">
      <alignment horizontal="right"/>
      <protection locked="0" hidden="1"/>
    </xf>
    <xf numFmtId="172" fontId="20" fillId="0" borderId="4" xfId="0" applyNumberFormat="1" applyFont="1" applyFill="1" applyBorder="1" applyAlignment="1">
      <alignment horizontal="right"/>
      <protection locked="0" hidden="1"/>
    </xf>
    <xf numFmtId="188" fontId="20" fillId="0" borderId="8" xfId="0" applyNumberFormat="1" applyFont="1" applyFill="1" applyBorder="1" applyAlignment="1">
      <alignment horizontal="right"/>
      <protection locked="0" hidden="1"/>
    </xf>
    <xf numFmtId="172" fontId="20" fillId="0" borderId="8" xfId="0" applyNumberFormat="1" applyFont="1" applyFill="1" applyBorder="1" applyAlignment="1">
      <alignment horizontal="right"/>
      <protection locked="0" hidden="1"/>
    </xf>
    <xf numFmtId="172" fontId="20" fillId="0" borderId="3" xfId="0" applyNumberFormat="1" applyFont="1" applyFill="1" applyBorder="1" applyAlignment="1">
      <alignment horizontal="right"/>
      <protection locked="0" hidden="1"/>
    </xf>
    <xf numFmtId="187" fontId="20" fillId="0" borderId="3" xfId="0" applyNumberFormat="1" applyFont="1" applyFill="1" applyBorder="1" applyAlignment="1">
      <alignment horizontal="right"/>
      <protection locked="0" hidden="1"/>
    </xf>
    <xf numFmtId="171" fontId="20" fillId="0" borderId="8" xfId="0" applyNumberFormat="1" applyFont="1" applyFill="1" applyBorder="1" applyAlignment="1">
      <alignment horizontal="right"/>
      <protection locked="0" hidden="1"/>
    </xf>
    <xf numFmtId="164" fontId="3" fillId="0" borderId="0" xfId="0" applyNumberFormat="1" applyFont="1" applyFill="1" applyAlignment="1" applyProtection="1">
      <alignment horizontal="right"/>
    </xf>
    <xf numFmtId="1" fontId="16" fillId="0" borderId="0" xfId="0" applyNumberFormat="1" applyFont="1" applyFill="1" applyAlignment="1" applyProtection="1">
      <alignment horizontal="center" vertical="center" textRotation="90"/>
    </xf>
    <xf numFmtId="0" fontId="12" fillId="0" borderId="7" xfId="0" applyNumberFormat="1" applyFont="1" applyFill="1" applyBorder="1" applyAlignment="1" applyProtection="1">
      <alignment horizontal="centerContinuous"/>
    </xf>
    <xf numFmtId="174" fontId="16" fillId="0" borderId="11" xfId="0" applyNumberFormat="1" applyFont="1" applyFill="1" applyBorder="1" applyAlignment="1">
      <alignment horizontal="right"/>
      <protection locked="0" hidden="1"/>
    </xf>
    <xf numFmtId="185" fontId="16" fillId="0" borderId="1" xfId="0" applyNumberFormat="1" applyFont="1" applyFill="1" applyBorder="1" applyAlignment="1">
      <alignment horizontal="right" vertical="top"/>
      <protection locked="0" hidden="1"/>
    </xf>
    <xf numFmtId="167" fontId="16" fillId="0" borderId="1" xfId="0" applyNumberFormat="1" applyFont="1" applyFill="1" applyBorder="1" applyAlignment="1">
      <alignment horizontal="right" vertical="top"/>
      <protection locked="0" hidden="1"/>
    </xf>
    <xf numFmtId="184" fontId="16" fillId="0" borderId="0" xfId="0" applyNumberFormat="1" applyFont="1" applyFill="1" applyBorder="1" applyAlignment="1">
      <alignment horizontal="right" vertical="top"/>
      <protection locked="0" hidden="1"/>
    </xf>
    <xf numFmtId="184" fontId="16" fillId="0" borderId="11" xfId="0" applyNumberFormat="1" applyFont="1" applyFill="1" applyBorder="1" applyAlignment="1">
      <alignment horizontal="right" vertical="top"/>
      <protection locked="0" hidden="1"/>
    </xf>
    <xf numFmtId="165" fontId="20" fillId="0" borderId="1" xfId="0" applyNumberFormat="1" applyFont="1" applyFill="1" applyBorder="1" applyAlignment="1">
      <protection locked="0" hidden="1"/>
    </xf>
    <xf numFmtId="185" fontId="20" fillId="0" borderId="4" xfId="0" applyNumberFormat="1" applyFont="1" applyFill="1" applyBorder="1" applyAlignment="1">
      <alignment horizontal="right"/>
      <protection locked="0" hidden="1"/>
    </xf>
    <xf numFmtId="184" fontId="20" fillId="0" borderId="8" xfId="0" applyNumberFormat="1" applyFont="1" applyFill="1" applyBorder="1" applyAlignment="1">
      <alignment horizontal="right"/>
      <protection locked="0" hidden="1"/>
    </xf>
    <xf numFmtId="166" fontId="10" fillId="0" borderId="0" xfId="0" applyFont="1" applyFill="1" applyAlignment="1">
      <alignment horizontal="centerContinuous"/>
      <protection locked="0" hidden="1"/>
    </xf>
    <xf numFmtId="166" fontId="12" fillId="0" borderId="0" xfId="0" applyFont="1" applyFill="1" applyAlignment="1">
      <alignment horizontal="centerContinuous"/>
      <protection locked="0" hidden="1"/>
    </xf>
    <xf numFmtId="166" fontId="3" fillId="0" borderId="0" xfId="0" applyFont="1" applyFill="1" applyAlignment="1">
      <alignment horizontal="center" vertical="center"/>
      <protection locked="0" hidden="1"/>
    </xf>
    <xf numFmtId="165" fontId="6" fillId="0" borderId="1" xfId="0" applyNumberFormat="1" applyFont="1" applyFill="1" applyBorder="1" applyAlignment="1">
      <alignment horizontal="right" indent="2"/>
      <protection locked="0" hidden="1"/>
    </xf>
    <xf numFmtId="165" fontId="6" fillId="0" borderId="11" xfId="0" applyNumberFormat="1" applyFont="1" applyFill="1" applyBorder="1" applyAlignment="1">
      <alignment horizontal="right" indent="2"/>
      <protection locked="0" hidden="1"/>
    </xf>
    <xf numFmtId="205" fontId="6" fillId="0" borderId="11" xfId="0" applyNumberFormat="1" applyFont="1" applyFill="1" applyBorder="1" applyAlignment="1">
      <alignment horizontal="right" indent="2"/>
      <protection locked="0" hidden="1"/>
    </xf>
    <xf numFmtId="166" fontId="7" fillId="0" borderId="0" xfId="0" applyNumberFormat="1" applyFont="1" applyFill="1" applyBorder="1" applyAlignment="1">
      <alignment horizontal="right" indent="2"/>
      <protection locked="0" hidden="1"/>
    </xf>
    <xf numFmtId="166" fontId="6" fillId="0" borderId="0" xfId="0" applyFont="1" applyFill="1" applyAlignment="1">
      <alignment horizontal="right" indent="2"/>
      <protection locked="0" hidden="1"/>
    </xf>
    <xf numFmtId="165" fontId="6" fillId="0" borderId="1" xfId="0" applyNumberFormat="1" applyFont="1" applyFill="1" applyBorder="1" applyAlignment="1">
      <alignment horizontal="right"/>
      <protection locked="0" hidden="1"/>
    </xf>
    <xf numFmtId="165" fontId="3" fillId="0" borderId="8" xfId="0" applyNumberFormat="1" applyFont="1" applyFill="1" applyBorder="1" applyAlignment="1">
      <alignment horizontal="right" indent="2"/>
      <protection locked="0" hidden="1"/>
    </xf>
    <xf numFmtId="205" fontId="3" fillId="0" borderId="8" xfId="0" applyNumberFormat="1" applyFont="1" applyFill="1" applyBorder="1" applyAlignment="1">
      <alignment horizontal="right" indent="2"/>
      <protection locked="0" hidden="1"/>
    </xf>
    <xf numFmtId="166" fontId="3" fillId="0" borderId="7" xfId="0" applyFont="1" applyFill="1" applyBorder="1" applyAlignment="1">
      <alignment horizontal="right" readingOrder="2"/>
      <protection locked="0" hidden="1"/>
    </xf>
    <xf numFmtId="166" fontId="3" fillId="0" borderId="0" xfId="0" applyFont="1" applyFill="1" applyAlignment="1">
      <alignment horizontal="right" indent="1" readingOrder="2"/>
      <protection locked="0" hidden="1"/>
    </xf>
    <xf numFmtId="1" fontId="4" fillId="0" borderId="0" xfId="0" applyNumberFormat="1" applyFont="1" applyFill="1" applyAlignment="1">
      <alignment horizontal="center" vertical="center" textRotation="90"/>
      <protection locked="0" hidden="1"/>
    </xf>
    <xf numFmtId="0" fontId="3" fillId="0" borderId="13" xfId="0" applyNumberFormat="1" applyFont="1" applyFill="1" applyBorder="1" applyAlignment="1" applyProtection="1"/>
    <xf numFmtId="0" fontId="3" fillId="0" borderId="9" xfId="0" applyNumberFormat="1" applyFont="1" applyFill="1" applyBorder="1" applyAlignment="1" applyProtection="1"/>
    <xf numFmtId="0" fontId="3" fillId="0" borderId="19" xfId="0" applyNumberFormat="1" applyFont="1" applyFill="1" applyBorder="1" applyAlignment="1" applyProtection="1"/>
    <xf numFmtId="0" fontId="3" fillId="0" borderId="9" xfId="0" applyNumberFormat="1" applyFont="1" applyFill="1" applyBorder="1" applyAlignment="1" applyProtection="1">
      <alignment horizontal="center" vertical="center"/>
    </xf>
    <xf numFmtId="182" fontId="16" fillId="0" borderId="1" xfId="0" applyNumberFormat="1" applyFont="1" applyFill="1" applyBorder="1" applyAlignment="1">
      <protection locked="0" hidden="1"/>
    </xf>
    <xf numFmtId="169" fontId="16" fillId="0" borderId="1" xfId="0" applyNumberFormat="1" applyFont="1" applyFill="1" applyBorder="1" applyAlignment="1">
      <protection locked="0" hidden="1"/>
    </xf>
    <xf numFmtId="181" fontId="16" fillId="0" borderId="11" xfId="0" applyNumberFormat="1" applyFont="1" applyFill="1" applyBorder="1" applyAlignment="1">
      <protection locked="0" hidden="1"/>
    </xf>
    <xf numFmtId="182" fontId="16" fillId="0" borderId="1" xfId="0" applyNumberFormat="1" applyFont="1" applyFill="1" applyBorder="1" applyAlignment="1">
      <alignment vertical="top"/>
      <protection locked="0" hidden="1"/>
    </xf>
    <xf numFmtId="168" fontId="16" fillId="0" borderId="1" xfId="0" applyNumberFormat="1" applyFont="1" applyFill="1" applyBorder="1" applyAlignment="1">
      <alignment vertical="top"/>
      <protection locked="0" hidden="1"/>
    </xf>
    <xf numFmtId="187" fontId="16" fillId="0" borderId="1" xfId="0" applyNumberFormat="1" applyFont="1" applyFill="1" applyBorder="1" applyAlignment="1">
      <alignment vertical="top"/>
      <protection locked="0" hidden="1"/>
    </xf>
    <xf numFmtId="214" fontId="16" fillId="0" borderId="1" xfId="0" applyNumberFormat="1" applyFont="1" applyFill="1" applyBorder="1" applyAlignment="1">
      <alignment vertical="top"/>
      <protection locked="0" hidden="1"/>
    </xf>
    <xf numFmtId="169" fontId="16" fillId="0" borderId="1" xfId="0" applyNumberFormat="1" applyFont="1" applyFill="1" applyBorder="1" applyAlignment="1">
      <alignment vertical="top"/>
      <protection locked="0" hidden="1"/>
    </xf>
    <xf numFmtId="181" fontId="16" fillId="0" borderId="1" xfId="0" applyNumberFormat="1" applyFont="1" applyFill="1" applyBorder="1" applyAlignment="1">
      <alignment vertical="top"/>
      <protection locked="0" hidden="1"/>
    </xf>
    <xf numFmtId="184" fontId="16" fillId="0" borderId="1" xfId="0" applyNumberFormat="1" applyFont="1" applyFill="1" applyBorder="1" applyAlignment="1">
      <alignment vertical="top"/>
      <protection locked="0" hidden="1"/>
    </xf>
    <xf numFmtId="187" fontId="16" fillId="0" borderId="16" xfId="0" applyNumberFormat="1" applyFont="1" applyFill="1" applyBorder="1" applyAlignment="1">
      <alignment vertical="top"/>
      <protection locked="0" hidden="1"/>
    </xf>
    <xf numFmtId="213" fontId="16" fillId="0" borderId="20" xfId="0" applyNumberFormat="1" applyFont="1" applyFill="1" applyBorder="1" applyAlignment="1">
      <alignment vertical="top"/>
      <protection locked="0" hidden="1"/>
    </xf>
    <xf numFmtId="182" fontId="20" fillId="0" borderId="1" xfId="0" applyNumberFormat="1" applyFont="1" applyFill="1" applyBorder="1" applyAlignment="1">
      <protection locked="0" hidden="1"/>
    </xf>
    <xf numFmtId="182" fontId="20" fillId="0" borderId="4" xfId="0" applyNumberFormat="1" applyFont="1" applyFill="1" applyBorder="1" applyAlignment="1">
      <protection locked="0" hidden="1"/>
    </xf>
    <xf numFmtId="168" fontId="20" fillId="0" borderId="8" xfId="0" applyNumberFormat="1" applyFont="1" applyFill="1" applyBorder="1" applyAlignment="1">
      <protection locked="0" hidden="1"/>
    </xf>
    <xf numFmtId="214" fontId="20" fillId="0" borderId="8" xfId="0" applyNumberFormat="1" applyFont="1" applyFill="1" applyBorder="1" applyAlignment="1">
      <protection locked="0" hidden="1"/>
    </xf>
    <xf numFmtId="169" fontId="20" fillId="0" borderId="3" xfId="0" applyNumberFormat="1" applyFont="1" applyFill="1" applyBorder="1" applyAlignment="1">
      <protection locked="0" hidden="1"/>
    </xf>
    <xf numFmtId="181" fontId="20" fillId="0" borderId="8" xfId="0" applyNumberFormat="1" applyFont="1" applyFill="1" applyBorder="1" applyAlignment="1">
      <protection locked="0" hidden="1"/>
    </xf>
    <xf numFmtId="184" fontId="20" fillId="0" borderId="8" xfId="0" applyNumberFormat="1" applyFont="1" applyFill="1" applyBorder="1" applyAlignment="1">
      <protection locked="0" hidden="1"/>
    </xf>
    <xf numFmtId="187" fontId="20" fillId="0" borderId="42" xfId="0" applyNumberFormat="1" applyFont="1" applyFill="1" applyBorder="1" applyAlignment="1">
      <protection locked="0" hidden="1"/>
    </xf>
    <xf numFmtId="213" fontId="20" fillId="0" borderId="10" xfId="0" applyNumberFormat="1" applyFont="1" applyFill="1" applyBorder="1" applyAlignment="1">
      <protection locked="0" hidden="1"/>
    </xf>
    <xf numFmtId="0" fontId="3"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right"/>
    </xf>
    <xf numFmtId="0" fontId="3" fillId="0" borderId="1" xfId="0" applyNumberFormat="1" applyFont="1" applyFill="1" applyBorder="1" applyAlignment="1" applyProtection="1"/>
    <xf numFmtId="172" fontId="16" fillId="0" borderId="0" xfId="0" applyNumberFormat="1" applyFont="1" applyFill="1" applyBorder="1" applyAlignment="1">
      <protection locked="0" hidden="1"/>
    </xf>
    <xf numFmtId="204" fontId="16" fillId="0" borderId="11" xfId="0" applyNumberFormat="1" applyFont="1" applyFill="1" applyBorder="1" applyAlignment="1">
      <protection locked="0" hidden="1"/>
    </xf>
    <xf numFmtId="215" fontId="16" fillId="0" borderId="11" xfId="0" applyNumberFormat="1" applyFont="1" applyFill="1" applyBorder="1" applyAlignment="1">
      <protection locked="0" hidden="1"/>
    </xf>
    <xf numFmtId="165" fontId="20" fillId="0" borderId="0" xfId="0" applyNumberFormat="1" applyFont="1" applyFill="1" applyBorder="1" applyAlignment="1">
      <alignment horizontal="right"/>
      <protection locked="0" hidden="1"/>
    </xf>
    <xf numFmtId="172" fontId="16" fillId="0" borderId="0" xfId="0" applyNumberFormat="1" applyFont="1" applyFill="1" applyBorder="1" applyAlignment="1">
      <alignment vertical="top"/>
      <protection locked="0" hidden="1"/>
    </xf>
    <xf numFmtId="172" fontId="16" fillId="0" borderId="11" xfId="0" applyNumberFormat="1" applyFont="1" applyFill="1" applyBorder="1" applyAlignment="1">
      <alignment vertical="top"/>
      <protection locked="0" hidden="1"/>
    </xf>
    <xf numFmtId="167" fontId="16" fillId="0" borderId="11" xfId="0" applyNumberFormat="1" applyFont="1" applyFill="1" applyBorder="1" applyAlignment="1">
      <alignment vertical="top"/>
      <protection locked="0" hidden="1"/>
    </xf>
    <xf numFmtId="187" fontId="16" fillId="0" borderId="11" xfId="0" applyNumberFormat="1" applyFont="1" applyFill="1" applyBorder="1" applyAlignment="1">
      <alignment vertical="top"/>
      <protection locked="0" hidden="1"/>
    </xf>
    <xf numFmtId="204" fontId="16" fillId="0" borderId="11" xfId="0" applyNumberFormat="1" applyFont="1" applyFill="1" applyBorder="1" applyAlignment="1">
      <alignment vertical="top"/>
      <protection locked="0" hidden="1"/>
    </xf>
    <xf numFmtId="185" fontId="16" fillId="0" borderId="11" xfId="0" applyNumberFormat="1" applyFont="1" applyFill="1" applyBorder="1" applyAlignment="1">
      <alignment vertical="top"/>
      <protection locked="0" hidden="1"/>
    </xf>
    <xf numFmtId="215" fontId="16" fillId="0" borderId="11" xfId="0" applyNumberFormat="1" applyFont="1" applyFill="1" applyBorder="1" applyAlignment="1">
      <alignment vertical="top"/>
      <protection locked="0" hidden="1"/>
    </xf>
    <xf numFmtId="167" fontId="16" fillId="0" borderId="16" xfId="0" applyNumberFormat="1" applyFont="1" applyFill="1" applyBorder="1" applyAlignment="1">
      <alignment vertical="top"/>
      <protection locked="0" hidden="1"/>
    </xf>
    <xf numFmtId="203" fontId="16" fillId="0" borderId="20" xfId="0" applyNumberFormat="1" applyFont="1" applyFill="1" applyBorder="1" applyAlignment="1">
      <alignment vertical="top"/>
      <protection locked="0" hidden="1"/>
    </xf>
    <xf numFmtId="172" fontId="20" fillId="0" borderId="1" xfId="0" applyNumberFormat="1" applyFont="1" applyFill="1" applyBorder="1" applyAlignment="1">
      <protection locked="0" hidden="1"/>
    </xf>
    <xf numFmtId="204" fontId="20" fillId="0" borderId="11" xfId="0" applyNumberFormat="1" applyFont="1" applyFill="1" applyBorder="1" applyAlignment="1">
      <protection locked="0" hidden="1"/>
    </xf>
    <xf numFmtId="185" fontId="20" fillId="0" borderId="11" xfId="0" applyNumberFormat="1" applyFont="1" applyFill="1" applyBorder="1" applyAlignment="1">
      <protection locked="0" hidden="1"/>
    </xf>
    <xf numFmtId="215" fontId="20" fillId="0" borderId="11" xfId="0" applyNumberFormat="1" applyFont="1" applyFill="1" applyBorder="1" applyAlignment="1">
      <protection locked="0" hidden="1"/>
    </xf>
    <xf numFmtId="167" fontId="20" fillId="0" borderId="16" xfId="0" applyNumberFormat="1" applyFont="1" applyFill="1" applyBorder="1" applyAlignment="1">
      <protection locked="0" hidden="1"/>
    </xf>
    <xf numFmtId="203" fontId="20" fillId="0" borderId="9" xfId="0" applyNumberFormat="1" applyFont="1" applyFill="1" applyBorder="1" applyAlignment="1">
      <protection locked="0" hidden="1"/>
    </xf>
    <xf numFmtId="165" fontId="20" fillId="0" borderId="1" xfId="0" applyNumberFormat="1" applyFont="1" applyFill="1" applyBorder="1" applyAlignment="1">
      <alignment horizontal="right"/>
      <protection locked="0" hidden="1"/>
    </xf>
    <xf numFmtId="172" fontId="20" fillId="0" borderId="4" xfId="0" applyNumberFormat="1" applyFont="1" applyFill="1" applyBorder="1" applyAlignment="1">
      <protection locked="0" hidden="1"/>
    </xf>
    <xf numFmtId="204" fontId="20" fillId="0" borderId="8" xfId="0" applyNumberFormat="1" applyFont="1" applyFill="1" applyBorder="1" applyAlignment="1">
      <protection locked="0" hidden="1"/>
    </xf>
    <xf numFmtId="185" fontId="20" fillId="0" borderId="8" xfId="0" applyNumberFormat="1" applyFont="1" applyFill="1" applyBorder="1" applyAlignment="1">
      <protection locked="0" hidden="1"/>
    </xf>
    <xf numFmtId="215" fontId="20" fillId="0" borderId="8" xfId="0" applyNumberFormat="1" applyFont="1" applyFill="1" applyBorder="1" applyAlignment="1">
      <protection locked="0" hidden="1"/>
    </xf>
    <xf numFmtId="167" fontId="20" fillId="0" borderId="42" xfId="0" applyNumberFormat="1" applyFont="1" applyFill="1" applyBorder="1" applyAlignment="1">
      <protection locked="0" hidden="1"/>
    </xf>
    <xf numFmtId="203" fontId="20" fillId="0" borderId="10" xfId="0" applyNumberFormat="1" applyFont="1" applyFill="1" applyBorder="1" applyAlignment="1">
      <protection locked="0" hidden="1"/>
    </xf>
    <xf numFmtId="203" fontId="20" fillId="0" borderId="20" xfId="0" applyNumberFormat="1" applyFont="1" applyFill="1" applyBorder="1" applyAlignment="1">
      <protection locked="0" hidden="1"/>
    </xf>
    <xf numFmtId="203" fontId="20" fillId="0" borderId="17" xfId="0" applyNumberFormat="1" applyFont="1" applyFill="1" applyBorder="1" applyAlignment="1">
      <protection locked="0" hidden="1"/>
    </xf>
    <xf numFmtId="0" fontId="4" fillId="0" borderId="0" xfId="0" applyNumberFormat="1" applyFont="1" applyFill="1" applyBorder="1" applyAlignment="1" applyProtection="1">
      <alignment vertical="top"/>
    </xf>
    <xf numFmtId="0" fontId="4" fillId="0" borderId="15" xfId="0" applyNumberFormat="1" applyFont="1" applyFill="1" applyBorder="1" applyAlignment="1" applyProtection="1">
      <alignment vertical="top" wrapText="1"/>
    </xf>
    <xf numFmtId="0" fontId="13" fillId="0" borderId="3" xfId="0" applyNumberFormat="1" applyFont="1" applyFill="1" applyBorder="1" applyAlignment="1" applyProtection="1">
      <alignment horizontal="centerContinuous" vertical="top"/>
    </xf>
    <xf numFmtId="0" fontId="10" fillId="0" borderId="0" xfId="0" applyNumberFormat="1" applyFont="1" applyFill="1" applyBorder="1" applyAlignment="1" applyProtection="1">
      <alignment vertical="top"/>
    </xf>
    <xf numFmtId="0" fontId="10" fillId="0" borderId="11" xfId="0" applyNumberFormat="1" applyFont="1" applyFill="1" applyBorder="1" applyAlignment="1" applyProtection="1">
      <alignment horizontal="centerContinuous" vertical="top"/>
    </xf>
    <xf numFmtId="0" fontId="12" fillId="0" borderId="9" xfId="0" applyNumberFormat="1" applyFont="1" applyFill="1" applyBorder="1" applyAlignment="1" applyProtection="1">
      <alignment horizontal="centerContinuous" vertical="top" readingOrder="2"/>
    </xf>
    <xf numFmtId="0" fontId="10" fillId="0" borderId="15"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Continuous" vertical="top" wrapText="1"/>
    </xf>
    <xf numFmtId="0" fontId="10" fillId="0" borderId="18"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xf>
    <xf numFmtId="0" fontId="6" fillId="0" borderId="0" xfId="0" applyNumberFormat="1" applyFont="1" applyFill="1" applyAlignment="1" applyProtection="1">
      <alignment horizontal="center"/>
    </xf>
    <xf numFmtId="208" fontId="16" fillId="0" borderId="9" xfId="0" applyNumberFormat="1" applyFont="1" applyFill="1" applyBorder="1" applyAlignment="1">
      <alignment horizontal="right"/>
      <protection locked="0" hidden="1"/>
    </xf>
    <xf numFmtId="189" fontId="20" fillId="0" borderId="1" xfId="0" applyNumberFormat="1" applyFont="1" applyFill="1" applyBorder="1" applyAlignment="1">
      <alignment horizontal="right"/>
      <protection locked="0" hidden="1"/>
    </xf>
    <xf numFmtId="169" fontId="20" fillId="0" borderId="11" xfId="0" applyNumberFormat="1" applyFont="1" applyFill="1" applyBorder="1" applyAlignment="1">
      <alignment horizontal="right"/>
      <protection locked="0" hidden="1"/>
    </xf>
    <xf numFmtId="208" fontId="20" fillId="0" borderId="15" xfId="0" applyNumberFormat="1" applyFont="1" applyFill="1" applyBorder="1" applyAlignment="1">
      <alignment horizontal="right"/>
      <protection locked="0" hidden="1"/>
    </xf>
    <xf numFmtId="208" fontId="20" fillId="0" borderId="9" xfId="0" applyNumberFormat="1" applyFont="1" applyFill="1" applyBorder="1" applyAlignment="1">
      <alignment horizontal="right"/>
      <protection locked="0" hidden="1"/>
    </xf>
    <xf numFmtId="189" fontId="20" fillId="0" borderId="4" xfId="0" applyNumberFormat="1" applyFont="1" applyFill="1" applyBorder="1" applyAlignment="1">
      <alignment horizontal="right"/>
      <protection locked="0" hidden="1"/>
    </xf>
    <xf numFmtId="169" fontId="20" fillId="0" borderId="8" xfId="0" applyNumberFormat="1" applyFont="1" applyFill="1" applyBorder="1" applyAlignment="1">
      <alignment horizontal="right"/>
      <protection locked="0" hidden="1"/>
    </xf>
    <xf numFmtId="208" fontId="20" fillId="0" borderId="18" xfId="0" applyNumberFormat="1" applyFont="1" applyFill="1" applyBorder="1" applyAlignment="1">
      <alignment horizontal="right"/>
      <protection locked="0" hidden="1"/>
    </xf>
    <xf numFmtId="208" fontId="20" fillId="0" borderId="10" xfId="0" applyNumberFormat="1" applyFont="1" applyFill="1" applyBorder="1" applyAlignment="1">
      <alignment horizontal="right"/>
      <protection locked="0" hidden="1"/>
    </xf>
    <xf numFmtId="0" fontId="16" fillId="0" borderId="0" xfId="0" applyNumberFormat="1" applyFont="1" applyFill="1" applyBorder="1" applyAlignment="1" applyProtection="1"/>
    <xf numFmtId="164" fontId="4" fillId="0" borderId="0" xfId="0" applyNumberFormat="1" applyFont="1" applyFill="1" applyAlignment="1" applyProtection="1">
      <alignment horizontal="right"/>
    </xf>
    <xf numFmtId="166" fontId="65" fillId="0" borderId="0" xfId="0" applyNumberFormat="1" applyFont="1" applyFill="1" applyAlignment="1" applyProtection="1">
      <alignment horizontal="centerContinuous"/>
      <protection locked="0" hidden="1"/>
    </xf>
    <xf numFmtId="166" fontId="66" fillId="0" borderId="0" xfId="0" applyNumberFormat="1" applyFont="1" applyFill="1" applyAlignment="1" applyProtection="1">
      <alignment horizontal="centerContinuous"/>
      <protection locked="0" hidden="1"/>
    </xf>
    <xf numFmtId="166" fontId="5" fillId="0" borderId="0" xfId="0" applyNumberFormat="1" applyFont="1" applyFill="1" applyAlignment="1" applyProtection="1">
      <alignment horizontal="centerContinuous"/>
      <protection locked="0" hidden="1"/>
    </xf>
    <xf numFmtId="166" fontId="10" fillId="0" borderId="2" xfId="0" applyNumberFormat="1" applyFont="1" applyFill="1" applyBorder="1" applyAlignment="1" applyProtection="1">
      <alignment horizontal="left"/>
      <protection locked="0" hidden="1"/>
    </xf>
    <xf numFmtId="166" fontId="10" fillId="0" borderId="7" xfId="0" applyNumberFormat="1" applyFont="1" applyFill="1" applyBorder="1" applyAlignment="1" applyProtection="1">
      <alignment horizontal="left"/>
      <protection locked="0" hidden="1"/>
    </xf>
    <xf numFmtId="166" fontId="10" fillId="0" borderId="1" xfId="0" applyNumberFormat="1" applyFont="1" applyFill="1" applyBorder="1" applyAlignment="1" applyProtection="1">
      <alignment horizontal="left" vertical="top"/>
      <protection locked="0" hidden="1"/>
    </xf>
    <xf numFmtId="166" fontId="10" fillId="0" borderId="0" xfId="0" applyNumberFormat="1" applyFont="1" applyFill="1" applyBorder="1" applyAlignment="1" applyProtection="1">
      <alignment horizontal="left" vertical="top"/>
      <protection locked="0" hidden="1"/>
    </xf>
    <xf numFmtId="166" fontId="10" fillId="0" borderId="1" xfId="0" applyNumberFormat="1" applyFont="1" applyFill="1" applyBorder="1" applyAlignment="1" applyProtection="1">
      <alignment horizontal="left"/>
      <protection locked="0" hidden="1"/>
    </xf>
    <xf numFmtId="166" fontId="10" fillId="0" borderId="4" xfId="0" applyNumberFormat="1" applyFont="1" applyFill="1" applyBorder="1" applyAlignment="1" applyProtection="1">
      <alignment horizontal="left"/>
      <protection locked="0" hidden="1"/>
    </xf>
    <xf numFmtId="166" fontId="10" fillId="0" borderId="3" xfId="0" applyNumberFormat="1" applyFont="1" applyFill="1" applyBorder="1" applyAlignment="1" applyProtection="1">
      <alignment horizontal="left"/>
      <protection locked="0" hidden="1"/>
    </xf>
    <xf numFmtId="164" fontId="14" fillId="0" borderId="8" xfId="0" applyNumberFormat="1" applyFont="1" applyFill="1" applyBorder="1" applyAlignment="1" applyProtection="1">
      <alignment horizontal="right" indent="1" readingOrder="1"/>
      <protection locked="0" hidden="1"/>
    </xf>
    <xf numFmtId="165" fontId="14" fillId="0" borderId="8" xfId="0" applyNumberFormat="1" applyFont="1" applyFill="1" applyBorder="1" applyAlignment="1" applyProtection="1">
      <alignment horizontal="right" indent="1"/>
      <protection locked="0" hidden="1"/>
    </xf>
    <xf numFmtId="165" fontId="14" fillId="0" borderId="8" xfId="0" applyNumberFormat="1" applyFont="1" applyFill="1" applyBorder="1" applyAlignment="1" applyProtection="1">
      <alignment horizontal="right" indent="1" readingOrder="1"/>
      <protection locked="0" hidden="1"/>
    </xf>
    <xf numFmtId="166" fontId="10" fillId="0" borderId="1" xfId="0" applyFont="1" applyFill="1" applyBorder="1" applyAlignment="1" applyProtection="1">
      <alignment horizontal="left"/>
      <protection locked="0" hidden="1"/>
    </xf>
    <xf numFmtId="166" fontId="10" fillId="0" borderId="0" xfId="0" applyFont="1" applyFill="1" applyBorder="1" applyAlignment="1" applyProtection="1">
      <alignment horizontal="left"/>
      <protection locked="0" hidden="1"/>
    </xf>
    <xf numFmtId="166" fontId="4" fillId="0" borderId="0" xfId="0" applyFont="1" applyFill="1" applyBorder="1" applyAlignment="1" applyProtection="1">
      <protection locked="0" hidden="1"/>
    </xf>
    <xf numFmtId="166" fontId="16" fillId="0" borderId="7" xfId="0" applyNumberFormat="1" applyFont="1" applyFill="1" applyBorder="1" applyAlignment="1" applyProtection="1">
      <protection locked="0" hidden="1"/>
    </xf>
    <xf numFmtId="166" fontId="14" fillId="0" borderId="7" xfId="0" applyNumberFormat="1" applyFont="1" applyFill="1" applyBorder="1" applyAlignment="1" applyProtection="1">
      <protection locked="0" hidden="1"/>
    </xf>
    <xf numFmtId="0" fontId="18" fillId="0" borderId="7" xfId="22" applyFont="1" applyBorder="1" applyAlignment="1">
      <alignment horizontal="right" readingOrder="2"/>
    </xf>
    <xf numFmtId="166" fontId="16" fillId="0" borderId="0" xfId="0" applyNumberFormat="1" applyFont="1" applyFill="1" applyAlignment="1" applyProtection="1">
      <protection locked="0" hidden="1"/>
    </xf>
    <xf numFmtId="0" fontId="9" fillId="0" borderId="0" xfId="22" applyFont="1" applyAlignment="1">
      <alignment horizontal="centerContinuous"/>
    </xf>
    <xf numFmtId="15" fontId="7" fillId="0" borderId="11" xfId="22" applyNumberFormat="1" applyFont="1" applyFill="1" applyBorder="1" applyAlignment="1">
      <alignment horizontal="center"/>
    </xf>
    <xf numFmtId="2" fontId="6" fillId="0" borderId="11" xfId="22" applyNumberFormat="1" applyFont="1" applyFill="1" applyBorder="1" applyAlignment="1">
      <alignment horizontal="right" indent="3"/>
    </xf>
    <xf numFmtId="210" fontId="6" fillId="0" borderId="11" xfId="0" applyNumberFormat="1" applyFont="1" applyFill="1" applyBorder="1" applyAlignment="1" applyProtection="1">
      <alignment horizontal="center"/>
      <protection locked="0" hidden="1"/>
    </xf>
    <xf numFmtId="2" fontId="6" fillId="0" borderId="11" xfId="22" applyNumberFormat="1" applyFont="1" applyFill="1" applyBorder="1" applyAlignment="1">
      <alignment horizontal="center"/>
    </xf>
    <xf numFmtId="166" fontId="9" fillId="0" borderId="0" xfId="0" applyFont="1" applyFill="1" applyAlignment="1">
      <alignment horizontal="centerContinuous" vertical="center"/>
      <protection locked="0" hidden="1"/>
    </xf>
    <xf numFmtId="166" fontId="4" fillId="0" borderId="0" xfId="0" applyFont="1" applyFill="1" applyAlignment="1">
      <alignment horizontal="centerContinuous" vertical="center"/>
      <protection locked="0" hidden="1"/>
    </xf>
    <xf numFmtId="166" fontId="4" fillId="0" borderId="0" xfId="0" applyFont="1" applyFill="1" applyAlignment="1">
      <alignment vertical="center" wrapText="1"/>
      <protection locked="0" hidden="1"/>
    </xf>
    <xf numFmtId="166" fontId="16" fillId="0" borderId="3" xfId="0" applyFont="1" applyFill="1" applyBorder="1" applyAlignment="1">
      <protection locked="0" hidden="1"/>
    </xf>
    <xf numFmtId="166" fontId="13" fillId="0" borderId="0" xfId="0" applyFont="1" applyFill="1" applyAlignment="1">
      <alignment horizontal="right" readingOrder="2"/>
      <protection locked="0" hidden="1"/>
    </xf>
    <xf numFmtId="166" fontId="10" fillId="0" borderId="21" xfId="0" applyFont="1" applyFill="1" applyBorder="1" applyAlignment="1">
      <alignment horizontal="left" vertical="center" indent="2"/>
      <protection locked="0" hidden="1"/>
    </xf>
    <xf numFmtId="166" fontId="12" fillId="0" borderId="22" xfId="0" applyFont="1" applyFill="1" applyBorder="1" applyAlignment="1">
      <alignment horizontal="right" vertical="center" indent="2" readingOrder="2"/>
      <protection locked="0" hidden="1"/>
    </xf>
    <xf numFmtId="166" fontId="10" fillId="0" borderId="1" xfId="0" applyFont="1" applyFill="1" applyBorder="1" applyAlignment="1">
      <alignment horizontal="center" vertical="center"/>
      <protection locked="0" hidden="1"/>
    </xf>
    <xf numFmtId="166" fontId="12" fillId="0" borderId="11" xfId="0" applyFont="1" applyFill="1" applyBorder="1" applyAlignment="1">
      <alignment horizontal="center" vertical="center"/>
      <protection locked="0" hidden="1"/>
    </xf>
    <xf numFmtId="166" fontId="12" fillId="0" borderId="1" xfId="0" applyFont="1" applyFill="1" applyBorder="1" applyAlignment="1">
      <alignment horizontal="center" vertical="center"/>
      <protection locked="0" hidden="1"/>
    </xf>
    <xf numFmtId="209" fontId="10" fillId="0" borderId="1" xfId="0" applyNumberFormat="1" applyFont="1" applyFill="1" applyBorder="1" applyAlignment="1">
      <alignment horizontal="left" indent="1"/>
      <protection locked="0" hidden="1"/>
    </xf>
    <xf numFmtId="2" fontId="4" fillId="0" borderId="11" xfId="0" applyNumberFormat="1" applyFont="1" applyFill="1" applyBorder="1" applyAlignment="1">
      <alignment horizontal="right" indent="2"/>
      <protection locked="0" hidden="1"/>
    </xf>
    <xf numFmtId="2" fontId="4" fillId="0" borderId="11" xfId="0" applyNumberFormat="1" applyFont="1" applyFill="1" applyBorder="1" applyAlignment="1">
      <alignment horizontal="left" indent="3"/>
      <protection locked="0" hidden="1"/>
    </xf>
    <xf numFmtId="2" fontId="4" fillId="0" borderId="11" xfId="0" applyNumberFormat="1" applyFont="1" applyFill="1" applyBorder="1" applyAlignment="1">
      <alignment horizontal="left" indent="4"/>
      <protection locked="0" hidden="1"/>
    </xf>
    <xf numFmtId="2" fontId="4" fillId="0" borderId="11" xfId="0" applyNumberFormat="1" applyFont="1" applyFill="1" applyBorder="1" applyAlignment="1">
      <alignment horizontal="right" indent="1"/>
      <protection locked="0" hidden="1"/>
    </xf>
    <xf numFmtId="2" fontId="22" fillId="0" borderId="12" xfId="0" applyNumberFormat="1" applyFont="1" applyFill="1" applyBorder="1" applyAlignment="1">
      <alignment horizontal="right" indent="1" readingOrder="2"/>
      <protection locked="0" hidden="1"/>
    </xf>
    <xf numFmtId="2" fontId="22" fillId="0" borderId="11" xfId="0" applyNumberFormat="1" applyFont="1" applyFill="1" applyBorder="1" applyAlignment="1">
      <alignment horizontal="right" indent="1" readingOrder="2"/>
      <protection locked="0" hidden="1"/>
    </xf>
    <xf numFmtId="209" fontId="10" fillId="0" borderId="1" xfId="0" applyNumberFormat="1" applyFont="1" applyFill="1" applyBorder="1" applyAlignment="1">
      <alignment horizontal="left" wrapText="1" indent="1"/>
      <protection locked="0" hidden="1"/>
    </xf>
    <xf numFmtId="209" fontId="10" fillId="0" borderId="1" xfId="0" applyNumberFormat="1" applyFont="1" applyFill="1" applyBorder="1" applyAlignment="1">
      <alignment horizontal="center"/>
      <protection locked="0" hidden="1"/>
    </xf>
    <xf numFmtId="2" fontId="10" fillId="0" borderId="11" xfId="0" applyNumberFormat="1" applyFont="1" applyFill="1" applyBorder="1" applyAlignment="1">
      <alignment horizontal="right" indent="2"/>
      <protection locked="0" hidden="1"/>
    </xf>
    <xf numFmtId="2" fontId="10" fillId="0" borderId="11" xfId="0" applyNumberFormat="1" applyFont="1" applyFill="1" applyBorder="1" applyAlignment="1">
      <alignment horizontal="right" indent="1"/>
      <protection locked="0" hidden="1"/>
    </xf>
    <xf numFmtId="2" fontId="22" fillId="0" borderId="11" xfId="0" applyNumberFormat="1" applyFont="1" applyFill="1" applyBorder="1" applyAlignment="1">
      <alignment horizontal="center" readingOrder="2"/>
      <protection locked="0" hidden="1"/>
    </xf>
    <xf numFmtId="166" fontId="20" fillId="0" borderId="0" xfId="0" applyFont="1" applyFill="1" applyAlignment="1">
      <alignment horizontal="right" readingOrder="2"/>
      <protection locked="0" hidden="1"/>
    </xf>
    <xf numFmtId="166" fontId="68" fillId="0" borderId="0" xfId="0" applyFont="1" applyFill="1" applyAlignment="1">
      <alignment horizontal="centerContinuous"/>
      <protection locked="0" hidden="1"/>
    </xf>
    <xf numFmtId="166" fontId="4" fillId="0" borderId="0" xfId="0" applyFont="1" applyFill="1" applyAlignment="1">
      <alignment horizontal="centerContinuous" vertical="center" wrapText="1"/>
      <protection locked="0" hidden="1"/>
    </xf>
    <xf numFmtId="2" fontId="4" fillId="0" borderId="8" xfId="18" applyNumberFormat="1" applyFont="1" applyFill="1" applyBorder="1" applyAlignment="1">
      <alignment horizontal="center"/>
      <protection locked="0" hidden="1"/>
    </xf>
    <xf numFmtId="2" fontId="4" fillId="0" borderId="8" xfId="18" applyNumberFormat="1" applyFont="1" applyFill="1" applyBorder="1" applyAlignment="1">
      <alignment horizontal="right" indent="1"/>
      <protection locked="0" hidden="1"/>
    </xf>
    <xf numFmtId="2" fontId="4" fillId="0" borderId="8" xfId="18" applyNumberFormat="1" applyFont="1" applyFill="1" applyBorder="1" applyAlignment="1">
      <alignment horizontal="right" indent="3"/>
      <protection locked="0" hidden="1"/>
    </xf>
    <xf numFmtId="218" fontId="20" fillId="0" borderId="8" xfId="0" applyNumberFormat="1" applyFont="1" applyFill="1" applyBorder="1" applyAlignment="1">
      <alignment horizontal="right" indent="2"/>
      <protection locked="0" hidden="1"/>
    </xf>
    <xf numFmtId="210" fontId="20" fillId="0" borderId="8" xfId="0" applyNumberFormat="1" applyFont="1" applyFill="1" applyBorder="1" applyAlignment="1">
      <alignment horizontal="right" indent="2"/>
      <protection locked="0" hidden="1"/>
    </xf>
    <xf numFmtId="0" fontId="5" fillId="0" borderId="0" xfId="0" applyNumberFormat="1" applyFont="1" applyFill="1" applyAlignment="1" applyProtection="1">
      <alignment horizontal="centerContinuous" vertical="top"/>
    </xf>
    <xf numFmtId="0" fontId="9" fillId="0" borderId="0" xfId="0" applyNumberFormat="1" applyFont="1" applyFill="1" applyAlignment="1" applyProtection="1">
      <alignment horizontal="centerContinuous" vertical="top"/>
    </xf>
    <xf numFmtId="0" fontId="4" fillId="0" borderId="0" xfId="0" applyNumberFormat="1" applyFont="1" applyFill="1" applyBorder="1" applyAlignment="1" applyProtection="1">
      <alignment horizontal="centerContinuous" wrapText="1"/>
    </xf>
    <xf numFmtId="196" fontId="20" fillId="0" borderId="8" xfId="0" applyNumberFormat="1" applyFont="1" applyFill="1" applyBorder="1" applyAlignment="1">
      <alignment horizontal="right"/>
      <protection locked="0" hidden="1"/>
    </xf>
    <xf numFmtId="190" fontId="16" fillId="0" borderId="0" xfId="0" applyNumberFormat="1" applyFont="1" applyFill="1" applyAlignment="1">
      <protection locked="0" hidden="1"/>
    </xf>
    <xf numFmtId="182" fontId="16" fillId="0" borderId="9" xfId="0" applyNumberFormat="1" applyFont="1" applyFill="1" applyBorder="1" applyAlignment="1">
      <protection locked="0" hidden="1"/>
    </xf>
    <xf numFmtId="190" fontId="16" fillId="0" borderId="11" xfId="0" applyNumberFormat="1" applyFont="1" applyFill="1" applyBorder="1" applyAlignment="1">
      <alignment horizontal="right" vertical="top"/>
      <protection locked="0" hidden="1"/>
    </xf>
    <xf numFmtId="190" fontId="16" fillId="0" borderId="11" xfId="0" applyNumberFormat="1" applyFont="1" applyFill="1" applyBorder="1" applyAlignment="1">
      <alignment vertical="top"/>
      <protection locked="0" hidden="1"/>
    </xf>
    <xf numFmtId="182" fontId="16" fillId="0" borderId="11" xfId="0" applyNumberFormat="1" applyFont="1" applyFill="1" applyBorder="1" applyAlignment="1">
      <alignment vertical="top"/>
      <protection locked="0" hidden="1"/>
    </xf>
    <xf numFmtId="190" fontId="20" fillId="0" borderId="11" xfId="0" applyNumberFormat="1" applyFont="1" applyFill="1" applyBorder="1" applyAlignment="1">
      <protection locked="0" hidden="1"/>
    </xf>
    <xf numFmtId="190" fontId="20" fillId="0" borderId="8" xfId="0" applyNumberFormat="1" applyFont="1" applyFill="1" applyBorder="1" applyAlignment="1">
      <protection locked="0" hidden="1"/>
    </xf>
    <xf numFmtId="182" fontId="20" fillId="0" borderId="8" xfId="0" applyNumberFormat="1" applyFont="1" applyFill="1" applyBorder="1" applyAlignment="1">
      <protection locked="0" hidden="1"/>
    </xf>
    <xf numFmtId="190" fontId="20" fillId="0" borderId="0" xfId="0" applyNumberFormat="1" applyFont="1" applyFill="1" applyBorder="1" applyAlignment="1">
      <protection locked="0" hidden="1"/>
    </xf>
    <xf numFmtId="0" fontId="21" fillId="0" borderId="0" xfId="0" applyNumberFormat="1" applyFont="1" applyFill="1" applyAlignment="1" applyProtection="1">
      <alignment horizontal="centerContinuous" wrapText="1"/>
    </xf>
    <xf numFmtId="0" fontId="5" fillId="0" borderId="0" xfId="0" applyNumberFormat="1" applyFont="1" applyFill="1" applyAlignment="1" applyProtection="1"/>
    <xf numFmtId="0" fontId="4" fillId="0" borderId="3" xfId="0" quotePrefix="1" applyNumberFormat="1" applyFont="1" applyFill="1" applyBorder="1" applyAlignment="1" applyProtection="1">
      <alignment wrapText="1"/>
    </xf>
    <xf numFmtId="0" fontId="10" fillId="0" borderId="2" xfId="0" applyNumberFormat="1" applyFont="1" applyFill="1" applyBorder="1" applyAlignment="1" applyProtection="1"/>
    <xf numFmtId="0" fontId="10" fillId="0" borderId="6"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0" fillId="0" borderId="0" xfId="0" applyNumberFormat="1" applyFont="1" applyFill="1" applyAlignment="1" applyProtection="1">
      <alignment horizontal="left" vertical="center" indent="2"/>
    </xf>
    <xf numFmtId="0" fontId="3" fillId="0" borderId="0" xfId="0" applyNumberFormat="1" applyFont="1" applyFill="1" applyAlignment="1" applyProtection="1">
      <alignment vertical="center"/>
    </xf>
    <xf numFmtId="0" fontId="12" fillId="0" borderId="3" xfId="0" applyNumberFormat="1" applyFont="1" applyFill="1" applyBorder="1" applyAlignment="1" applyProtection="1">
      <alignment horizontal="right" vertical="center" indent="2" readingOrder="1"/>
    </xf>
    <xf numFmtId="0" fontId="12" fillId="0" borderId="5" xfId="0" applyNumberFormat="1" applyFont="1" applyFill="1" applyBorder="1" applyAlignment="1" applyProtection="1">
      <alignment horizontal="right" vertical="center"/>
    </xf>
    <xf numFmtId="0" fontId="12" fillId="0" borderId="1" xfId="0" applyNumberFormat="1" applyFont="1" applyFill="1" applyBorder="1" applyAlignment="1" applyProtection="1">
      <alignment horizontal="center" vertical="center"/>
    </xf>
    <xf numFmtId="173" fontId="10" fillId="0" borderId="11" xfId="0" applyNumberFormat="1" applyFont="1" applyFill="1" applyBorder="1" applyAlignment="1" applyProtection="1">
      <alignment horizontal="center" wrapText="1"/>
    </xf>
    <xf numFmtId="1" fontId="10" fillId="0" borderId="8" xfId="0" applyNumberFormat="1" applyFont="1" applyFill="1" applyBorder="1" applyAlignment="1" applyProtection="1">
      <alignment horizontal="center"/>
    </xf>
    <xf numFmtId="173" fontId="10" fillId="0" borderId="8" xfId="0" applyNumberFormat="1" applyFont="1" applyFill="1" applyBorder="1" applyAlignment="1" applyProtection="1">
      <alignment horizontal="center" wrapText="1"/>
    </xf>
    <xf numFmtId="166" fontId="19" fillId="0" borderId="1" xfId="0" applyNumberFormat="1" applyFont="1" applyFill="1" applyBorder="1" applyAlignment="1">
      <alignment horizontal="left" wrapText="1"/>
      <protection locked="0" hidden="1"/>
    </xf>
    <xf numFmtId="166" fontId="19" fillId="0" borderId="9" xfId="0" applyNumberFormat="1" applyFont="1" applyFill="1" applyBorder="1" applyAlignment="1">
      <alignment horizontal="left" wrapText="1"/>
      <protection locked="0" hidden="1"/>
    </xf>
    <xf numFmtId="166" fontId="19" fillId="0" borderId="1" xfId="0" applyNumberFormat="1" applyFont="1" applyFill="1" applyBorder="1" applyAlignment="1">
      <alignment horizontal="left" vertical="top" wrapText="1"/>
      <protection locked="0" hidden="1"/>
    </xf>
    <xf numFmtId="166" fontId="19" fillId="0" borderId="9" xfId="0" applyNumberFormat="1" applyFont="1" applyFill="1" applyBorder="1" applyAlignment="1">
      <alignment horizontal="left" vertical="top" wrapText="1"/>
      <protection locked="0" hidden="1"/>
    </xf>
    <xf numFmtId="194" fontId="16" fillId="0" borderId="11" xfId="0" applyNumberFormat="1" applyFont="1" applyFill="1" applyBorder="1" applyAlignment="1">
      <alignment vertical="top"/>
      <protection locked="0" hidden="1"/>
    </xf>
    <xf numFmtId="186" fontId="16" fillId="0" borderId="11" xfId="0" applyNumberFormat="1" applyFont="1" applyFill="1" applyBorder="1" applyAlignment="1">
      <alignment vertical="top"/>
      <protection locked="0" hidden="1"/>
    </xf>
    <xf numFmtId="193" fontId="16" fillId="0" borderId="11" xfId="0" applyNumberFormat="1" applyFont="1" applyFill="1" applyBorder="1" applyAlignment="1">
      <alignment vertical="top"/>
      <protection locked="0" hidden="1"/>
    </xf>
    <xf numFmtId="166" fontId="16" fillId="0" borderId="0" xfId="0" applyFont="1" applyFill="1" applyAlignment="1">
      <alignment vertical="top" wrapText="1"/>
      <protection locked="0" hidden="1"/>
    </xf>
    <xf numFmtId="194" fontId="20" fillId="0" borderId="11" xfId="0" applyNumberFormat="1" applyFont="1" applyFill="1" applyBorder="1" applyAlignment="1">
      <protection locked="0" hidden="1"/>
    </xf>
    <xf numFmtId="186" fontId="20" fillId="0" borderId="11" xfId="0" applyNumberFormat="1" applyFont="1" applyFill="1" applyBorder="1" applyAlignment="1">
      <protection locked="0" hidden="1"/>
    </xf>
    <xf numFmtId="193" fontId="20" fillId="0" borderId="11" xfId="0" applyNumberFormat="1" applyFont="1" applyFill="1" applyBorder="1" applyAlignment="1">
      <protection locked="0" hidden="1"/>
    </xf>
    <xf numFmtId="192" fontId="20" fillId="0" borderId="11" xfId="0" applyNumberFormat="1" applyFont="1" applyFill="1" applyBorder="1" applyAlignment="1">
      <protection locked="0" hidden="1"/>
    </xf>
    <xf numFmtId="192" fontId="20" fillId="0" borderId="9" xfId="0" applyNumberFormat="1" applyFont="1" applyFill="1" applyBorder="1" applyAlignment="1">
      <protection locked="0" hidden="1"/>
    </xf>
    <xf numFmtId="194" fontId="20" fillId="0" borderId="8" xfId="0" applyNumberFormat="1" applyFont="1" applyFill="1" applyBorder="1" applyAlignment="1">
      <protection locked="0" hidden="1"/>
    </xf>
    <xf numFmtId="186" fontId="20" fillId="0" borderId="8" xfId="0" applyNumberFormat="1" applyFont="1" applyFill="1" applyBorder="1" applyAlignment="1">
      <protection locked="0" hidden="1"/>
    </xf>
    <xf numFmtId="193" fontId="20" fillId="0" borderId="8" xfId="0" applyNumberFormat="1" applyFont="1" applyFill="1" applyBorder="1" applyAlignment="1">
      <protection locked="0" hidden="1"/>
    </xf>
    <xf numFmtId="192" fontId="20" fillId="0" borderId="8" xfId="0" applyNumberFormat="1" applyFont="1" applyFill="1" applyBorder="1" applyAlignment="1">
      <protection locked="0" hidden="1"/>
    </xf>
    <xf numFmtId="192" fontId="20" fillId="0" borderId="10" xfId="0" applyNumberFormat="1" applyFont="1" applyFill="1" applyBorder="1" applyAlignment="1">
      <protection locked="0" hidden="1"/>
    </xf>
    <xf numFmtId="166" fontId="19" fillId="0" borderId="1" xfId="0" applyFont="1" applyFill="1" applyBorder="1" applyAlignment="1">
      <alignment horizontal="left" wrapText="1"/>
      <protection locked="0" hidden="1"/>
    </xf>
    <xf numFmtId="170" fontId="24" fillId="0" borderId="7" xfId="0" applyNumberFormat="1" applyFont="1" applyFill="1" applyBorder="1" applyAlignment="1" applyProtection="1">
      <alignment horizontal="right"/>
    </xf>
    <xf numFmtId="0" fontId="25" fillId="0" borderId="7" xfId="0" applyNumberFormat="1" applyFont="1" applyFill="1" applyBorder="1" applyAlignment="1" applyProtection="1">
      <alignment horizontal="right" readingOrder="2"/>
    </xf>
    <xf numFmtId="0" fontId="24" fillId="0" borderId="0" xfId="0" applyNumberFormat="1" applyFont="1" applyFill="1" applyAlignment="1" applyProtection="1"/>
    <xf numFmtId="0" fontId="24" fillId="0" borderId="0" xfId="0" applyNumberFormat="1" applyFont="1" applyFill="1" applyBorder="1" applyAlignment="1" applyProtection="1"/>
    <xf numFmtId="0" fontId="25" fillId="0" borderId="0" xfId="0" applyNumberFormat="1" applyFont="1" applyFill="1" applyAlignment="1" applyProtection="1">
      <alignment horizontal="right" readingOrder="2"/>
    </xf>
    <xf numFmtId="0" fontId="20" fillId="0" borderId="0" xfId="0" applyNumberFormat="1" applyFont="1" applyFill="1" applyAlignment="1" applyProtection="1"/>
    <xf numFmtId="170" fontId="3" fillId="0" borderId="0" xfId="0" applyNumberFormat="1" applyFont="1" applyFill="1" applyAlignment="1" applyProtection="1">
      <alignment horizontal="centerContinuous" wrapText="1"/>
    </xf>
    <xf numFmtId="0" fontId="9" fillId="0" borderId="0" xfId="0" applyNumberFormat="1" applyFont="1" applyFill="1" applyAlignment="1" applyProtection="1">
      <alignment horizontal="centerContinuous" vertical="center"/>
    </xf>
    <xf numFmtId="181" fontId="16" fillId="0" borderId="0" xfId="0" applyNumberFormat="1" applyFont="1" applyFill="1" applyAlignment="1">
      <protection locked="0" hidden="1"/>
    </xf>
    <xf numFmtId="175" fontId="16" fillId="0" borderId="11" xfId="0" applyNumberFormat="1" applyFont="1" applyFill="1" applyBorder="1" applyAlignment="1">
      <protection locked="0" hidden="1"/>
    </xf>
    <xf numFmtId="181" fontId="16" fillId="0" borderId="9" xfId="0" applyNumberFormat="1" applyFont="1" applyFill="1" applyBorder="1" applyAlignment="1">
      <protection locked="0" hidden="1"/>
    </xf>
    <xf numFmtId="181" fontId="16" fillId="0" borderId="11" xfId="0" applyNumberFormat="1" applyFont="1" applyFill="1" applyBorder="1" applyAlignment="1">
      <alignment vertical="top"/>
      <protection locked="0" hidden="1"/>
    </xf>
    <xf numFmtId="175" fontId="16" fillId="0" borderId="11" xfId="0" applyNumberFormat="1" applyFont="1" applyFill="1" applyBorder="1" applyAlignment="1">
      <alignment vertical="top"/>
      <protection locked="0" hidden="1"/>
    </xf>
    <xf numFmtId="175" fontId="20" fillId="0" borderId="8" xfId="0" applyNumberFormat="1" applyFont="1" applyFill="1" applyBorder="1" applyAlignment="1">
      <protection locked="0" hidden="1"/>
    </xf>
    <xf numFmtId="181" fontId="20" fillId="0" borderId="10" xfId="0" applyNumberFormat="1" applyFont="1" applyFill="1" applyBorder="1" applyAlignment="1">
      <protection locked="0" hidden="1"/>
    </xf>
    <xf numFmtId="181" fontId="16" fillId="0" borderId="0" xfId="0" applyNumberFormat="1" applyFont="1" applyFill="1" applyBorder="1" applyAlignment="1" applyProtection="1"/>
    <xf numFmtId="181" fontId="16" fillId="0" borderId="0" xfId="0" applyNumberFormat="1" applyFont="1" applyFill="1" applyBorder="1" applyAlignment="1" applyProtection="1">
      <alignment horizontal="centerContinuous"/>
    </xf>
    <xf numFmtId="165" fontId="3" fillId="0" borderId="0" xfId="0" applyNumberFormat="1" applyFont="1" applyFill="1" applyAlignment="1" applyProtection="1">
      <alignment horizontal="right" wrapText="1"/>
    </xf>
    <xf numFmtId="166" fontId="65" fillId="0" borderId="0" xfId="0" applyFont="1" applyFill="1" applyAlignment="1">
      <alignment horizontal="centerContinuous" vertical="center"/>
      <protection locked="0" hidden="1"/>
    </xf>
    <xf numFmtId="166" fontId="19" fillId="0" borderId="0" xfId="0" applyNumberFormat="1" applyFont="1" applyFill="1" applyBorder="1" applyAlignment="1">
      <protection locked="0" hidden="1"/>
    </xf>
    <xf numFmtId="179" fontId="16" fillId="0" borderId="1" xfId="0" applyNumberFormat="1" applyFont="1" applyFill="1" applyBorder="1" applyAlignment="1">
      <protection locked="0" hidden="1"/>
    </xf>
    <xf numFmtId="201" fontId="16" fillId="0" borderId="11" xfId="0" applyNumberFormat="1" applyFont="1" applyFill="1" applyBorder="1" applyAlignment="1">
      <alignment horizontal="right"/>
      <protection locked="0" hidden="1"/>
    </xf>
    <xf numFmtId="191" fontId="16" fillId="0" borderId="15" xfId="0" applyNumberFormat="1" applyFont="1" applyFill="1" applyBorder="1" applyAlignment="1">
      <protection locked="0" hidden="1"/>
    </xf>
    <xf numFmtId="195" fontId="16" fillId="0" borderId="11" xfId="0" applyNumberFormat="1" applyFont="1" applyFill="1" applyBorder="1" applyAlignment="1">
      <protection locked="0" hidden="1"/>
    </xf>
    <xf numFmtId="180" fontId="16" fillId="0" borderId="11" xfId="0" applyNumberFormat="1" applyFont="1" applyFill="1" applyBorder="1" applyAlignment="1">
      <protection locked="0" hidden="1"/>
    </xf>
    <xf numFmtId="165" fontId="16" fillId="0" borderId="11" xfId="0" applyNumberFormat="1" applyFont="1" applyFill="1" applyBorder="1" applyAlignment="1">
      <alignment horizontal="right" indent="2"/>
      <protection locked="0" hidden="1"/>
    </xf>
    <xf numFmtId="171" fontId="16" fillId="0" borderId="9" xfId="0" applyNumberFormat="1" applyFont="1" applyFill="1" applyBorder="1" applyAlignment="1">
      <protection locked="0" hidden="1"/>
    </xf>
    <xf numFmtId="166" fontId="29" fillId="0" borderId="1" xfId="0" applyNumberFormat="1" applyFont="1" applyFill="1" applyBorder="1" applyAlignment="1">
      <alignment horizontal="left" vertical="top"/>
      <protection locked="0" hidden="1"/>
    </xf>
    <xf numFmtId="166" fontId="29" fillId="0" borderId="0" xfId="0" applyFont="1" applyFill="1" applyBorder="1" applyAlignment="1">
      <protection locked="0" hidden="1"/>
    </xf>
    <xf numFmtId="166" fontId="29" fillId="0" borderId="3" xfId="0" applyFont="1" applyFill="1" applyBorder="1" applyAlignment="1">
      <protection locked="0" hidden="1"/>
    </xf>
    <xf numFmtId="200" fontId="20" fillId="0" borderId="8" xfId="0" applyNumberFormat="1" applyFont="1" applyFill="1" applyBorder="1" applyAlignment="1">
      <protection locked="0" hidden="1"/>
    </xf>
    <xf numFmtId="172" fontId="20" fillId="0" borderId="3" xfId="0" applyNumberFormat="1" applyFont="1" applyFill="1" applyBorder="1" applyAlignment="1">
      <protection locked="0" hidden="1"/>
    </xf>
    <xf numFmtId="191" fontId="20" fillId="0" borderId="18" xfId="0" applyNumberFormat="1" applyFont="1" applyFill="1" applyBorder="1" applyAlignment="1">
      <protection locked="0" hidden="1"/>
    </xf>
    <xf numFmtId="195" fontId="20" fillId="0" borderId="8" xfId="0" applyNumberFormat="1" applyFont="1" applyFill="1" applyBorder="1" applyAlignment="1">
      <protection locked="0" hidden="1"/>
    </xf>
    <xf numFmtId="207" fontId="20" fillId="0" borderId="8" xfId="0" applyNumberFormat="1" applyFont="1" applyFill="1" applyBorder="1" applyAlignment="1">
      <protection locked="0" hidden="1"/>
    </xf>
    <xf numFmtId="180" fontId="20" fillId="0" borderId="8" xfId="0" applyNumberFormat="1" applyFont="1" applyFill="1" applyBorder="1" applyAlignment="1">
      <protection locked="0" hidden="1"/>
    </xf>
    <xf numFmtId="171" fontId="20" fillId="0" borderId="8" xfId="0" applyNumberFormat="1" applyFont="1" applyFill="1" applyBorder="1" applyAlignment="1">
      <protection locked="0" hidden="1"/>
    </xf>
    <xf numFmtId="0" fontId="3" fillId="0" borderId="7" xfId="0" applyNumberFormat="1" applyFont="1" applyFill="1" applyBorder="1" applyAlignment="1" applyProtection="1">
      <alignment vertical="top"/>
    </xf>
    <xf numFmtId="165" fontId="3" fillId="0" borderId="0" xfId="0" applyNumberFormat="1" applyFont="1" applyFill="1" applyAlignment="1" applyProtection="1">
      <alignment horizontal="right"/>
    </xf>
    <xf numFmtId="165" fontId="3" fillId="0" borderId="0" xfId="0" applyNumberFormat="1" applyFont="1" applyFill="1" applyAlignment="1" applyProtection="1"/>
    <xf numFmtId="3" fontId="3" fillId="0" borderId="0" xfId="0" applyNumberFormat="1" applyFont="1" applyFill="1" applyAlignment="1" applyProtection="1"/>
    <xf numFmtId="0" fontId="69" fillId="0" borderId="0" xfId="21" applyFont="1" applyAlignment="1">
      <alignment horizontal="centerContinuous" vertical="center" readingOrder="2"/>
    </xf>
    <xf numFmtId="0" fontId="3" fillId="0" borderId="0" xfId="21" applyFont="1" applyAlignment="1">
      <alignment horizontal="centerContinuous"/>
    </xf>
    <xf numFmtId="0" fontId="3" fillId="0" borderId="0" xfId="21" applyFont="1"/>
    <xf numFmtId="0" fontId="40" fillId="0" borderId="0" xfId="21" applyFont="1" applyAlignment="1">
      <alignment horizontal="centerContinuous" vertical="center"/>
    </xf>
    <xf numFmtId="0" fontId="46" fillId="0" borderId="6" xfId="21" applyFont="1" applyBorder="1" applyAlignment="1">
      <alignment horizontal="centerContinuous" vertical="center"/>
    </xf>
    <xf numFmtId="0" fontId="27" fillId="0" borderId="12" xfId="21" applyFont="1" applyBorder="1" applyAlignment="1">
      <alignment horizontal="center" vertical="top"/>
    </xf>
    <xf numFmtId="0" fontId="3" fillId="0" borderId="0" xfId="21" applyFont="1" applyAlignment="1">
      <alignment vertical="top"/>
    </xf>
    <xf numFmtId="0" fontId="27" fillId="0" borderId="11" xfId="21" applyFont="1" applyBorder="1" applyAlignment="1">
      <alignment horizontal="center" vertical="top"/>
    </xf>
    <xf numFmtId="0" fontId="46" fillId="0" borderId="8" xfId="21" applyFont="1" applyBorder="1" applyAlignment="1">
      <alignment horizontal="center"/>
    </xf>
    <xf numFmtId="0" fontId="3" fillId="0" borderId="0" xfId="21" applyFont="1" applyAlignment="1"/>
    <xf numFmtId="166" fontId="46" fillId="0" borderId="25" xfId="0" applyFont="1" applyFill="1" applyBorder="1" applyAlignment="1">
      <alignment horizontal="left" indent="1"/>
      <protection locked="0" hidden="1"/>
    </xf>
    <xf numFmtId="166" fontId="3" fillId="3" borderId="6" xfId="0" applyFont="1" applyFill="1" applyBorder="1" applyAlignment="1">
      <alignment horizontal="right" indent="1"/>
      <protection locked="0" hidden="1"/>
    </xf>
    <xf numFmtId="166" fontId="29" fillId="0" borderId="6" xfId="0" applyFont="1" applyFill="1" applyBorder="1" applyAlignment="1">
      <alignment horizontal="right" indent="1" readingOrder="2"/>
      <protection locked="0" hidden="1"/>
    </xf>
    <xf numFmtId="166" fontId="3" fillId="0" borderId="27" xfId="0" applyFont="1" applyFill="1" applyBorder="1" applyAlignment="1">
      <alignment horizontal="left" vertical="center" indent="2"/>
      <protection locked="0" hidden="1"/>
    </xf>
    <xf numFmtId="166" fontId="20" fillId="0" borderId="27" xfId="0" applyFont="1" applyFill="1" applyBorder="1" applyAlignment="1">
      <alignment horizontal="right" indent="1" readingOrder="2"/>
      <protection locked="0" hidden="1"/>
    </xf>
    <xf numFmtId="166" fontId="46" fillId="0" borderId="27" xfId="0" applyFont="1" applyFill="1" applyBorder="1" applyAlignment="1">
      <alignment horizontal="left" indent="1"/>
      <protection locked="0" hidden="1"/>
    </xf>
    <xf numFmtId="166" fontId="29" fillId="0" borderId="27" xfId="0" applyFont="1" applyFill="1" applyBorder="1" applyAlignment="1">
      <alignment horizontal="right" indent="1" readingOrder="2"/>
      <protection locked="0" hidden="1"/>
    </xf>
    <xf numFmtId="166" fontId="3" fillId="0" borderId="27" xfId="0" applyFont="1" applyFill="1" applyBorder="1" applyAlignment="1">
      <alignment horizontal="left" vertical="center" indent="1"/>
      <protection locked="0" hidden="1"/>
    </xf>
    <xf numFmtId="1" fontId="20" fillId="0" borderId="27" xfId="0" applyNumberFormat="1" applyFont="1" applyFill="1" applyBorder="1" applyAlignment="1">
      <alignment horizontal="right" vertical="center" indent="2" readingOrder="2"/>
      <protection locked="0" hidden="1"/>
    </xf>
    <xf numFmtId="166" fontId="20" fillId="0" borderId="27" xfId="0" applyFont="1" applyFill="1" applyBorder="1" applyAlignment="1">
      <alignment horizontal="right" vertical="center" indent="2" readingOrder="2"/>
      <protection locked="0" hidden="1"/>
    </xf>
    <xf numFmtId="166" fontId="20" fillId="0" borderId="27" xfId="0" applyFont="1" applyFill="1" applyBorder="1" applyAlignment="1">
      <alignment horizontal="right" indent="2" readingOrder="2"/>
      <protection locked="0" hidden="1"/>
    </xf>
    <xf numFmtId="166" fontId="3" fillId="0" borderId="28" xfId="0" applyFont="1" applyFill="1" applyBorder="1" applyAlignment="1">
      <alignment horizontal="left" vertical="center" indent="1"/>
      <protection locked="0" hidden="1"/>
    </xf>
    <xf numFmtId="166" fontId="3" fillId="0" borderId="28" xfId="0" applyFont="1" applyFill="1" applyBorder="1" applyAlignment="1">
      <alignment horizontal="left" vertical="center" indent="2"/>
      <protection locked="0" hidden="1"/>
    </xf>
    <xf numFmtId="165" fontId="3" fillId="0" borderId="9" xfId="0" applyNumberFormat="1" applyFont="1" applyFill="1" applyBorder="1" applyAlignment="1">
      <alignment horizontal="right"/>
      <protection locked="0" hidden="1"/>
    </xf>
    <xf numFmtId="166" fontId="20" fillId="0" borderId="9" xfId="0" applyFont="1" applyFill="1" applyBorder="1" applyAlignment="1">
      <alignment horizontal="right" indent="2" readingOrder="2"/>
      <protection locked="0" hidden="1"/>
    </xf>
    <xf numFmtId="166" fontId="3" fillId="0" borderId="26" xfId="0" applyFont="1" applyFill="1" applyBorder="1" applyAlignment="1">
      <alignment horizontal="left" indent="1"/>
      <protection locked="0" hidden="1"/>
    </xf>
    <xf numFmtId="0" fontId="3" fillId="0" borderId="7" xfId="21" applyFont="1" applyBorder="1" applyAlignment="1">
      <alignment horizontal="left" readingOrder="1"/>
    </xf>
    <xf numFmtId="0" fontId="3" fillId="0" borderId="7" xfId="21" applyFont="1" applyBorder="1" applyAlignment="1">
      <alignment horizontal="centerContinuous"/>
    </xf>
    <xf numFmtId="0" fontId="3" fillId="0" borderId="7" xfId="21" applyFont="1" applyBorder="1" applyAlignment="1">
      <alignment horizontal="right" readingOrder="2"/>
    </xf>
    <xf numFmtId="166" fontId="3" fillId="0" borderId="0" xfId="0" applyFont="1" applyFill="1" applyBorder="1" applyAlignment="1">
      <alignment horizontal="left" vertical="center" indent="2"/>
      <protection locked="0" hidden="1"/>
    </xf>
    <xf numFmtId="166" fontId="14" fillId="0" borderId="0" xfId="0" applyFont="1" applyFill="1" applyBorder="1" applyAlignment="1">
      <alignment horizontal="right" indent="2" readingOrder="2"/>
      <protection locked="0" hidden="1"/>
    </xf>
    <xf numFmtId="165" fontId="3" fillId="3" borderId="11" xfId="0" applyNumberFormat="1" applyFont="1" applyFill="1" applyBorder="1" applyAlignment="1">
      <alignment horizontal="right" indent="1"/>
      <protection locked="0" hidden="1"/>
    </xf>
    <xf numFmtId="4" fontId="3" fillId="0" borderId="11" xfId="0" applyNumberFormat="1" applyFont="1" applyFill="1" applyBorder="1" applyAlignment="1">
      <alignment horizontal="right"/>
      <protection locked="0" hidden="1"/>
    </xf>
    <xf numFmtId="166" fontId="29" fillId="0" borderId="27" xfId="0" applyFont="1" applyFill="1" applyBorder="1" applyAlignment="1">
      <alignment horizontal="right" vertical="top" indent="1" readingOrder="2"/>
      <protection locked="0" hidden="1"/>
    </xf>
    <xf numFmtId="4" fontId="3" fillId="0" borderId="11" xfId="0" applyNumberFormat="1" applyFont="1" applyFill="1" applyBorder="1" applyAlignment="1" applyProtection="1">
      <alignment horizontal="right"/>
      <protection locked="0" hidden="1"/>
    </xf>
    <xf numFmtId="4" fontId="3" fillId="3" borderId="11" xfId="0" applyNumberFormat="1" applyFont="1" applyFill="1" applyBorder="1" applyAlignment="1" applyProtection="1">
      <alignment horizontal="right"/>
      <protection locked="0" hidden="1"/>
    </xf>
    <xf numFmtId="166" fontId="3" fillId="0" borderId="27" xfId="0" applyFont="1" applyFill="1" applyBorder="1" applyAlignment="1">
      <alignment horizontal="left" vertical="center" wrapText="1" indent="1"/>
      <protection locked="0" hidden="1"/>
    </xf>
    <xf numFmtId="164" fontId="3" fillId="3" borderId="11" xfId="0" applyNumberFormat="1" applyFont="1" applyFill="1" applyBorder="1" applyAlignment="1">
      <alignment horizontal="right"/>
      <protection locked="0" hidden="1"/>
    </xf>
    <xf numFmtId="1" fontId="3" fillId="0" borderId="11" xfId="0" applyNumberFormat="1" applyFont="1" applyFill="1" applyBorder="1" applyAlignment="1">
      <alignment horizontal="right"/>
      <protection locked="0" hidden="1"/>
    </xf>
    <xf numFmtId="164" fontId="3" fillId="0" borderId="11" xfId="0" applyNumberFormat="1" applyFont="1" applyFill="1" applyBorder="1" applyAlignment="1">
      <alignment horizontal="right"/>
      <protection locked="0" hidden="1"/>
    </xf>
    <xf numFmtId="166" fontId="20" fillId="0" borderId="9" xfId="0" applyFont="1" applyFill="1" applyBorder="1" applyAlignment="1">
      <alignment horizontal="right" indent="1" readingOrder="2"/>
      <protection locked="0" hidden="1"/>
    </xf>
    <xf numFmtId="164" fontId="3" fillId="3" borderId="9" xfId="0" applyNumberFormat="1" applyFont="1" applyFill="1" applyBorder="1" applyAlignment="1">
      <protection locked="0" hidden="1"/>
    </xf>
    <xf numFmtId="166" fontId="29" fillId="0" borderId="29" xfId="0" applyFont="1" applyFill="1" applyBorder="1" applyAlignment="1">
      <alignment horizontal="right" indent="1" readingOrder="2"/>
      <protection locked="0" hidden="1"/>
    </xf>
    <xf numFmtId="0" fontId="3" fillId="0" borderId="0" xfId="21" applyFont="1" applyBorder="1" applyAlignment="1">
      <alignment horizontal="left" readingOrder="1"/>
    </xf>
    <xf numFmtId="0" fontId="3" fillId="0" borderId="0" xfId="21" applyFont="1" applyBorder="1" applyAlignment="1">
      <alignment horizontal="centerContinuous"/>
    </xf>
    <xf numFmtId="0" fontId="3" fillId="0" borderId="0" xfId="21" applyFont="1" applyBorder="1" applyAlignment="1">
      <alignment horizontal="right" readingOrder="2"/>
    </xf>
    <xf numFmtId="164" fontId="3" fillId="3" borderId="11" xfId="0" applyNumberFormat="1" applyFont="1" applyFill="1" applyBorder="1" applyAlignment="1">
      <alignment horizontal="right" indent="1"/>
      <protection locked="0" hidden="1"/>
    </xf>
    <xf numFmtId="199" fontId="3" fillId="0" borderId="11" xfId="0" applyNumberFormat="1" applyFont="1" applyFill="1" applyBorder="1" applyAlignment="1">
      <alignment horizontal="right"/>
      <protection locked="0" hidden="1"/>
    </xf>
    <xf numFmtId="166" fontId="3" fillId="0" borderId="30" xfId="0" applyFont="1" applyFill="1" applyBorder="1" applyAlignment="1">
      <alignment horizontal="left" vertical="center" indent="1"/>
      <protection locked="0" hidden="1"/>
    </xf>
    <xf numFmtId="164" fontId="3" fillId="0" borderId="9" xfId="0" applyNumberFormat="1" applyFont="1" applyFill="1" applyBorder="1" applyAlignment="1">
      <alignment horizontal="right"/>
      <protection locked="0" hidden="1"/>
    </xf>
    <xf numFmtId="166" fontId="3" fillId="0" borderId="7" xfId="0" applyFont="1" applyFill="1" applyBorder="1" applyAlignment="1">
      <alignment horizontal="left" readingOrder="1"/>
      <protection locked="0" hidden="1"/>
    </xf>
    <xf numFmtId="166" fontId="72" fillId="0" borderId="0" xfId="0" applyFont="1" applyFill="1" applyAlignment="1">
      <protection locked="0" hidden="1"/>
    </xf>
    <xf numFmtId="166" fontId="72" fillId="0" borderId="0" xfId="0" applyFont="1" applyFill="1" applyAlignment="1">
      <alignment horizontal="right" readingOrder="2"/>
      <protection locked="0" hidden="1"/>
    </xf>
    <xf numFmtId="166" fontId="3" fillId="0" borderId="0" xfId="0" applyFont="1" applyFill="1" applyAlignment="1">
      <alignment horizontal="right" readingOrder="2"/>
      <protection locked="0" hidden="1"/>
    </xf>
    <xf numFmtId="0" fontId="14" fillId="0" borderId="0" xfId="28" applyFont="1"/>
    <xf numFmtId="0" fontId="27" fillId="9" borderId="23" xfId="28" applyFont="1" applyFill="1" applyBorder="1" applyAlignment="1">
      <alignment vertical="center"/>
    </xf>
    <xf numFmtId="0" fontId="27" fillId="9" borderId="23" xfId="28" applyFont="1" applyFill="1" applyBorder="1" applyAlignment="1">
      <alignment vertical="center" wrapText="1"/>
    </xf>
    <xf numFmtId="0" fontId="27" fillId="10" borderId="23" xfId="28" applyFont="1" applyFill="1" applyBorder="1" applyAlignment="1">
      <alignment horizontal="center" vertical="center"/>
    </xf>
    <xf numFmtId="0" fontId="14" fillId="6" borderId="23" xfId="28" applyFont="1" applyFill="1" applyBorder="1" applyAlignment="1">
      <alignment vertical="center" wrapText="1"/>
    </xf>
    <xf numFmtId="0" fontId="14" fillId="6" borderId="23" xfId="28" applyFont="1" applyFill="1" applyBorder="1" applyAlignment="1">
      <alignment horizontal="center" vertical="center"/>
    </xf>
    <xf numFmtId="49" fontId="14" fillId="6" borderId="23" xfId="28" applyNumberFormat="1" applyFont="1" applyFill="1" applyBorder="1" applyAlignment="1">
      <alignment horizontal="center" vertical="center"/>
    </xf>
    <xf numFmtId="0" fontId="14" fillId="0" borderId="0" xfId="28" applyFont="1" applyBorder="1" applyAlignment="1">
      <alignment vertical="center"/>
    </xf>
    <xf numFmtId="0" fontId="14" fillId="6" borderId="23" xfId="28" applyFont="1" applyFill="1" applyBorder="1" applyAlignment="1">
      <alignment horizontal="center" vertical="center" wrapText="1"/>
    </xf>
    <xf numFmtId="0" fontId="14" fillId="0" borderId="23" xfId="28" applyNumberFormat="1" applyFont="1" applyBorder="1" applyAlignment="1">
      <alignment horizontal="center" vertical="center"/>
    </xf>
    <xf numFmtId="0" fontId="14" fillId="0" borderId="23" xfId="28" applyFont="1" applyBorder="1" applyAlignment="1">
      <alignment vertical="center" wrapText="1"/>
    </xf>
    <xf numFmtId="0" fontId="14" fillId="0" borderId="23" xfId="28" applyFont="1" applyBorder="1" applyAlignment="1">
      <alignment horizontal="center" vertical="center"/>
    </xf>
    <xf numFmtId="49" fontId="14" fillId="0" borderId="23" xfId="28" applyNumberFormat="1" applyFont="1" applyBorder="1" applyAlignment="1">
      <alignment horizontal="center" vertical="center"/>
    </xf>
    <xf numFmtId="0" fontId="14" fillId="0" borderId="23" xfId="28" applyFont="1" applyBorder="1" applyAlignment="1">
      <alignment horizontal="center" vertical="center" wrapText="1"/>
    </xf>
    <xf numFmtId="0" fontId="14" fillId="6" borderId="23" xfId="28" applyNumberFormat="1" applyFont="1" applyFill="1" applyBorder="1" applyAlignment="1">
      <alignment horizontal="center" vertical="center"/>
    </xf>
    <xf numFmtId="0" fontId="27" fillId="9" borderId="8" xfId="28" applyFont="1" applyFill="1" applyBorder="1" applyAlignment="1">
      <alignment horizontal="left" vertical="center"/>
    </xf>
    <xf numFmtId="0" fontId="27" fillId="8" borderId="23" xfId="28" applyFont="1" applyFill="1" applyBorder="1" applyAlignment="1">
      <alignment vertical="center" wrapText="1"/>
    </xf>
    <xf numFmtId="0" fontId="14" fillId="0" borderId="0" xfId="28" applyFont="1" applyAlignment="1">
      <alignment vertical="center"/>
    </xf>
    <xf numFmtId="0" fontId="14" fillId="0" borderId="0" xfId="28" applyFont="1" applyAlignment="1">
      <alignment horizontal="left" vertical="top" wrapText="1"/>
    </xf>
    <xf numFmtId="0" fontId="14" fillId="0" borderId="0" xfId="28" applyFont="1" applyAlignment="1">
      <alignment horizontal="left" vertical="top"/>
    </xf>
    <xf numFmtId="0" fontId="14" fillId="9" borderId="23" xfId="28" applyFont="1" applyFill="1" applyBorder="1" applyAlignment="1">
      <alignment horizontal="left" vertical="top" wrapText="1"/>
    </xf>
    <xf numFmtId="0" fontId="40" fillId="0" borderId="3" xfId="28" applyFont="1" applyBorder="1" applyAlignment="1">
      <alignment horizontal="center"/>
    </xf>
    <xf numFmtId="0" fontId="40" fillId="7" borderId="21" xfId="28" applyFont="1" applyFill="1" applyBorder="1" applyAlignment="1">
      <alignment horizontal="center" vertical="center"/>
    </xf>
    <xf numFmtId="0" fontId="40" fillId="7" borderId="5" xfId="28" applyFont="1" applyFill="1" applyBorder="1" applyAlignment="1">
      <alignment horizontal="center" vertical="center"/>
    </xf>
    <xf numFmtId="0" fontId="40" fillId="7" borderId="22" xfId="28" applyFont="1" applyFill="1" applyBorder="1" applyAlignment="1">
      <alignment horizontal="center" vertical="center"/>
    </xf>
    <xf numFmtId="0" fontId="27" fillId="8" borderId="23" xfId="28" applyFont="1" applyFill="1" applyBorder="1" applyAlignment="1">
      <alignment horizontal="left" vertical="center"/>
    </xf>
    <xf numFmtId="49" fontId="14" fillId="6" borderId="23" xfId="28" applyNumberFormat="1" applyFont="1" applyFill="1" applyBorder="1" applyAlignment="1">
      <alignment horizontal="left" vertical="top" wrapText="1"/>
    </xf>
    <xf numFmtId="0" fontId="14" fillId="9" borderId="21" xfId="28" applyFont="1" applyFill="1" applyBorder="1" applyAlignment="1">
      <alignment horizontal="left" vertical="top" wrapText="1"/>
    </xf>
    <xf numFmtId="0" fontId="14" fillId="9" borderId="5" xfId="28" applyFont="1" applyFill="1" applyBorder="1" applyAlignment="1">
      <alignment horizontal="left" vertical="top" wrapText="1"/>
    </xf>
    <xf numFmtId="0" fontId="14" fillId="9" borderId="22" xfId="28" applyFont="1" applyFill="1" applyBorder="1" applyAlignment="1">
      <alignment horizontal="left" vertical="top" wrapText="1"/>
    </xf>
    <xf numFmtId="0" fontId="27" fillId="9" borderId="23" xfId="28" applyFont="1" applyFill="1" applyBorder="1" applyAlignment="1">
      <alignment horizontal="left" vertical="center"/>
    </xf>
    <xf numFmtId="0" fontId="27" fillId="10" borderId="23" xfId="28" applyFont="1" applyFill="1" applyBorder="1" applyAlignment="1">
      <alignment horizontal="center" vertical="center"/>
    </xf>
    <xf numFmtId="0" fontId="27" fillId="6" borderId="23" xfId="28" applyFont="1" applyFill="1" applyBorder="1" applyAlignment="1">
      <alignment horizontal="center" vertical="center"/>
    </xf>
    <xf numFmtId="0" fontId="14" fillId="6" borderId="23" xfId="28" applyFont="1" applyFill="1" applyBorder="1" applyAlignment="1">
      <alignment horizontal="left" vertical="top" wrapText="1"/>
    </xf>
    <xf numFmtId="0" fontId="14" fillId="6" borderId="23" xfId="28" applyFont="1" applyFill="1" applyBorder="1" applyAlignment="1">
      <alignment horizontal="left" vertical="center" wrapText="1"/>
    </xf>
    <xf numFmtId="0" fontId="27" fillId="9" borderId="12" xfId="28" applyFont="1" applyFill="1" applyBorder="1" applyAlignment="1">
      <alignment horizontal="left" vertical="center"/>
    </xf>
    <xf numFmtId="0" fontId="27" fillId="9" borderId="8" xfId="28" applyFont="1" applyFill="1" applyBorder="1" applyAlignment="1">
      <alignment horizontal="left" vertical="center"/>
    </xf>
    <xf numFmtId="0" fontId="14" fillId="0" borderId="23" xfId="28" applyFont="1" applyBorder="1" applyAlignment="1">
      <alignment horizontal="left" vertical="top" wrapText="1"/>
    </xf>
    <xf numFmtId="0" fontId="73" fillId="6" borderId="23" xfId="28" applyFont="1" applyFill="1" applyBorder="1" applyAlignment="1">
      <alignment horizontal="left" vertical="top" wrapText="1"/>
    </xf>
    <xf numFmtId="0" fontId="48" fillId="6" borderId="23" xfId="28" applyFont="1" applyFill="1" applyBorder="1" applyAlignment="1">
      <alignment horizontal="left" vertical="top" wrapText="1"/>
    </xf>
    <xf numFmtId="0" fontId="27" fillId="6" borderId="23" xfId="28" applyFont="1" applyFill="1" applyBorder="1" applyAlignment="1">
      <alignment horizontal="center" vertical="center" wrapText="1"/>
    </xf>
    <xf numFmtId="0" fontId="14" fillId="8" borderId="23" xfId="28" applyFont="1" applyFill="1" applyBorder="1" applyAlignment="1">
      <alignment horizontal="left" vertical="top" wrapText="1"/>
    </xf>
    <xf numFmtId="0" fontId="14" fillId="8" borderId="23" xfId="28" applyFont="1" applyFill="1" applyBorder="1" applyAlignment="1">
      <alignment horizontal="left" vertical="center" wrapText="1"/>
    </xf>
    <xf numFmtId="0" fontId="27" fillId="0" borderId="12" xfId="21" applyFont="1" applyBorder="1" applyAlignment="1">
      <alignment horizontal="center" vertical="center"/>
    </xf>
    <xf numFmtId="0" fontId="27" fillId="0" borderId="11" xfId="21" applyFont="1" applyBorder="1" applyAlignment="1">
      <alignment horizontal="center" vertical="center"/>
    </xf>
    <xf numFmtId="0" fontId="27" fillId="0" borderId="8" xfId="21" applyFont="1" applyBorder="1" applyAlignment="1">
      <alignment horizontal="center" vertical="center"/>
    </xf>
    <xf numFmtId="0" fontId="40" fillId="0" borderId="12" xfId="21" applyFont="1" applyBorder="1" applyAlignment="1">
      <alignment horizontal="center" vertical="center"/>
    </xf>
    <xf numFmtId="0" fontId="40" fillId="0" borderId="11" xfId="21" applyFont="1" applyBorder="1" applyAlignment="1">
      <alignment horizontal="center" vertical="center"/>
    </xf>
    <xf numFmtId="0" fontId="40" fillId="0" borderId="8" xfId="21" applyFont="1" applyBorder="1" applyAlignment="1">
      <alignment horizontal="center" vertical="center"/>
    </xf>
    <xf numFmtId="166" fontId="12" fillId="0" borderId="2" xfId="0" applyFont="1" applyFill="1" applyBorder="1" applyAlignment="1">
      <alignment horizontal="center" readingOrder="2"/>
      <protection locked="0" hidden="1"/>
    </xf>
    <xf numFmtId="166" fontId="12" fillId="0" borderId="6" xfId="0" applyFont="1" applyFill="1" applyBorder="1" applyAlignment="1">
      <alignment horizontal="center" readingOrder="2"/>
      <protection locked="0" hidden="1"/>
    </xf>
    <xf numFmtId="166" fontId="12" fillId="0" borderId="1" xfId="0" applyFont="1" applyFill="1" applyBorder="1" applyAlignment="1">
      <alignment horizontal="center" readingOrder="2"/>
      <protection locked="0" hidden="1"/>
    </xf>
    <xf numFmtId="166" fontId="12" fillId="0" borderId="9" xfId="0" applyFont="1" applyFill="1" applyBorder="1" applyAlignment="1">
      <alignment horizontal="center" readingOrder="2"/>
      <protection locked="0" hidden="1"/>
    </xf>
    <xf numFmtId="166" fontId="9" fillId="0" borderId="12" xfId="0" applyFont="1" applyFill="1" applyBorder="1" applyAlignment="1">
      <alignment horizontal="center" vertical="center" wrapText="1"/>
      <protection locked="0" hidden="1"/>
    </xf>
    <xf numFmtId="166" fontId="9" fillId="0" borderId="11" xfId="0" applyFont="1" applyFill="1" applyBorder="1" applyAlignment="1">
      <alignment horizontal="center" vertical="center" wrapText="1"/>
      <protection locked="0" hidden="1"/>
    </xf>
    <xf numFmtId="166" fontId="12" fillId="0" borderId="12" xfId="0" applyFont="1" applyFill="1" applyBorder="1" applyAlignment="1">
      <alignment horizontal="center" vertical="center" readingOrder="2"/>
      <protection locked="0" hidden="1"/>
    </xf>
    <xf numFmtId="166" fontId="12" fillId="0" borderId="11" xfId="0" applyFont="1" applyFill="1" applyBorder="1" applyAlignment="1">
      <alignment horizontal="center" vertical="center" readingOrder="2"/>
      <protection locked="0" hidden="1"/>
    </xf>
    <xf numFmtId="166" fontId="12" fillId="0" borderId="8" xfId="0" applyFont="1" applyFill="1" applyBorder="1" applyAlignment="1">
      <alignment horizontal="center" vertical="center" readingOrder="2"/>
      <protection locked="0" hidden="1"/>
    </xf>
    <xf numFmtId="166" fontId="22" fillId="0" borderId="12" xfId="0" applyFont="1" applyFill="1" applyBorder="1" applyAlignment="1">
      <alignment horizontal="center" vertical="center" wrapText="1"/>
      <protection locked="0" hidden="1"/>
    </xf>
    <xf numFmtId="166" fontId="22" fillId="0" borderId="11" xfId="0" applyFont="1" applyFill="1" applyBorder="1" applyAlignment="1">
      <alignment horizontal="center" vertical="center" wrapText="1"/>
      <protection locked="0" hidden="1"/>
    </xf>
    <xf numFmtId="166" fontId="22" fillId="0" borderId="8" xfId="0" applyFont="1" applyFill="1" applyBorder="1" applyAlignment="1">
      <alignment horizontal="center" vertical="center" wrapText="1"/>
      <protection locked="0" hidden="1"/>
    </xf>
    <xf numFmtId="0" fontId="6" fillId="0" borderId="0" xfId="22" applyFont="1" applyAlignment="1">
      <alignment horizontal="center" vertical="center" textRotation="90"/>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horizontal="center"/>
    </xf>
    <xf numFmtId="0" fontId="12" fillId="0" borderId="6"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xf>
    <xf numFmtId="0" fontId="10" fillId="0" borderId="11" xfId="0" applyNumberFormat="1" applyFont="1" applyFill="1" applyBorder="1" applyAlignment="1" applyProtection="1">
      <alignment horizontal="center" wrapText="1"/>
    </xf>
    <xf numFmtId="0" fontId="3" fillId="0" borderId="8" xfId="0" applyNumberFormat="1" applyFont="1" applyFill="1" applyBorder="1" applyAlignment="1" applyProtection="1">
      <alignment wrapText="1"/>
    </xf>
    <xf numFmtId="0" fontId="12" fillId="0" borderId="2" xfId="0" applyNumberFormat="1" applyFont="1" applyFill="1" applyBorder="1" applyAlignment="1" applyProtection="1">
      <alignment horizontal="center" vertical="center" wrapText="1" readingOrder="2"/>
    </xf>
    <xf numFmtId="0" fontId="12" fillId="0" borderId="6" xfId="0" applyNumberFormat="1" applyFont="1" applyFill="1" applyBorder="1" applyAlignment="1" applyProtection="1">
      <alignment horizontal="center" vertical="center" wrapText="1" readingOrder="2"/>
    </xf>
    <xf numFmtId="0" fontId="12" fillId="0" borderId="1" xfId="0" applyNumberFormat="1" applyFont="1" applyFill="1" applyBorder="1" applyAlignment="1" applyProtection="1">
      <alignment horizontal="center" vertical="center" wrapText="1" readingOrder="2"/>
    </xf>
    <xf numFmtId="0" fontId="12" fillId="0" borderId="9" xfId="0" applyNumberFormat="1" applyFont="1" applyFill="1" applyBorder="1" applyAlignment="1" applyProtection="1">
      <alignment horizontal="center" vertical="center" wrapText="1" readingOrder="2"/>
    </xf>
    <xf numFmtId="0" fontId="12" fillId="0" borderId="4" xfId="0" applyNumberFormat="1" applyFont="1" applyFill="1" applyBorder="1" applyAlignment="1" applyProtection="1">
      <alignment horizontal="center" vertical="center" wrapText="1" readingOrder="2"/>
    </xf>
    <xf numFmtId="0" fontId="12" fillId="0" borderId="10" xfId="0" applyNumberFormat="1" applyFont="1" applyFill="1" applyBorder="1" applyAlignment="1" applyProtection="1">
      <alignment horizontal="center" vertical="center" wrapText="1" readingOrder="2"/>
    </xf>
    <xf numFmtId="166" fontId="4" fillId="0" borderId="0" xfId="0" applyFont="1" applyFill="1" applyBorder="1" applyAlignment="1">
      <alignment horizontal="left"/>
      <protection locked="0" hidden="1"/>
    </xf>
    <xf numFmtId="2" fontId="40" fillId="0" borderId="12" xfId="0" applyNumberFormat="1" applyFont="1" applyFill="1" applyBorder="1" applyAlignment="1" applyProtection="1">
      <alignment horizontal="center" vertical="center" wrapText="1"/>
    </xf>
    <xf numFmtId="2" fontId="40" fillId="0" borderId="11" xfId="0" applyNumberFormat="1" applyFont="1" applyFill="1" applyBorder="1" applyAlignment="1" applyProtection="1">
      <alignment horizontal="center" vertical="center" wrapText="1"/>
    </xf>
    <xf numFmtId="2" fontId="40" fillId="0" borderId="8" xfId="0" applyNumberFormat="1" applyFont="1" applyFill="1" applyBorder="1" applyAlignment="1" applyProtection="1">
      <alignment horizontal="center" vertical="center" wrapText="1"/>
    </xf>
    <xf numFmtId="166" fontId="27" fillId="0" borderId="12" xfId="0" applyFont="1" applyFill="1" applyBorder="1" applyAlignment="1" applyProtection="1">
      <alignment horizontal="center" wrapText="1"/>
    </xf>
    <xf numFmtId="0" fontId="14" fillId="0" borderId="11" xfId="0" applyNumberFormat="1" applyFont="1" applyFill="1" applyBorder="1" applyAlignment="1" applyProtection="1"/>
    <xf numFmtId="166" fontId="27" fillId="0" borderId="4" xfId="0" applyFont="1" applyFill="1" applyBorder="1" applyAlignment="1" applyProtection="1">
      <alignment horizontal="center" vertical="center"/>
    </xf>
    <xf numFmtId="166" fontId="27" fillId="0" borderId="3" xfId="0" applyFont="1" applyFill="1" applyBorder="1" applyAlignment="1" applyProtection="1">
      <alignment horizontal="center" vertical="center"/>
    </xf>
    <xf numFmtId="166" fontId="27" fillId="0" borderId="10" xfId="0" applyFont="1" applyFill="1" applyBorder="1" applyAlignment="1" applyProtection="1">
      <alignment horizontal="center" vertical="center"/>
    </xf>
    <xf numFmtId="166" fontId="27" fillId="0" borderId="1" xfId="0" applyFont="1" applyFill="1" applyBorder="1" applyAlignment="1" applyProtection="1">
      <alignment horizontal="center" vertical="center"/>
    </xf>
    <xf numFmtId="166" fontId="27" fillId="0" borderId="0" xfId="0" applyFont="1" applyFill="1" applyBorder="1" applyAlignment="1" applyProtection="1">
      <alignment horizontal="center" vertical="center"/>
    </xf>
    <xf numFmtId="166" fontId="27" fillId="0" borderId="9" xfId="0" applyFont="1" applyFill="1" applyBorder="1" applyAlignment="1" applyProtection="1">
      <alignment horizontal="center" vertical="center"/>
    </xf>
    <xf numFmtId="166" fontId="27" fillId="0" borderId="12" xfId="0" applyFont="1" applyFill="1" applyBorder="1" applyAlignment="1" applyProtection="1">
      <alignment horizontal="center"/>
    </xf>
    <xf numFmtId="166" fontId="27" fillId="0" borderId="11" xfId="0" applyFont="1" applyFill="1" applyBorder="1" applyAlignment="1" applyProtection="1">
      <alignment horizontal="center"/>
    </xf>
    <xf numFmtId="166" fontId="27" fillId="0" borderId="11" xfId="0" applyFont="1" applyFill="1" applyBorder="1" applyAlignment="1" applyProtection="1">
      <alignment horizontal="center" vertical="top" wrapText="1"/>
    </xf>
    <xf numFmtId="0" fontId="14" fillId="0" borderId="8" xfId="0" applyNumberFormat="1" applyFont="1" applyFill="1" applyBorder="1" applyAlignment="1" applyProtection="1"/>
    <xf numFmtId="166" fontId="27" fillId="0" borderId="11" xfId="0" applyFont="1" applyFill="1" applyBorder="1" applyAlignment="1" applyProtection="1">
      <alignment horizontal="center" vertical="top"/>
    </xf>
    <xf numFmtId="166" fontId="27" fillId="0" borderId="8" xfId="0" applyFont="1" applyFill="1" applyBorder="1" applyAlignment="1" applyProtection="1">
      <alignment horizontal="center" vertical="top"/>
    </xf>
    <xf numFmtId="0" fontId="17" fillId="0" borderId="1" xfId="22" applyFont="1" applyBorder="1" applyAlignment="1">
      <alignment horizontal="center" vertical="center"/>
    </xf>
    <xf numFmtId="0" fontId="17" fillId="0" borderId="9" xfId="22" applyFont="1" applyBorder="1" applyAlignment="1">
      <alignment horizontal="center" vertical="center"/>
    </xf>
    <xf numFmtId="0" fontId="17" fillId="0" borderId="4" xfId="22" applyFont="1" applyBorder="1" applyAlignment="1">
      <alignment horizontal="center" vertical="center"/>
    </xf>
    <xf numFmtId="0" fontId="17" fillId="0" borderId="10" xfId="22" applyFont="1" applyBorder="1" applyAlignment="1">
      <alignment horizontal="center" vertical="center"/>
    </xf>
    <xf numFmtId="0" fontId="17" fillId="0" borderId="4" xfId="22" applyFont="1" applyBorder="1" applyAlignment="1">
      <alignment horizontal="center" vertical="center" readingOrder="2"/>
    </xf>
    <xf numFmtId="0" fontId="17" fillId="0" borderId="10" xfId="22" applyFont="1" applyBorder="1" applyAlignment="1">
      <alignment horizontal="center" vertical="center" readingOrder="2"/>
    </xf>
    <xf numFmtId="0" fontId="17" fillId="0" borderId="1" xfId="22" applyFont="1" applyBorder="1" applyAlignment="1">
      <alignment horizontal="center" vertical="center" readingOrder="2"/>
    </xf>
    <xf numFmtId="0" fontId="17" fillId="0" borderId="9" xfId="22" applyFont="1" applyBorder="1" applyAlignment="1">
      <alignment horizontal="center" vertical="center" readingOrder="2"/>
    </xf>
    <xf numFmtId="0" fontId="5" fillId="0" borderId="0" xfId="22" applyFont="1" applyAlignment="1">
      <alignment horizontal="center" vertical="top"/>
    </xf>
    <xf numFmtId="0" fontId="10" fillId="0" borderId="0" xfId="22" applyFont="1" applyAlignment="1">
      <alignment horizontal="center" vertical="top"/>
    </xf>
    <xf numFmtId="0" fontId="4" fillId="0" borderId="0" xfId="27" applyFont="1" applyFill="1" applyBorder="1" applyAlignment="1" applyProtection="1">
      <alignment horizontal="left"/>
      <protection locked="0" hidden="1"/>
    </xf>
    <xf numFmtId="0" fontId="17" fillId="0" borderId="2" xfId="22" applyFont="1" applyBorder="1" applyAlignment="1">
      <alignment horizontal="center"/>
    </xf>
    <xf numFmtId="0" fontId="17" fillId="0" borderId="6" xfId="22" applyFont="1" applyBorder="1" applyAlignment="1">
      <alignment horizontal="center"/>
    </xf>
    <xf numFmtId="0" fontId="19" fillId="0" borderId="4" xfId="22" applyFont="1" applyBorder="1" applyAlignment="1">
      <alignment horizontal="center" vertical="center" wrapText="1"/>
    </xf>
    <xf numFmtId="0" fontId="19" fillId="0" borderId="10" xfId="22" applyFont="1" applyBorder="1" applyAlignment="1">
      <alignment horizontal="center" vertical="center" wrapText="1"/>
    </xf>
    <xf numFmtId="0" fontId="19" fillId="0" borderId="4" xfId="22" applyFont="1" applyBorder="1" applyAlignment="1">
      <alignment horizontal="center" vertical="center" wrapText="1" readingOrder="1"/>
    </xf>
    <xf numFmtId="0" fontId="19" fillId="0" borderId="10" xfId="22" applyFont="1" applyBorder="1" applyAlignment="1">
      <alignment horizontal="center" vertical="center" wrapText="1" readingOrder="1"/>
    </xf>
    <xf numFmtId="0" fontId="17" fillId="0" borderId="3" xfId="22" applyFont="1" applyBorder="1" applyAlignment="1">
      <alignment horizontal="center" vertical="center"/>
    </xf>
    <xf numFmtId="0" fontId="19" fillId="0" borderId="2" xfId="22" applyFont="1" applyBorder="1" applyAlignment="1">
      <alignment horizontal="center" vertical="center" wrapText="1"/>
    </xf>
    <xf numFmtId="0" fontId="19" fillId="0" borderId="6" xfId="22" applyFont="1" applyBorder="1" applyAlignment="1">
      <alignment horizontal="center" vertical="center" wrapText="1"/>
    </xf>
    <xf numFmtId="0" fontId="5" fillId="0" borderId="0" xfId="22" applyFont="1" applyAlignment="1">
      <alignment horizontal="center"/>
    </xf>
    <xf numFmtId="0" fontId="10" fillId="0" borderId="0" xfId="22" applyFont="1" applyAlignment="1">
      <alignment horizontal="center"/>
    </xf>
    <xf numFmtId="0" fontId="17" fillId="0" borderId="7" xfId="22" applyFont="1" applyBorder="1" applyAlignment="1">
      <alignment horizontal="center"/>
    </xf>
    <xf numFmtId="0" fontId="43" fillId="0" borderId="11" xfId="0" applyNumberFormat="1" applyFont="1" applyFill="1" applyBorder="1" applyAlignment="1" applyProtection="1">
      <alignment horizontal="center" vertical="center" wrapText="1" readingOrder="1"/>
    </xf>
    <xf numFmtId="0" fontId="43" fillId="0" borderId="8" xfId="0" applyNumberFormat="1" applyFont="1" applyFill="1" applyBorder="1" applyAlignment="1" applyProtection="1">
      <alignment horizontal="center" vertical="center" wrapText="1" readingOrder="1"/>
    </xf>
    <xf numFmtId="0" fontId="43" fillId="0" borderId="2" xfId="0" applyNumberFormat="1" applyFont="1" applyFill="1" applyBorder="1" applyAlignment="1" applyProtection="1">
      <alignment horizontal="center" wrapText="1" readingOrder="1"/>
    </xf>
    <xf numFmtId="0" fontId="43" fillId="0" borderId="6" xfId="0" applyNumberFormat="1" applyFont="1" applyFill="1" applyBorder="1" applyAlignment="1" applyProtection="1">
      <alignment horizontal="center" wrapText="1" readingOrder="1"/>
    </xf>
    <xf numFmtId="0" fontId="43" fillId="0" borderId="1" xfId="0" applyNumberFormat="1" applyFont="1" applyFill="1" applyBorder="1" applyAlignment="1" applyProtection="1">
      <alignment horizontal="center" wrapText="1" readingOrder="1"/>
    </xf>
    <xf numFmtId="0" fontId="43" fillId="0" borderId="9" xfId="0" applyNumberFormat="1" applyFont="1" applyFill="1" applyBorder="1" applyAlignment="1" applyProtection="1">
      <alignment horizontal="center" wrapText="1" readingOrder="1"/>
    </xf>
    <xf numFmtId="0" fontId="43" fillId="0" borderId="12" xfId="0" applyNumberFormat="1" applyFont="1" applyFill="1" applyBorder="1" applyAlignment="1" applyProtection="1">
      <alignment horizontal="center" vertical="center" wrapText="1" readingOrder="1"/>
    </xf>
    <xf numFmtId="166" fontId="43" fillId="0" borderId="1" xfId="0" applyFont="1" applyFill="1" applyBorder="1" applyAlignment="1" applyProtection="1">
      <alignment horizontal="center" vertical="top" wrapText="1" readingOrder="1"/>
    </xf>
    <xf numFmtId="166" fontId="43" fillId="0" borderId="9" xfId="0" applyFont="1" applyFill="1" applyBorder="1" applyAlignment="1" applyProtection="1">
      <alignment horizontal="center" vertical="top" wrapText="1" readingOrder="1"/>
    </xf>
    <xf numFmtId="166" fontId="43" fillId="0" borderId="4" xfId="0" applyFont="1" applyFill="1" applyBorder="1" applyAlignment="1" applyProtection="1">
      <alignment horizontal="center" vertical="top" wrapText="1" readingOrder="1"/>
    </xf>
    <xf numFmtId="166" fontId="43" fillId="0" borderId="10" xfId="0" applyFont="1" applyFill="1" applyBorder="1" applyAlignment="1" applyProtection="1">
      <alignment horizontal="center" vertical="top" wrapText="1" readingOrder="1"/>
    </xf>
    <xf numFmtId="0" fontId="10" fillId="0" borderId="0" xfId="0" applyNumberFormat="1" applyFont="1" applyFill="1" applyAlignment="1" applyProtection="1">
      <alignment horizontal="center" wrapText="1"/>
    </xf>
    <xf numFmtId="166" fontId="27" fillId="0" borderId="23" xfId="26" applyFont="1" applyFill="1" applyBorder="1" applyAlignment="1" applyProtection="1">
      <alignment horizontal="center" vertical="center" wrapText="1"/>
    </xf>
    <xf numFmtId="166" fontId="27" fillId="0" borderId="12" xfId="26" applyFont="1" applyFill="1" applyBorder="1" applyAlignment="1" applyProtection="1">
      <alignment horizontal="center" vertical="center" wrapText="1"/>
    </xf>
    <xf numFmtId="166" fontId="27" fillId="0" borderId="2" xfId="26" applyFont="1" applyFill="1" applyBorder="1" applyAlignment="1" applyProtection="1">
      <alignment horizontal="center" vertical="center" wrapText="1"/>
    </xf>
    <xf numFmtId="166" fontId="27" fillId="0" borderId="7" xfId="26" applyFont="1" applyFill="1" applyBorder="1" applyAlignment="1" applyProtection="1">
      <alignment horizontal="center" vertical="center" wrapText="1"/>
    </xf>
    <xf numFmtId="166" fontId="27" fillId="0" borderId="6" xfId="26" applyFont="1" applyFill="1" applyBorder="1" applyAlignment="1" applyProtection="1">
      <alignment horizontal="center" vertical="center" wrapText="1"/>
    </xf>
    <xf numFmtId="166" fontId="27" fillId="0" borderId="8" xfId="26" applyFont="1" applyFill="1" applyBorder="1" applyAlignment="1" applyProtection="1">
      <alignment horizontal="center" vertical="center" wrapText="1"/>
    </xf>
    <xf numFmtId="166" fontId="27" fillId="0" borderId="4" xfId="26" applyFont="1" applyFill="1" applyBorder="1" applyAlignment="1" applyProtection="1">
      <alignment horizontal="center" vertical="center" wrapText="1"/>
    </xf>
    <xf numFmtId="166" fontId="27" fillId="0" borderId="3" xfId="26" applyFont="1" applyFill="1" applyBorder="1" applyAlignment="1" applyProtection="1">
      <alignment horizontal="center" vertical="center" wrapText="1"/>
    </xf>
    <xf numFmtId="166" fontId="27" fillId="0" borderId="10" xfId="26" applyFont="1" applyFill="1" applyBorder="1" applyAlignment="1" applyProtection="1">
      <alignment horizontal="center" vertical="center" wrapText="1"/>
    </xf>
    <xf numFmtId="166" fontId="27" fillId="0" borderId="11" xfId="26" applyFont="1" applyFill="1" applyBorder="1" applyAlignment="1" applyProtection="1">
      <alignment horizontal="center" vertical="center" wrapText="1"/>
    </xf>
    <xf numFmtId="166" fontId="29" fillId="0" borderId="1" xfId="26" applyFont="1" applyFill="1" applyBorder="1" applyAlignment="1" applyProtection="1">
      <alignment horizontal="left"/>
    </xf>
    <xf numFmtId="166" fontId="29" fillId="0" borderId="9" xfId="26" applyFont="1" applyFill="1" applyBorder="1" applyAlignment="1" applyProtection="1">
      <alignment horizontal="left"/>
    </xf>
    <xf numFmtId="49" fontId="3" fillId="0" borderId="0" xfId="26" applyNumberFormat="1" applyFont="1" applyFill="1" applyAlignment="1" applyProtection="1">
      <alignment horizontal="center"/>
    </xf>
    <xf numFmtId="166" fontId="29" fillId="0" borderId="4" xfId="26" applyFont="1" applyFill="1" applyBorder="1" applyAlignment="1" applyProtection="1">
      <alignment horizontal="left"/>
    </xf>
    <xf numFmtId="166" fontId="29" fillId="0" borderId="10" xfId="26" applyFont="1" applyFill="1" applyBorder="1" applyAlignment="1" applyProtection="1">
      <alignment horizontal="left"/>
    </xf>
    <xf numFmtId="0" fontId="10" fillId="0" borderId="0" xfId="26" applyNumberFormat="1" applyFont="1" applyFill="1" applyAlignment="1" applyProtection="1">
      <alignment horizontal="center"/>
    </xf>
    <xf numFmtId="0" fontId="12" fillId="0" borderId="0" xfId="26" applyNumberFormat="1" applyFont="1" applyFill="1" applyAlignment="1" applyProtection="1">
      <alignment horizontal="center" readingOrder="2"/>
    </xf>
    <xf numFmtId="0" fontId="27" fillId="0" borderId="0" xfId="26" applyNumberFormat="1" applyFont="1" applyFill="1" applyAlignment="1" applyProtection="1">
      <alignment horizontal="center"/>
    </xf>
    <xf numFmtId="166" fontId="27" fillId="0" borderId="1" xfId="26" applyFont="1" applyFill="1" applyBorder="1" applyAlignment="1" applyProtection="1">
      <alignment horizontal="center" vertical="center" wrapText="1"/>
    </xf>
    <xf numFmtId="166" fontId="27" fillId="0" borderId="9" xfId="26" applyFont="1" applyFill="1" applyBorder="1" applyAlignment="1" applyProtection="1">
      <alignment horizontal="center" vertical="center" wrapText="1"/>
    </xf>
    <xf numFmtId="166" fontId="27" fillId="0" borderId="21" xfId="26" applyFont="1" applyFill="1" applyBorder="1" applyAlignment="1" applyProtection="1">
      <alignment horizontal="center" vertical="center" wrapText="1"/>
    </xf>
    <xf numFmtId="166" fontId="27" fillId="0" borderId="22" xfId="26" applyFont="1" applyFill="1" applyBorder="1" applyAlignment="1" applyProtection="1">
      <alignment horizontal="center" vertical="center" wrapText="1"/>
    </xf>
    <xf numFmtId="166" fontId="12" fillId="0" borderId="12" xfId="0" applyNumberFormat="1" applyFont="1" applyFill="1" applyBorder="1" applyAlignment="1" applyProtection="1">
      <alignment horizontal="center" vertical="center" readingOrder="2"/>
      <protection locked="0" hidden="1"/>
    </xf>
    <xf numFmtId="166" fontId="12" fillId="0" borderId="11" xfId="0" applyNumberFormat="1" applyFont="1" applyFill="1" applyBorder="1" applyAlignment="1" applyProtection="1">
      <alignment horizontal="center" vertical="center" readingOrder="2"/>
      <protection locked="0" hidden="1"/>
    </xf>
    <xf numFmtId="166" fontId="12" fillId="0" borderId="8" xfId="0" applyNumberFormat="1" applyFont="1" applyFill="1" applyBorder="1" applyAlignment="1" applyProtection="1">
      <alignment horizontal="center" vertical="center" readingOrder="2"/>
      <protection locked="0" hidden="1"/>
    </xf>
    <xf numFmtId="3" fontId="19" fillId="0" borderId="12" xfId="0" applyNumberFormat="1" applyFont="1" applyFill="1" applyBorder="1" applyAlignment="1" applyProtection="1">
      <alignment horizontal="center" vertical="center" wrapText="1"/>
      <protection locked="0" hidden="1"/>
    </xf>
    <xf numFmtId="3" fontId="19" fillId="0" borderId="11" xfId="0" applyNumberFormat="1" applyFont="1" applyFill="1" applyBorder="1" applyAlignment="1" applyProtection="1">
      <alignment horizontal="center" vertical="center" wrapText="1"/>
      <protection locked="0" hidden="1"/>
    </xf>
    <xf numFmtId="3" fontId="19" fillId="0" borderId="8" xfId="0" applyNumberFormat="1" applyFont="1" applyFill="1" applyBorder="1" applyAlignment="1" applyProtection="1">
      <alignment horizontal="center" vertical="center" wrapText="1"/>
      <protection locked="0" hidden="1"/>
    </xf>
    <xf numFmtId="1" fontId="7" fillId="0" borderId="12" xfId="0" applyNumberFormat="1" applyFont="1" applyFill="1" applyBorder="1" applyAlignment="1" applyProtection="1">
      <alignment horizontal="center" vertical="top"/>
      <protection locked="0" hidden="1"/>
    </xf>
    <xf numFmtId="1" fontId="7" fillId="0" borderId="11" xfId="0" applyNumberFormat="1" applyFont="1" applyFill="1" applyBorder="1" applyAlignment="1" applyProtection="1">
      <alignment horizontal="center" vertical="top"/>
      <protection locked="0" hidden="1"/>
    </xf>
    <xf numFmtId="1" fontId="7" fillId="0" borderId="8" xfId="0" applyNumberFormat="1" applyFont="1" applyFill="1" applyBorder="1" applyAlignment="1" applyProtection="1">
      <alignment horizontal="center" vertical="top"/>
      <protection locked="0" hidden="1"/>
    </xf>
    <xf numFmtId="1" fontId="7" fillId="0" borderId="12" xfId="0" applyNumberFormat="1" applyFont="1" applyFill="1" applyBorder="1" applyAlignment="1" applyProtection="1">
      <alignment horizontal="center" vertical="center"/>
      <protection locked="0" hidden="1"/>
    </xf>
    <xf numFmtId="1" fontId="7" fillId="0" borderId="11" xfId="0" applyNumberFormat="1" applyFont="1" applyFill="1" applyBorder="1" applyAlignment="1" applyProtection="1">
      <alignment horizontal="center" vertical="center"/>
      <protection locked="0" hidden="1"/>
    </xf>
    <xf numFmtId="1" fontId="7" fillId="0" borderId="8" xfId="0" applyNumberFormat="1" applyFont="1" applyFill="1" applyBorder="1" applyAlignment="1" applyProtection="1">
      <alignment horizontal="center" vertical="center"/>
      <protection locked="0" hidden="1"/>
    </xf>
    <xf numFmtId="1" fontId="7" fillId="0" borderId="2" xfId="0" applyNumberFormat="1" applyFont="1" applyFill="1" applyBorder="1" applyAlignment="1" applyProtection="1">
      <alignment horizontal="center" vertical="center"/>
      <protection locked="0" hidden="1"/>
    </xf>
    <xf numFmtId="1" fontId="7" fillId="0" borderId="7" xfId="0" applyNumberFormat="1" applyFont="1" applyFill="1" applyBorder="1" applyAlignment="1" applyProtection="1">
      <alignment horizontal="center" vertical="center"/>
      <protection locked="0" hidden="1"/>
    </xf>
    <xf numFmtId="1" fontId="7" fillId="0" borderId="6" xfId="0" applyNumberFormat="1" applyFont="1" applyFill="1" applyBorder="1" applyAlignment="1" applyProtection="1">
      <alignment horizontal="center" vertical="center"/>
      <protection locked="0" hidden="1"/>
    </xf>
    <xf numFmtId="1" fontId="7" fillId="0" borderId="4" xfId="0" applyNumberFormat="1" applyFont="1" applyFill="1" applyBorder="1" applyAlignment="1" applyProtection="1">
      <alignment horizontal="center" vertical="center"/>
      <protection locked="0" hidden="1"/>
    </xf>
    <xf numFmtId="1" fontId="7" fillId="0" borderId="3" xfId="0" applyNumberFormat="1" applyFont="1" applyFill="1" applyBorder="1" applyAlignment="1" applyProtection="1">
      <alignment horizontal="center" vertical="center"/>
      <protection locked="0" hidden="1"/>
    </xf>
    <xf numFmtId="1" fontId="7" fillId="0" borderId="10" xfId="0" applyNumberFormat="1" applyFont="1" applyFill="1" applyBorder="1" applyAlignment="1" applyProtection="1">
      <alignment horizontal="center" vertical="center"/>
      <protection locked="0" hidden="1"/>
    </xf>
    <xf numFmtId="1" fontId="7" fillId="0" borderId="1" xfId="0" applyNumberFormat="1" applyFont="1" applyFill="1" applyBorder="1" applyAlignment="1" applyProtection="1">
      <alignment horizontal="center" vertical="center"/>
      <protection locked="0" hidden="1"/>
    </xf>
    <xf numFmtId="1" fontId="7" fillId="0" borderId="0" xfId="0" applyNumberFormat="1" applyFont="1" applyFill="1" applyBorder="1" applyAlignment="1" applyProtection="1">
      <alignment horizontal="center" vertical="center"/>
      <protection locked="0" hidden="1"/>
    </xf>
    <xf numFmtId="1" fontId="7" fillId="0" borderId="9" xfId="0" applyNumberFormat="1" applyFont="1" applyFill="1" applyBorder="1" applyAlignment="1" applyProtection="1">
      <alignment horizontal="center" vertical="center"/>
      <protection locked="0" hidden="1"/>
    </xf>
    <xf numFmtId="166" fontId="39" fillId="0" borderId="12" xfId="0" applyNumberFormat="1" applyFont="1" applyFill="1" applyBorder="1" applyAlignment="1" applyProtection="1">
      <alignment horizontal="center" vertical="center"/>
      <protection locked="0" hidden="1"/>
    </xf>
    <xf numFmtId="166" fontId="39" fillId="0" borderId="11" xfId="0" applyNumberFormat="1" applyFont="1" applyFill="1" applyBorder="1" applyAlignment="1" applyProtection="1">
      <alignment horizontal="center" vertical="center"/>
      <protection locked="0" hidden="1"/>
    </xf>
    <xf numFmtId="166" fontId="39" fillId="0" borderId="8" xfId="0" applyNumberFormat="1" applyFont="1" applyFill="1" applyBorder="1" applyAlignment="1" applyProtection="1">
      <alignment horizontal="center" vertical="center"/>
      <protection locked="0" hidden="1"/>
    </xf>
    <xf numFmtId="166" fontId="27" fillId="0" borderId="12" xfId="0" applyNumberFormat="1" applyFont="1" applyFill="1" applyBorder="1" applyAlignment="1" applyProtection="1">
      <alignment horizontal="center" vertical="center" wrapText="1"/>
      <protection locked="0" hidden="1"/>
    </xf>
    <xf numFmtId="166" fontId="27" fillId="0" borderId="11" xfId="0" applyNumberFormat="1" applyFont="1" applyFill="1" applyBorder="1" applyAlignment="1" applyProtection="1">
      <alignment horizontal="center" vertical="center" wrapText="1"/>
      <protection locked="0" hidden="1"/>
    </xf>
    <xf numFmtId="166" fontId="27" fillId="0" borderId="8" xfId="0" applyNumberFormat="1" applyFont="1" applyFill="1" applyBorder="1" applyAlignment="1" applyProtection="1">
      <alignment horizontal="center" vertical="center" wrapText="1"/>
      <protection locked="0" hidden="1"/>
    </xf>
    <xf numFmtId="166" fontId="27" fillId="0" borderId="12" xfId="0" applyNumberFormat="1" applyFont="1" applyFill="1" applyBorder="1" applyAlignment="1" applyProtection="1">
      <alignment horizontal="center" vertical="center"/>
      <protection locked="0" hidden="1"/>
    </xf>
    <xf numFmtId="166" fontId="27" fillId="0" borderId="11" xfId="0" applyNumberFormat="1" applyFont="1" applyFill="1" applyBorder="1" applyAlignment="1" applyProtection="1">
      <alignment horizontal="center" vertical="center"/>
      <protection locked="0" hidden="1"/>
    </xf>
    <xf numFmtId="166" fontId="3" fillId="2" borderId="8" xfId="0" applyFont="1" applyBorder="1" applyAlignment="1" applyProtection="1">
      <alignment horizontal="center" vertical="center"/>
    </xf>
    <xf numFmtId="166" fontId="27" fillId="0" borderId="21" xfId="0" applyNumberFormat="1" applyFont="1" applyFill="1" applyBorder="1" applyAlignment="1" applyProtection="1">
      <alignment horizontal="center" vertical="center"/>
      <protection locked="0" hidden="1"/>
    </xf>
    <xf numFmtId="166" fontId="27" fillId="0" borderId="5" xfId="0" applyNumberFormat="1" applyFont="1" applyFill="1" applyBorder="1" applyAlignment="1" applyProtection="1">
      <alignment horizontal="center" vertical="center"/>
      <protection locked="0" hidden="1"/>
    </xf>
    <xf numFmtId="166" fontId="27" fillId="0" borderId="22" xfId="0" applyNumberFormat="1" applyFont="1" applyFill="1" applyBorder="1" applyAlignment="1" applyProtection="1">
      <alignment horizontal="center" vertical="center"/>
      <protection locked="0" hidden="1"/>
    </xf>
    <xf numFmtId="166" fontId="27" fillId="0" borderId="2" xfId="0" applyNumberFormat="1" applyFont="1" applyFill="1" applyBorder="1" applyAlignment="1" applyProtection="1">
      <alignment horizontal="center" vertical="center"/>
      <protection locked="0" hidden="1"/>
    </xf>
    <xf numFmtId="166" fontId="27" fillId="0" borderId="7" xfId="0" applyNumberFormat="1" applyFont="1" applyFill="1" applyBorder="1" applyAlignment="1" applyProtection="1">
      <alignment horizontal="center" vertical="center"/>
      <protection locked="0" hidden="1"/>
    </xf>
    <xf numFmtId="166" fontId="27" fillId="0" borderId="6" xfId="0" applyNumberFormat="1" applyFont="1" applyFill="1" applyBorder="1" applyAlignment="1" applyProtection="1">
      <alignment horizontal="center" vertical="center"/>
      <protection locked="0" hidden="1"/>
    </xf>
    <xf numFmtId="0" fontId="10" fillId="0" borderId="11" xfId="22" applyFont="1" applyBorder="1" applyAlignment="1">
      <alignment horizontal="center" vertical="center"/>
    </xf>
    <xf numFmtId="0" fontId="10" fillId="0" borderId="8" xfId="22" applyFont="1" applyBorder="1" applyAlignment="1">
      <alignment horizontal="center" vertical="center"/>
    </xf>
    <xf numFmtId="166" fontId="7" fillId="0" borderId="12" xfId="0" applyFont="1" applyFill="1" applyBorder="1" applyAlignment="1">
      <alignment horizontal="center" wrapText="1" readingOrder="2"/>
      <protection locked="0" hidden="1"/>
    </xf>
    <xf numFmtId="166" fontId="7" fillId="0" borderId="11" xfId="0" applyFont="1" applyFill="1" applyBorder="1" applyAlignment="1">
      <alignment horizontal="center" wrapText="1" readingOrder="2"/>
      <protection locked="0" hidden="1"/>
    </xf>
    <xf numFmtId="166" fontId="6" fillId="0" borderId="0" xfId="0" applyFont="1" applyFill="1" applyAlignment="1">
      <alignment horizontal="center" vertical="center" textRotation="90"/>
      <protection locked="0" hidden="1"/>
    </xf>
  </cellXfs>
  <cellStyles count="29">
    <cellStyle name="%" xfId="1" xr:uid="{00000000-0005-0000-0000-000000000000}"/>
    <cellStyle name="Comma 2" xfId="2" xr:uid="{00000000-0005-0000-0000-000001000000}"/>
    <cellStyle name="Comma 3" xfId="3" xr:uid="{00000000-0005-0000-0000-000002000000}"/>
    <cellStyle name="Comma 4" xfId="4" xr:uid="{00000000-0005-0000-0000-000003000000}"/>
    <cellStyle name="Currency 2" xfId="5" xr:uid="{00000000-0005-0000-0000-000004000000}"/>
    <cellStyle name="Microsoft Excel found an error in the formula you entered. Do you want to accept the correction proposed below?_x000a__x000a_|_x000a__x000a_• To accept the correction, click Yes._x000a_• To close this message and correct the formula yourself, click No." xfId="6" xr:uid="{00000000-0005-0000-0000-000005000000}"/>
    <cellStyle name="MS_Arabic" xfId="7" xr:uid="{00000000-0005-0000-0000-000006000000}"/>
    <cellStyle name="MS_Latin" xfId="8" xr:uid="{00000000-0005-0000-0000-000007000000}"/>
    <cellStyle name="Normal" xfId="0" builtinId="0"/>
    <cellStyle name="Normal 2" xfId="9" xr:uid="{00000000-0005-0000-0000-000009000000}"/>
    <cellStyle name="Normal 2 2" xfId="10" xr:uid="{00000000-0005-0000-0000-00000A000000}"/>
    <cellStyle name="Normal 2 2 2" xfId="11" xr:uid="{00000000-0005-0000-0000-00000B000000}"/>
    <cellStyle name="Normal 2 3" xfId="12" xr:uid="{00000000-0005-0000-0000-00000C000000}"/>
    <cellStyle name="Normal 2 4" xfId="13" xr:uid="{00000000-0005-0000-0000-00000D000000}"/>
    <cellStyle name="Normal 3" xfId="14" xr:uid="{00000000-0005-0000-0000-00000E000000}"/>
    <cellStyle name="Normal 3 2" xfId="15" xr:uid="{00000000-0005-0000-0000-00000F000000}"/>
    <cellStyle name="Normal 4" xfId="16" xr:uid="{00000000-0005-0000-0000-000010000000}"/>
    <cellStyle name="Normal 5" xfId="17" xr:uid="{00000000-0005-0000-0000-000011000000}"/>
    <cellStyle name="Normal 6" xfId="26" xr:uid="{00000000-0005-0000-0000-000012000000}"/>
    <cellStyle name="Normal 7" xfId="27" xr:uid="{00000000-0005-0000-0000-000013000000}"/>
    <cellStyle name="Normal 8" xfId="28" xr:uid="{00000000-0005-0000-0000-000014000000}"/>
    <cellStyle name="Normal_Sheet1" xfId="18" xr:uid="{00000000-0005-0000-0000-000015000000}"/>
    <cellStyle name="Normal_TABLE21 (2)" xfId="19" xr:uid="{00000000-0005-0000-0000-000016000000}"/>
    <cellStyle name="Normal_TABLE22 (2)" xfId="20" xr:uid="{00000000-0005-0000-0000-000017000000}"/>
    <cellStyle name="Normal_TABLE27" xfId="21" xr:uid="{00000000-0005-0000-0000-000018000000}"/>
    <cellStyle name="Normal_TABLE8 (2)" xfId="22" xr:uid="{00000000-0005-0000-0000-000019000000}"/>
    <cellStyle name="Percent 2" xfId="23" xr:uid="{00000000-0005-0000-0000-00001A000000}"/>
    <cellStyle name="Percent 3" xfId="24" xr:uid="{00000000-0005-0000-0000-00001B000000}"/>
    <cellStyle name="Style 1" xfId="25" xr:uid="{00000000-0005-0000-0000-00001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60.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externalLink" Target="externalLinks/externalLink6.xml"/><Relationship Id="rId84" Type="http://schemas.openxmlformats.org/officeDocument/2006/relationships/externalLink" Target="externalLinks/externalLink27.xml"/><Relationship Id="rId138" Type="http://schemas.openxmlformats.org/officeDocument/2006/relationships/externalLink" Target="externalLinks/externalLink81.xml"/><Relationship Id="rId107" Type="http://schemas.openxmlformats.org/officeDocument/2006/relationships/externalLink" Target="externalLinks/externalLink50.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externalLink" Target="externalLinks/externalLink17.xml"/><Relationship Id="rId128" Type="http://schemas.openxmlformats.org/officeDocument/2006/relationships/externalLink" Target="externalLinks/externalLink71.xml"/><Relationship Id="rId5" Type="http://schemas.openxmlformats.org/officeDocument/2006/relationships/worksheet" Target="worksheets/sheet5.xml"/><Relationship Id="rId90" Type="http://schemas.openxmlformats.org/officeDocument/2006/relationships/externalLink" Target="externalLinks/externalLink33.xml"/><Relationship Id="rId95" Type="http://schemas.openxmlformats.org/officeDocument/2006/relationships/externalLink" Target="externalLinks/externalLink38.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externalLink" Target="externalLinks/externalLink7.xml"/><Relationship Id="rId69" Type="http://schemas.openxmlformats.org/officeDocument/2006/relationships/externalLink" Target="externalLinks/externalLink12.xml"/><Relationship Id="rId113" Type="http://schemas.openxmlformats.org/officeDocument/2006/relationships/externalLink" Target="externalLinks/externalLink56.xml"/><Relationship Id="rId118" Type="http://schemas.openxmlformats.org/officeDocument/2006/relationships/externalLink" Target="externalLinks/externalLink61.xml"/><Relationship Id="rId134" Type="http://schemas.openxmlformats.org/officeDocument/2006/relationships/externalLink" Target="externalLinks/externalLink77.xml"/><Relationship Id="rId139" Type="http://schemas.openxmlformats.org/officeDocument/2006/relationships/externalLink" Target="externalLinks/externalLink82.xml"/><Relationship Id="rId80" Type="http://schemas.openxmlformats.org/officeDocument/2006/relationships/externalLink" Target="externalLinks/externalLink23.xml"/><Relationship Id="rId85" Type="http://schemas.openxmlformats.org/officeDocument/2006/relationships/externalLink" Target="externalLinks/externalLink28.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externalLink" Target="externalLinks/externalLink2.xml"/><Relationship Id="rId103" Type="http://schemas.openxmlformats.org/officeDocument/2006/relationships/externalLink" Target="externalLinks/externalLink46.xml"/><Relationship Id="rId108" Type="http://schemas.openxmlformats.org/officeDocument/2006/relationships/externalLink" Target="externalLinks/externalLink51.xml"/><Relationship Id="rId124" Type="http://schemas.openxmlformats.org/officeDocument/2006/relationships/externalLink" Target="externalLinks/externalLink67.xml"/><Relationship Id="rId129" Type="http://schemas.openxmlformats.org/officeDocument/2006/relationships/externalLink" Target="externalLinks/externalLink72.xml"/><Relationship Id="rId54" Type="http://schemas.openxmlformats.org/officeDocument/2006/relationships/worksheet" Target="worksheets/sheet54.xml"/><Relationship Id="rId70" Type="http://schemas.openxmlformats.org/officeDocument/2006/relationships/externalLink" Target="externalLinks/externalLink13.xml"/><Relationship Id="rId75" Type="http://schemas.openxmlformats.org/officeDocument/2006/relationships/externalLink" Target="externalLinks/externalLink18.xml"/><Relationship Id="rId91" Type="http://schemas.openxmlformats.org/officeDocument/2006/relationships/externalLink" Target="externalLinks/externalLink34.xml"/><Relationship Id="rId96" Type="http://schemas.openxmlformats.org/officeDocument/2006/relationships/externalLink" Target="externalLinks/externalLink39.xml"/><Relationship Id="rId140" Type="http://schemas.openxmlformats.org/officeDocument/2006/relationships/externalLink" Target="externalLinks/externalLink83.xml"/><Relationship Id="rId14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57.xml"/><Relationship Id="rId119" Type="http://schemas.openxmlformats.org/officeDocument/2006/relationships/externalLink" Target="externalLinks/externalLink62.xml"/><Relationship Id="rId44" Type="http://schemas.openxmlformats.org/officeDocument/2006/relationships/worksheet" Target="worksheets/sheet44.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81" Type="http://schemas.openxmlformats.org/officeDocument/2006/relationships/externalLink" Target="externalLinks/externalLink24.xml"/><Relationship Id="rId86" Type="http://schemas.openxmlformats.org/officeDocument/2006/relationships/externalLink" Target="externalLinks/externalLink29.xml"/><Relationship Id="rId130" Type="http://schemas.openxmlformats.org/officeDocument/2006/relationships/externalLink" Target="externalLinks/externalLink73.xml"/><Relationship Id="rId135" Type="http://schemas.openxmlformats.org/officeDocument/2006/relationships/externalLink" Target="externalLinks/externalLink78.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5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9.xml"/><Relationship Id="rId97" Type="http://schemas.openxmlformats.org/officeDocument/2006/relationships/externalLink" Target="externalLinks/externalLink40.xml"/><Relationship Id="rId104" Type="http://schemas.openxmlformats.org/officeDocument/2006/relationships/externalLink" Target="externalLinks/externalLink47.xml"/><Relationship Id="rId120" Type="http://schemas.openxmlformats.org/officeDocument/2006/relationships/externalLink" Target="externalLinks/externalLink63.xml"/><Relationship Id="rId125" Type="http://schemas.openxmlformats.org/officeDocument/2006/relationships/externalLink" Target="externalLinks/externalLink68.xml"/><Relationship Id="rId141" Type="http://schemas.openxmlformats.org/officeDocument/2006/relationships/theme" Target="theme/theme1.xml"/><Relationship Id="rId14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externalLink" Target="externalLinks/externalLink14.xml"/><Relationship Id="rId92" Type="http://schemas.openxmlformats.org/officeDocument/2006/relationships/externalLink" Target="externalLinks/externalLink35.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9.xml"/><Relationship Id="rId87" Type="http://schemas.openxmlformats.org/officeDocument/2006/relationships/externalLink" Target="externalLinks/externalLink30.xml"/><Relationship Id="rId110" Type="http://schemas.openxmlformats.org/officeDocument/2006/relationships/externalLink" Target="externalLinks/externalLink53.xml"/><Relationship Id="rId115" Type="http://schemas.openxmlformats.org/officeDocument/2006/relationships/externalLink" Target="externalLinks/externalLink58.xml"/><Relationship Id="rId131" Type="http://schemas.openxmlformats.org/officeDocument/2006/relationships/externalLink" Target="externalLinks/externalLink74.xml"/><Relationship Id="rId136" Type="http://schemas.openxmlformats.org/officeDocument/2006/relationships/externalLink" Target="externalLinks/externalLink79.xml"/><Relationship Id="rId61" Type="http://schemas.openxmlformats.org/officeDocument/2006/relationships/externalLink" Target="externalLinks/externalLink4.xml"/><Relationship Id="rId82" Type="http://schemas.openxmlformats.org/officeDocument/2006/relationships/externalLink" Target="externalLinks/externalLink25.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20.xml"/><Relationship Id="rId100" Type="http://schemas.openxmlformats.org/officeDocument/2006/relationships/externalLink" Target="externalLinks/externalLink43.xml"/><Relationship Id="rId105" Type="http://schemas.openxmlformats.org/officeDocument/2006/relationships/externalLink" Target="externalLinks/externalLink48.xml"/><Relationship Id="rId126" Type="http://schemas.openxmlformats.org/officeDocument/2006/relationships/externalLink" Target="externalLinks/externalLink69.xml"/><Relationship Id="rId14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5.xml"/><Relationship Id="rId93" Type="http://schemas.openxmlformats.org/officeDocument/2006/relationships/externalLink" Target="externalLinks/externalLink36.xml"/><Relationship Id="rId98" Type="http://schemas.openxmlformats.org/officeDocument/2006/relationships/externalLink" Target="externalLinks/externalLink41.xml"/><Relationship Id="rId121" Type="http://schemas.openxmlformats.org/officeDocument/2006/relationships/externalLink" Target="externalLinks/externalLink64.xml"/><Relationship Id="rId142"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10.xml"/><Relationship Id="rId116" Type="http://schemas.openxmlformats.org/officeDocument/2006/relationships/externalLink" Target="externalLinks/externalLink59.xml"/><Relationship Id="rId137" Type="http://schemas.openxmlformats.org/officeDocument/2006/relationships/externalLink" Target="externalLinks/externalLink80.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5.xml"/><Relationship Id="rId83" Type="http://schemas.openxmlformats.org/officeDocument/2006/relationships/externalLink" Target="externalLinks/externalLink26.xml"/><Relationship Id="rId88" Type="http://schemas.openxmlformats.org/officeDocument/2006/relationships/externalLink" Target="externalLinks/externalLink31.xml"/><Relationship Id="rId111" Type="http://schemas.openxmlformats.org/officeDocument/2006/relationships/externalLink" Target="externalLinks/externalLink54.xml"/><Relationship Id="rId132" Type="http://schemas.openxmlformats.org/officeDocument/2006/relationships/externalLink" Target="externalLinks/externalLink75.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49.xml"/><Relationship Id="rId127" Type="http://schemas.openxmlformats.org/officeDocument/2006/relationships/externalLink" Target="externalLinks/externalLink70.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externalLink" Target="externalLinks/externalLink16.xml"/><Relationship Id="rId78" Type="http://schemas.openxmlformats.org/officeDocument/2006/relationships/externalLink" Target="externalLinks/externalLink21.xml"/><Relationship Id="rId94" Type="http://schemas.openxmlformats.org/officeDocument/2006/relationships/externalLink" Target="externalLinks/externalLink37.xml"/><Relationship Id="rId99" Type="http://schemas.openxmlformats.org/officeDocument/2006/relationships/externalLink" Target="externalLinks/externalLink42.xml"/><Relationship Id="rId101" Type="http://schemas.openxmlformats.org/officeDocument/2006/relationships/externalLink" Target="externalLinks/externalLink44.xml"/><Relationship Id="rId122" Type="http://schemas.openxmlformats.org/officeDocument/2006/relationships/externalLink" Target="externalLinks/externalLink65.xml"/><Relationship Id="rId14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externalLink" Target="externalLinks/externalLink11.xml"/><Relationship Id="rId89" Type="http://schemas.openxmlformats.org/officeDocument/2006/relationships/externalLink" Target="externalLinks/externalLink32.xml"/><Relationship Id="rId112" Type="http://schemas.openxmlformats.org/officeDocument/2006/relationships/externalLink" Target="externalLinks/externalLink55.xml"/><Relationship Id="rId133" Type="http://schemas.openxmlformats.org/officeDocument/2006/relationships/externalLink" Target="externalLinks/externalLink76.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externalLink" Target="externalLinks/externalLink1.xml"/><Relationship Id="rId79" Type="http://schemas.openxmlformats.org/officeDocument/2006/relationships/externalLink" Target="externalLinks/externalLink22.xml"/><Relationship Id="rId102" Type="http://schemas.openxmlformats.org/officeDocument/2006/relationships/externalLink" Target="externalLinks/externalLink45.xml"/><Relationship Id="rId123" Type="http://schemas.openxmlformats.org/officeDocument/2006/relationships/externalLink" Target="externalLinks/externalLink66.xml"/><Relationship Id="rId14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10</xdr:row>
      <xdr:rowOff>152400</xdr:rowOff>
    </xdr:from>
    <xdr:to>
      <xdr:col>11</xdr:col>
      <xdr:colOff>0</xdr:colOff>
      <xdr:row>10</xdr:row>
      <xdr:rowOff>152400</xdr:rowOff>
    </xdr:to>
    <xdr:sp macro="" textlink="">
      <xdr:nvSpPr>
        <xdr:cNvPr id="54733" name="Line 1">
          <a:extLst>
            <a:ext uri="{FF2B5EF4-FFF2-40B4-BE49-F238E27FC236}">
              <a16:creationId xmlns:a16="http://schemas.microsoft.com/office/drawing/2014/main" id="{00000000-0008-0000-1900-0000CDD50000}"/>
            </a:ext>
          </a:extLst>
        </xdr:cNvPr>
        <xdr:cNvSpPr>
          <a:spLocks noChangeShapeType="1"/>
        </xdr:cNvSpPr>
      </xdr:nvSpPr>
      <xdr:spPr bwMode="auto">
        <a:xfrm flipH="1">
          <a:off x="12268200" y="148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Excel\Consall\Jun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SEP2019\CONS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OCT2019\CONS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NOV2019\CONS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DEC2019\CONS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JAN2020\CONS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FEB2020\CONS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Mar2020\CONS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Apr2020\CONS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Apr2019\CONSRT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May2019\CONS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Excel\Consall\Sep2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Jun2019\CONSR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Jul2019\CONSRT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Aug2019\CONSR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Sep2019\CONSRT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OCT2019\CONSRT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NOV2019\CONSRT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DEC2019\CONSRT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JAN2020\CONSRT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FEB2020\CONSRT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mar2020\CONS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Excel\Consall\Dec201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RATES\apr2020\CONSRT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Statistics%20Unit\Financing%20Companies\Financing%20Companies%20Consolidat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APR2019\CONSF.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MAY2019\CONS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JUN2019\CONSF.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JUL2019\CONSF.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AUG2019\CONSF.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SEP2019\CONSF.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OCT2019\CONSF.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NOV2019\CONS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Excel\Consall\Mar20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DEC2019\CONSF.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JAN2020\CONS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Feb2020\CONSF.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Mar2020\CONSF.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Islamic%20Window\Apr2020\CONSF.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APR201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MAY20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JUN201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JUL201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Aug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APR2019\CONSF.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Sep201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OCT201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NOV201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DEC201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JAN202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Feb202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Mar202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WHOLESALE\Apr202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APR2019\CONSF.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MAY2019\CON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MAY2019\CONSF.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JUN2019\CONSF.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JUL2019\CONSF.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AUG2019\CONSF.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Sep2019\CONSF.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OCT2019\CONSF.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NOV2019\CONSF.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DEC2019\CONSF.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JAN2020\CONSF.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FEB2020\CONSF.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Mar2020\CONS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JUN2019\CONSF.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Is\Apr2020\CONSF.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Apr2019\con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May2019\cons.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Jun2019\cons.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Jul2019\cons.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Aug2019\cons.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Sep2019\cons.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Oct2019\cons.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Nov2019\cons.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Dec2019\c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JUL2019\CONSF.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Jan2020\cons.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Feb2020\cons.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Mar2020\cons.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nada\POS1\Apr2020\con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mah\Central%20Bank%20of%20Bahrain\Statistical%20Unit%20-%20General\erd_ras%20(cbbdfs1)\Final%20srRE\AUG2019\CON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34">
          <cell r="I34">
            <v>22999.472839431633</v>
          </cell>
        </row>
        <row r="36">
          <cell r="I36">
            <v>6238.7650857961235</v>
          </cell>
        </row>
      </sheetData>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11.507724066</v>
          </cell>
          <cell r="D14">
            <v>155.815</v>
          </cell>
        </row>
        <row r="18">
          <cell r="C18">
            <v>290.370733766</v>
          </cell>
          <cell r="D18">
            <v>780.42321659900006</v>
          </cell>
        </row>
        <row r="23">
          <cell r="C23">
            <v>1249.5752119393696</v>
          </cell>
          <cell r="D23">
            <v>232.494712212</v>
          </cell>
        </row>
        <row r="24">
          <cell r="C24">
            <v>621.78354146499998</v>
          </cell>
          <cell r="D24">
            <v>95.568814691</v>
          </cell>
        </row>
        <row r="25">
          <cell r="C25">
            <v>142.27033279030002</v>
          </cell>
          <cell r="D25">
            <v>476.01565842683993</v>
          </cell>
        </row>
        <row r="26">
          <cell r="C26">
            <v>256.83683708000001</v>
          </cell>
          <cell r="D26">
            <v>161.86281545314</v>
          </cell>
        </row>
        <row r="27">
          <cell r="C27">
            <v>2393.0503519859999</v>
          </cell>
          <cell r="D27">
            <v>1264.17742125666</v>
          </cell>
        </row>
        <row r="28">
          <cell r="C28">
            <v>5251.6121832145045</v>
          </cell>
          <cell r="D28">
            <v>1051.4990021812885</v>
          </cell>
        </row>
        <row r="29">
          <cell r="C29">
            <v>238.51554779800011</v>
          </cell>
          <cell r="D29">
            <v>29.362999999999996</v>
          </cell>
        </row>
        <row r="30">
          <cell r="C30">
            <v>0</v>
          </cell>
          <cell r="D30">
            <v>6.8</v>
          </cell>
        </row>
        <row r="31">
          <cell r="C31">
            <v>1E-3</v>
          </cell>
          <cell r="D31">
            <v>7.3780080500000009</v>
          </cell>
        </row>
        <row r="33">
          <cell r="C33">
            <v>257.75841172887004</v>
          </cell>
          <cell r="D33">
            <v>97.292072749300004</v>
          </cell>
        </row>
        <row r="34">
          <cell r="C34">
            <v>1594.4125332680001</v>
          </cell>
          <cell r="D34">
            <v>408.27901542106019</v>
          </cell>
        </row>
        <row r="36">
          <cell r="C36">
            <v>1090.4915818512457</v>
          </cell>
          <cell r="D36">
            <v>92.138852382663188</v>
          </cell>
        </row>
        <row r="37">
          <cell r="C37">
            <v>315.36930129889049</v>
          </cell>
          <cell r="D37">
            <v>387.25083316651848</v>
          </cell>
        </row>
        <row r="38">
          <cell r="C38">
            <v>13713.556171252179</v>
          </cell>
          <cell r="D38">
            <v>5246.3584225894701</v>
          </cell>
          <cell r="E38">
            <v>728.93780271966114</v>
          </cell>
          <cell r="F38">
            <v>9226.3060423958323</v>
          </cell>
          <cell r="G38">
            <v>585.07769947942847</v>
          </cell>
          <cell r="H38">
            <v>5212.9067964489805</v>
          </cell>
          <cell r="I38">
            <v>34713.142934885545</v>
          </cell>
        </row>
        <row r="40">
          <cell r="I40">
            <v>7223.3873903425301</v>
          </cell>
        </row>
        <row r="68">
          <cell r="C68">
            <v>135.00869884836879</v>
          </cell>
          <cell r="D68">
            <v>5.0572324711551264</v>
          </cell>
        </row>
        <row r="69">
          <cell r="C69">
            <v>1286.8829621599998</v>
          </cell>
          <cell r="D69">
            <v>2.0000001E-2</v>
          </cell>
        </row>
        <row r="72">
          <cell r="C72">
            <v>461.41691312736651</v>
          </cell>
          <cell r="D72">
            <v>583.58900349220835</v>
          </cell>
        </row>
        <row r="76">
          <cell r="C76">
            <v>7865.0906616039447</v>
          </cell>
          <cell r="D76">
            <v>1918.520096689896</v>
          </cell>
        </row>
        <row r="77">
          <cell r="C77">
            <v>230.44597830000004</v>
          </cell>
          <cell r="D77">
            <v>40.206566926999997</v>
          </cell>
        </row>
        <row r="78">
          <cell r="C78">
            <v>0</v>
          </cell>
          <cell r="D78">
            <v>0</v>
          </cell>
        </row>
        <row r="79">
          <cell r="C79">
            <v>95.343435957548834</v>
          </cell>
          <cell r="D79">
            <v>145.48517680178847</v>
          </cell>
        </row>
        <row r="80">
          <cell r="C80">
            <v>25.882477023</v>
          </cell>
          <cell r="D80">
            <v>438.726844583</v>
          </cell>
        </row>
        <row r="81">
          <cell r="C81">
            <v>2855.1797950631403</v>
          </cell>
          <cell r="D81">
            <v>986.84458661931808</v>
          </cell>
        </row>
        <row r="82">
          <cell r="C82">
            <v>4560.1889752602547</v>
          </cell>
          <cell r="D82">
            <v>283.89692175878952</v>
          </cell>
        </row>
        <row r="83">
          <cell r="C83">
            <v>98.049999999999969</v>
          </cell>
          <cell r="D83">
            <v>23.36</v>
          </cell>
        </row>
        <row r="84">
          <cell r="E84">
            <v>2.6999999999466002</v>
          </cell>
          <cell r="F84">
            <v>2982.2013057711169</v>
          </cell>
          <cell r="G84">
            <v>1.1990930820000001</v>
          </cell>
          <cell r="H84">
            <v>2317.1794242207402</v>
          </cell>
        </row>
        <row r="86">
          <cell r="C86">
            <v>4068.2741051560001</v>
          </cell>
          <cell r="D86">
            <v>1303.5997076268236</v>
          </cell>
        </row>
        <row r="89">
          <cell r="C89">
            <v>0</v>
          </cell>
          <cell r="D89">
            <v>149.51622879213997</v>
          </cell>
        </row>
        <row r="92">
          <cell r="C92">
            <v>352.52965644380407</v>
          </cell>
          <cell r="D92">
            <v>49.768883398999996</v>
          </cell>
        </row>
        <row r="93">
          <cell r="C93">
            <v>0.11800000000000001</v>
          </cell>
          <cell r="D93">
            <v>26.421026999999999</v>
          </cell>
        </row>
        <row r="95">
          <cell r="C95">
            <v>109.56755986982452</v>
          </cell>
          <cell r="D95">
            <v>891.23452915472137</v>
          </cell>
        </row>
        <row r="96">
          <cell r="C96">
            <v>140.33985084635972</v>
          </cell>
          <cell r="D96">
            <v>11.154303246</v>
          </cell>
        </row>
        <row r="97">
          <cell r="C97">
            <v>543.36236976732857</v>
          </cell>
          <cell r="D97">
            <v>182.63761413970889</v>
          </cell>
        </row>
        <row r="98">
          <cell r="C98">
            <v>14962.589903849712</v>
          </cell>
          <cell r="D98">
            <v>5121.5186260126538</v>
          </cell>
          <cell r="E98">
            <v>335.73626427983532</v>
          </cell>
          <cell r="F98">
            <v>8157.1117255408763</v>
          </cell>
          <cell r="G98">
            <v>61.523602133853046</v>
          </cell>
          <cell r="H98">
            <v>6074.6841858099169</v>
          </cell>
          <cell r="I98">
            <v>34713.164307626852</v>
          </cell>
        </row>
        <row r="100">
          <cell r="I100">
            <v>7207.7946016581354</v>
          </cell>
        </row>
      </sheetData>
      <sheetData sheetId="1">
        <row r="15">
          <cell r="C15">
            <v>768.84617447400001</v>
          </cell>
          <cell r="D15">
            <v>604.29256646900001</v>
          </cell>
          <cell r="E15">
            <v>142.21620364530003</v>
          </cell>
          <cell r="F15">
            <v>256.72395351699998</v>
          </cell>
          <cell r="G15">
            <v>2379.1942907870002</v>
          </cell>
          <cell r="H15">
            <v>5476.3617061387786</v>
          </cell>
          <cell r="I15">
            <v>9627.6348950310803</v>
          </cell>
          <cell r="K15">
            <v>220.83763812413002</v>
          </cell>
        </row>
        <row r="16">
          <cell r="E16">
            <v>74.443747122299996</v>
          </cell>
          <cell r="F16">
            <v>65.120920659000006</v>
          </cell>
          <cell r="G16">
            <v>1153.288705593</v>
          </cell>
          <cell r="H16">
            <v>751.30495729197514</v>
          </cell>
        </row>
        <row r="17">
          <cell r="E17">
            <v>4.0652268870000006</v>
          </cell>
          <cell r="F17">
            <v>63.038463901</v>
          </cell>
          <cell r="G17">
            <v>199.32333175700001</v>
          </cell>
          <cell r="H17">
            <v>2714.7522216756611</v>
          </cell>
        </row>
        <row r="18">
          <cell r="E18">
            <v>63.707229636000001</v>
          </cell>
          <cell r="F18">
            <v>128.56456895700001</v>
          </cell>
          <cell r="G18">
            <v>1026.602564494</v>
          </cell>
          <cell r="H18">
            <v>1991.6045271711423</v>
          </cell>
        </row>
        <row r="19">
          <cell r="E19">
            <v>0</v>
          </cell>
          <cell r="F19">
            <v>0</v>
          </cell>
          <cell r="G19">
            <v>0</v>
          </cell>
          <cell r="H19">
            <v>18.7</v>
          </cell>
        </row>
        <row r="20">
          <cell r="I20">
            <v>0</v>
          </cell>
        </row>
        <row r="21">
          <cell r="I21">
            <v>525.91633378709241</v>
          </cell>
        </row>
        <row r="23">
          <cell r="C23">
            <v>232.48271071800002</v>
          </cell>
          <cell r="D23">
            <v>95.590816184999994</v>
          </cell>
          <cell r="E23">
            <v>475.99990742684002</v>
          </cell>
          <cell r="F23">
            <v>160.05405355455002</v>
          </cell>
          <cell r="G23">
            <v>1255.0954324736599</v>
          </cell>
          <cell r="H23">
            <v>1080.7120021812882</v>
          </cell>
          <cell r="I23">
            <v>3299.9349225393385</v>
          </cell>
          <cell r="K23">
            <v>4081.39458833362</v>
          </cell>
        </row>
        <row r="24">
          <cell r="E24">
            <v>83.537614792379998</v>
          </cell>
          <cell r="F24">
            <v>130.15110303055002</v>
          </cell>
          <cell r="G24">
            <v>500.20494445969638</v>
          </cell>
          <cell r="H24">
            <v>105.8431670824443</v>
          </cell>
        </row>
        <row r="25">
          <cell r="E25">
            <v>0.4956194430000001</v>
          </cell>
          <cell r="F25">
            <v>2.0085475320000001</v>
          </cell>
          <cell r="G25">
            <v>29.903680445999999</v>
          </cell>
          <cell r="H25">
            <v>160.17157216099989</v>
          </cell>
        </row>
        <row r="26">
          <cell r="E26">
            <v>391.96667319146002</v>
          </cell>
          <cell r="F26">
            <v>27.894402991999996</v>
          </cell>
          <cell r="G26">
            <v>724.98680756796352</v>
          </cell>
          <cell r="H26">
            <v>814.69726293784413</v>
          </cell>
        </row>
        <row r="27">
          <cell r="E27">
            <v>0</v>
          </cell>
          <cell r="F27">
            <v>0</v>
          </cell>
          <cell r="G27">
            <v>0</v>
          </cell>
          <cell r="H27">
            <v>0</v>
          </cell>
        </row>
        <row r="28">
          <cell r="I28">
            <v>0</v>
          </cell>
        </row>
        <row r="29">
          <cell r="I29">
            <v>11.072999999999999</v>
          </cell>
        </row>
      </sheetData>
      <sheetData sheetId="2">
        <row r="16">
          <cell r="N16">
            <v>28868.123566923914</v>
          </cell>
          <cell r="AA16">
            <v>28709.171580137005</v>
          </cell>
        </row>
        <row r="17">
          <cell r="B17">
            <v>1050.2579505027804</v>
          </cell>
          <cell r="C17">
            <v>43.496121243955145</v>
          </cell>
          <cell r="D17">
            <v>0</v>
          </cell>
          <cell r="E17">
            <v>10.041815932447761</v>
          </cell>
          <cell r="F17">
            <v>0</v>
          </cell>
          <cell r="G17">
            <v>1750.3287474544779</v>
          </cell>
          <cell r="H17">
            <v>4176.201020322158</v>
          </cell>
          <cell r="I17">
            <v>198.93499643253483</v>
          </cell>
          <cell r="J17">
            <v>11.206869565</v>
          </cell>
          <cell r="K17">
            <v>112.22296170607132</v>
          </cell>
          <cell r="L17">
            <v>1.1832834489999999</v>
          </cell>
          <cell r="M17">
            <v>11606.002946856996</v>
          </cell>
          <cell r="N17">
            <v>18959.876713465419</v>
          </cell>
          <cell r="O17">
            <v>888.08598782853301</v>
          </cell>
          <cell r="P17">
            <v>25.431717107688449</v>
          </cell>
          <cell r="Q17">
            <v>1.20225E-3</v>
          </cell>
          <cell r="R17">
            <v>36.363028925831372</v>
          </cell>
          <cell r="S17">
            <v>0</v>
          </cell>
          <cell r="T17">
            <v>2331.2167389623228</v>
          </cell>
          <cell r="U17">
            <v>4333.4227608512192</v>
          </cell>
          <cell r="V17">
            <v>93.916737481289346</v>
          </cell>
          <cell r="W17">
            <v>24.045853300000001</v>
          </cell>
          <cell r="X17">
            <v>31.533336521066843</v>
          </cell>
          <cell r="Y17">
            <v>2.8541640002237707</v>
          </cell>
          <cell r="Z17">
            <v>12317.354745857414</v>
          </cell>
          <cell r="AA17">
            <v>20084.203811542589</v>
          </cell>
        </row>
        <row r="23">
          <cell r="N23">
            <v>1297.5376860459999</v>
          </cell>
          <cell r="AA23">
            <v>996.8907313572729</v>
          </cell>
        </row>
        <row r="36">
          <cell r="N36">
            <v>1580.8248535706753</v>
          </cell>
          <cell r="AA36">
            <v>1821.0306430337805</v>
          </cell>
        </row>
        <row r="76">
          <cell r="N76">
            <v>14.154952985999998</v>
          </cell>
          <cell r="AA76">
            <v>143.75007230754346</v>
          </cell>
        </row>
        <row r="82">
          <cell r="N82">
            <v>2250.5547191542155</v>
          </cell>
          <cell r="AA82">
            <v>1824.0716438090931</v>
          </cell>
        </row>
        <row r="103">
          <cell r="N103">
            <v>7.6177568300000011</v>
          </cell>
          <cell r="AA103">
            <v>105.30081500000001</v>
          </cell>
        </row>
        <row r="131">
          <cell r="N131">
            <v>612.55094316839507</v>
          </cell>
          <cell r="AA131">
            <v>1061.4485280461954</v>
          </cell>
        </row>
        <row r="146">
          <cell r="N146">
            <v>2.2382253529000002</v>
          </cell>
          <cell r="AA146">
            <v>51.43039854115176</v>
          </cell>
        </row>
        <row r="149">
          <cell r="N149">
            <v>79.419144001000006</v>
          </cell>
          <cell r="AA149">
            <v>0</v>
          </cell>
        </row>
        <row r="152">
          <cell r="B152">
            <v>7584.4360036371481</v>
          </cell>
          <cell r="C152">
            <v>581.88103063395522</v>
          </cell>
          <cell r="D152">
            <v>23.878011513999997</v>
          </cell>
          <cell r="E152">
            <v>298.40828110944773</v>
          </cell>
          <cell r="F152">
            <v>12.601977</v>
          </cell>
          <cell r="G152">
            <v>4462.5909871685017</v>
          </cell>
          <cell r="H152">
            <v>8149.5331881338689</v>
          </cell>
          <cell r="I152">
            <v>741.79013579353489</v>
          </cell>
          <cell r="J152">
            <v>11.206869565</v>
          </cell>
          <cell r="K152">
            <v>181.46945843537131</v>
          </cell>
          <cell r="L152">
            <v>1.184283449</v>
          </cell>
          <cell r="M152">
            <v>12664.003935379271</v>
          </cell>
          <cell r="O152">
            <v>3585.1687020371596</v>
          </cell>
          <cell r="P152">
            <v>410.63430654600296</v>
          </cell>
          <cell r="Q152">
            <v>11.622692120222379</v>
          </cell>
          <cell r="R152">
            <v>313.27816267023695</v>
          </cell>
          <cell r="S152">
            <v>1.008945875937215</v>
          </cell>
          <cell r="T152">
            <v>3631.6903340984741</v>
          </cell>
          <cell r="U152">
            <v>11687.652580124188</v>
          </cell>
          <cell r="V152">
            <v>588.23930121481442</v>
          </cell>
          <cell r="W152">
            <v>59.708836810000001</v>
          </cell>
          <cell r="X152">
            <v>436.45038969092309</v>
          </cell>
          <cell r="Y152">
            <v>33.16288100022377</v>
          </cell>
          <cell r="Z152">
            <v>13954.499741586857</v>
          </cell>
          <cell r="AA152">
            <v>34713.094412232043</v>
          </cell>
        </row>
      </sheetData>
      <sheetData sheetId="3">
        <row r="14">
          <cell r="D14">
            <v>15027.587019249493</v>
          </cell>
          <cell r="G14">
            <v>15359.883789830365</v>
          </cell>
        </row>
        <row r="16">
          <cell r="D16">
            <v>15100.615175280389</v>
          </cell>
          <cell r="G16">
            <v>14747.597793002024</v>
          </cell>
        </row>
        <row r="17">
          <cell r="D17">
            <v>497.69811584969227</v>
          </cell>
          <cell r="G17">
            <v>752.18458179215997</v>
          </cell>
        </row>
        <row r="18">
          <cell r="D18">
            <v>35.086004756999998</v>
          </cell>
          <cell r="G18">
            <v>71.590878010222383</v>
          </cell>
        </row>
        <row r="19">
          <cell r="D19">
            <v>13.786260449</v>
          </cell>
          <cell r="G19">
            <v>34.051076293160982</v>
          </cell>
        </row>
        <row r="20">
          <cell r="D20">
            <v>1336.2605516108461</v>
          </cell>
          <cell r="G20">
            <v>1001.4790485516792</v>
          </cell>
        </row>
        <row r="21">
          <cell r="D21">
            <v>874.81535574307645</v>
          </cell>
          <cell r="G21">
            <v>205.76858489382371</v>
          </cell>
        </row>
        <row r="22">
          <cell r="D22">
            <v>1766.3579567875031</v>
          </cell>
          <cell r="G22">
            <v>2239.5045429877041</v>
          </cell>
        </row>
        <row r="23">
          <cell r="D23">
            <v>60.925174293999881</v>
          </cell>
          <cell r="G23">
            <v>301.11524651445274</v>
          </cell>
        </row>
        <row r="24">
          <cell r="G24">
            <v>34713.17310979859</v>
          </cell>
        </row>
      </sheetData>
      <sheetData sheetId="4">
        <row r="10">
          <cell r="D10">
            <v>5170.4260702167576</v>
          </cell>
        </row>
        <row r="11">
          <cell r="D11">
            <v>6.1426856644801511</v>
          </cell>
        </row>
        <row r="12">
          <cell r="D12">
            <v>67.800158170000003</v>
          </cell>
        </row>
        <row r="15">
          <cell r="D15">
            <v>1867.9890257915413</v>
          </cell>
        </row>
        <row r="20">
          <cell r="D20">
            <v>1074.9770848005799</v>
          </cell>
        </row>
        <row r="29">
          <cell r="D29">
            <v>1090.6673765737164</v>
          </cell>
        </row>
        <row r="37">
          <cell r="D37">
            <v>240.83754555950154</v>
          </cell>
        </row>
        <row r="42">
          <cell r="D42">
            <v>822.01219365693919</v>
          </cell>
        </row>
        <row r="43">
          <cell r="D43">
            <v>124.67589648455485</v>
          </cell>
        </row>
        <row r="45">
          <cell r="D45">
            <v>142.89844331115361</v>
          </cell>
        </row>
        <row r="48">
          <cell r="D48">
            <v>4342.63665705929</v>
          </cell>
        </row>
        <row r="49">
          <cell r="D49">
            <v>1904.0713156598656</v>
          </cell>
        </row>
        <row r="50">
          <cell r="D50">
            <v>90.61669383540017</v>
          </cell>
        </row>
        <row r="51">
          <cell r="D51">
            <v>162.73933395095554</v>
          </cell>
        </row>
        <row r="52">
          <cell r="D52">
            <v>1535.6708275006717</v>
          </cell>
        </row>
        <row r="53">
          <cell r="D53">
            <v>99.971324180146581</v>
          </cell>
        </row>
        <row r="54">
          <cell r="D54">
            <v>549.56716193225043</v>
          </cell>
        </row>
        <row r="55">
          <cell r="D55">
            <v>270.66688572467547</v>
          </cell>
        </row>
        <row r="58">
          <cell r="D58">
            <v>9783.7296130007235</v>
          </cell>
        </row>
      </sheetData>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12.438122524999999</v>
          </cell>
          <cell r="D14">
            <v>172.24</v>
          </cell>
        </row>
        <row r="18">
          <cell r="C18">
            <v>202.00428163199996</v>
          </cell>
          <cell r="D18">
            <v>596.77189302600004</v>
          </cell>
        </row>
        <row r="23">
          <cell r="C23">
            <v>1251.1397252623979</v>
          </cell>
          <cell r="D23">
            <v>254.46148843100002</v>
          </cell>
        </row>
        <row r="24">
          <cell r="C24">
            <v>598.1408820690001</v>
          </cell>
          <cell r="D24">
            <v>100.399281876</v>
          </cell>
        </row>
        <row r="25">
          <cell r="C25">
            <v>144.92542049630001</v>
          </cell>
          <cell r="D25">
            <v>512.57413754480365</v>
          </cell>
        </row>
        <row r="26">
          <cell r="C26">
            <v>246.03431524300001</v>
          </cell>
          <cell r="D26">
            <v>269.61208953641994</v>
          </cell>
        </row>
        <row r="27">
          <cell r="C27">
            <v>2379.7901806759992</v>
          </cell>
          <cell r="D27">
            <v>1271.644642292003</v>
          </cell>
        </row>
        <row r="28">
          <cell r="C28">
            <v>5312.8129141434183</v>
          </cell>
          <cell r="D28">
            <v>1043.1617422419554</v>
          </cell>
        </row>
        <row r="29">
          <cell r="C29">
            <v>232.63984696000009</v>
          </cell>
          <cell r="D29">
            <v>27.353000000000002</v>
          </cell>
        </row>
        <row r="30">
          <cell r="C30">
            <v>0</v>
          </cell>
          <cell r="D30">
            <v>6.8</v>
          </cell>
        </row>
        <row r="31">
          <cell r="C31">
            <v>2.3E-2</v>
          </cell>
          <cell r="D31">
            <v>7.3220030000000014</v>
          </cell>
        </row>
        <row r="33">
          <cell r="C33">
            <v>227.7666969</v>
          </cell>
          <cell r="D33">
            <v>78.640917379428259</v>
          </cell>
        </row>
        <row r="34">
          <cell r="C34">
            <v>1604.6841907759979</v>
          </cell>
          <cell r="D34">
            <v>407.04214083794778</v>
          </cell>
        </row>
        <row r="36">
          <cell r="C36">
            <v>1108.2663120673192</v>
          </cell>
          <cell r="D36">
            <v>92.531330130898908</v>
          </cell>
        </row>
        <row r="37">
          <cell r="C37">
            <v>312.19538064102812</v>
          </cell>
          <cell r="D37">
            <v>377.04522808240091</v>
          </cell>
        </row>
        <row r="38">
          <cell r="C38">
            <v>13632.86219339146</v>
          </cell>
          <cell r="D38">
            <v>5217.5998943788582</v>
          </cell>
          <cell r="E38">
            <v>742.72094505278619</v>
          </cell>
          <cell r="F38">
            <v>9558.5166908124174</v>
          </cell>
          <cell r="G38">
            <v>579.05985374131433</v>
          </cell>
          <cell r="H38">
            <v>5105.217001297</v>
          </cell>
          <cell r="I38">
            <v>34835.976578673835</v>
          </cell>
        </row>
        <row r="40">
          <cell r="I40">
            <v>7079.720177002001</v>
          </cell>
        </row>
        <row r="68">
          <cell r="C68">
            <v>138.94980911927991</v>
          </cell>
          <cell r="D68">
            <v>4.4807218361551255</v>
          </cell>
        </row>
        <row r="69">
          <cell r="C69">
            <v>1374.078517013</v>
          </cell>
          <cell r="D69">
            <v>2.0000001E-2</v>
          </cell>
        </row>
        <row r="72">
          <cell r="C72">
            <v>458.49596074643136</v>
          </cell>
          <cell r="D72">
            <v>408.99659609930984</v>
          </cell>
        </row>
        <row r="76">
          <cell r="C76">
            <v>7830.5927622431027</v>
          </cell>
          <cell r="D76">
            <v>1964.2825402595759</v>
          </cell>
        </row>
        <row r="77">
          <cell r="C77">
            <v>213.01971340999998</v>
          </cell>
          <cell r="D77">
            <v>46.080479020999995</v>
          </cell>
        </row>
        <row r="78">
          <cell r="C78">
            <v>0</v>
          </cell>
          <cell r="D78">
            <v>0</v>
          </cell>
        </row>
        <row r="79">
          <cell r="C79">
            <v>92.542314453698836</v>
          </cell>
          <cell r="D79">
            <v>159.10327053078848</v>
          </cell>
        </row>
        <row r="80">
          <cell r="C80">
            <v>9.615930251</v>
          </cell>
          <cell r="D80">
            <v>465.54222707399998</v>
          </cell>
        </row>
        <row r="81">
          <cell r="C81">
            <v>2850.0630934065475</v>
          </cell>
          <cell r="D81">
            <v>981.09997665531773</v>
          </cell>
        </row>
        <row r="82">
          <cell r="C82">
            <v>4571.651710721856</v>
          </cell>
          <cell r="D82">
            <v>288.85658697846964</v>
          </cell>
        </row>
        <row r="83">
          <cell r="C83">
            <v>93.700000000000031</v>
          </cell>
          <cell r="D83">
            <v>23.599999999999998</v>
          </cell>
        </row>
        <row r="84">
          <cell r="E84">
            <v>2.2999999999465999</v>
          </cell>
          <cell r="F84">
            <v>3068.6996205401711</v>
          </cell>
          <cell r="G84">
            <v>1.1990930820000001</v>
          </cell>
          <cell r="H84">
            <v>2364.9265917839807</v>
          </cell>
        </row>
        <row r="86">
          <cell r="C86">
            <v>4037.4470306030003</v>
          </cell>
          <cell r="D86">
            <v>1332.9941074118533</v>
          </cell>
        </row>
        <row r="89">
          <cell r="C89">
            <v>0</v>
          </cell>
          <cell r="D89">
            <v>131.38494207050937</v>
          </cell>
        </row>
        <row r="92">
          <cell r="C92">
            <v>351.644746656</v>
          </cell>
          <cell r="D92">
            <v>49.643818553999999</v>
          </cell>
        </row>
        <row r="93">
          <cell r="C93">
            <v>1.6E-2</v>
          </cell>
          <cell r="D93">
            <v>25.747028369999999</v>
          </cell>
        </row>
        <row r="95">
          <cell r="C95">
            <v>115.32440269123001</v>
          </cell>
          <cell r="D95">
            <v>860.43041324033391</v>
          </cell>
        </row>
        <row r="96">
          <cell r="C96">
            <v>141.13287891239</v>
          </cell>
          <cell r="D96">
            <v>11.187383175999999</v>
          </cell>
        </row>
        <row r="97">
          <cell r="C97">
            <v>544.01617655354539</v>
          </cell>
          <cell r="D97">
            <v>166.6768772263853</v>
          </cell>
        </row>
        <row r="98">
          <cell r="C98">
            <v>14991.698271968002</v>
          </cell>
          <cell r="D98">
            <v>4955.8444282451219</v>
          </cell>
          <cell r="E98">
            <v>295.90899853082846</v>
          </cell>
          <cell r="F98">
            <v>8126.9117090798627</v>
          </cell>
          <cell r="G98">
            <v>58.169474700430591</v>
          </cell>
          <cell r="H98">
            <v>6407.3800102509904</v>
          </cell>
          <cell r="I98">
            <v>34835.912892775232</v>
          </cell>
        </row>
        <row r="100">
          <cell r="I100">
            <v>7075.3453686250014</v>
          </cell>
        </row>
      </sheetData>
      <sheetData sheetId="1">
        <row r="15">
          <cell r="C15">
            <v>769.51712550000002</v>
          </cell>
          <cell r="D15">
            <v>565.61150116900012</v>
          </cell>
          <cell r="E15">
            <v>144.8912691013</v>
          </cell>
          <cell r="F15">
            <v>245.93968066299999</v>
          </cell>
          <cell r="G15">
            <v>2362.1673589599995</v>
          </cell>
          <cell r="H15">
            <v>5533.7155481678783</v>
          </cell>
          <cell r="I15">
            <v>9621.8424835611786</v>
          </cell>
          <cell r="K15">
            <v>213.69303836751999</v>
          </cell>
        </row>
        <row r="16">
          <cell r="E16">
            <v>71.520027444299998</v>
          </cell>
          <cell r="F16">
            <v>52.958815292999994</v>
          </cell>
          <cell r="G16">
            <v>1132.1903309079994</v>
          </cell>
          <cell r="H16">
            <v>779.55047229333286</v>
          </cell>
        </row>
        <row r="17">
          <cell r="E17">
            <v>7.2254165759999998</v>
          </cell>
          <cell r="F17">
            <v>63.296100002999992</v>
          </cell>
          <cell r="G17">
            <v>164.15195080200002</v>
          </cell>
          <cell r="H17">
            <v>2724.3920968140369</v>
          </cell>
        </row>
        <row r="18">
          <cell r="E18">
            <v>66.145825080999998</v>
          </cell>
          <cell r="F18">
            <v>129.68476536699998</v>
          </cell>
          <cell r="G18">
            <v>1065.85507725</v>
          </cell>
          <cell r="H18">
            <v>2004.572979060508</v>
          </cell>
        </row>
        <row r="19">
          <cell r="E19">
            <v>0</v>
          </cell>
          <cell r="F19">
            <v>0</v>
          </cell>
          <cell r="G19">
            <v>0</v>
          </cell>
          <cell r="H19">
            <v>25.2</v>
          </cell>
        </row>
        <row r="20">
          <cell r="I20">
            <v>0</v>
          </cell>
        </row>
        <row r="21">
          <cell r="I21">
            <v>543.60422726993659</v>
          </cell>
        </row>
        <row r="23">
          <cell r="C23">
            <v>254.50065346099998</v>
          </cell>
          <cell r="D23">
            <v>100.36011684600001</v>
          </cell>
          <cell r="E23">
            <v>512.53504554480355</v>
          </cell>
          <cell r="F23">
            <v>267.82808953642001</v>
          </cell>
          <cell r="G23">
            <v>1266.1654463118402</v>
          </cell>
          <cell r="H23">
            <v>1070.3703884815554</v>
          </cell>
          <cell r="I23">
            <v>3471.7597401816192</v>
          </cell>
          <cell r="K23">
            <v>4460.3599080231961</v>
          </cell>
        </row>
        <row r="24">
          <cell r="E24">
            <v>91.864992670625497</v>
          </cell>
          <cell r="F24">
            <v>179.56379856241998</v>
          </cell>
          <cell r="G24">
            <v>453.12518399379542</v>
          </cell>
          <cell r="H24">
            <v>122.31989343189178</v>
          </cell>
        </row>
        <row r="25">
          <cell r="E25">
            <v>1.4854739239999999</v>
          </cell>
          <cell r="F25">
            <v>1.1768490389999999</v>
          </cell>
          <cell r="G25">
            <v>29.594397794999999</v>
          </cell>
          <cell r="H25">
            <v>161.14922280900001</v>
          </cell>
        </row>
        <row r="26">
          <cell r="E26">
            <v>419.18457895017809</v>
          </cell>
          <cell r="F26">
            <v>87.087441935000001</v>
          </cell>
          <cell r="G26">
            <v>783.44586452304463</v>
          </cell>
          <cell r="H26">
            <v>786.90127224066362</v>
          </cell>
        </row>
        <row r="27">
          <cell r="E27">
            <v>0</v>
          </cell>
          <cell r="F27">
            <v>0</v>
          </cell>
          <cell r="G27">
            <v>0</v>
          </cell>
          <cell r="H27">
            <v>0</v>
          </cell>
        </row>
        <row r="28">
          <cell r="I28">
            <v>0</v>
          </cell>
        </row>
        <row r="29">
          <cell r="I29">
            <v>7.3829999999999991</v>
          </cell>
        </row>
      </sheetData>
      <sheetData sheetId="2">
        <row r="16">
          <cell r="N16">
            <v>29106.64539743344</v>
          </cell>
          <cell r="AA16">
            <v>28502.378239289737</v>
          </cell>
        </row>
        <row r="17">
          <cell r="B17">
            <v>897.2926714037817</v>
          </cell>
          <cell r="C17">
            <v>75.877801881415294</v>
          </cell>
          <cell r="D17">
            <v>0</v>
          </cell>
          <cell r="E17">
            <v>6.8025091610000006</v>
          </cell>
          <cell r="F17">
            <v>0</v>
          </cell>
          <cell r="G17">
            <v>1702.1271512537437</v>
          </cell>
          <cell r="H17">
            <v>4200.0048813800158</v>
          </cell>
          <cell r="I17">
            <v>224.38131905042252</v>
          </cell>
          <cell r="J17">
            <v>11.962838724000001</v>
          </cell>
          <cell r="K17">
            <v>104.32301293407339</v>
          </cell>
          <cell r="L17">
            <v>1.3698485570000001</v>
          </cell>
          <cell r="M17">
            <v>11626.357329407567</v>
          </cell>
          <cell r="N17">
            <v>18850.499363753017</v>
          </cell>
          <cell r="O17">
            <v>749.41949355959105</v>
          </cell>
          <cell r="P17">
            <v>30.740511431015342</v>
          </cell>
          <cell r="Q17">
            <v>1.20225E-3</v>
          </cell>
          <cell r="R17">
            <v>2.623384187134465</v>
          </cell>
          <cell r="S17">
            <v>0</v>
          </cell>
          <cell r="T17">
            <v>2283.0879034591339</v>
          </cell>
          <cell r="U17">
            <v>4341.1195300421105</v>
          </cell>
          <cell r="V17">
            <v>94.151329360464445</v>
          </cell>
          <cell r="W17">
            <v>29.08584905</v>
          </cell>
          <cell r="X17">
            <v>25.35926454086686</v>
          </cell>
          <cell r="Y17">
            <v>2.8710104947340631</v>
          </cell>
          <cell r="Z17">
            <v>12389.184298294087</v>
          </cell>
          <cell r="AA17">
            <v>19947.620176633132</v>
          </cell>
        </row>
        <row r="23">
          <cell r="N23">
            <v>1040.4979527702212</v>
          </cell>
          <cell r="AA23">
            <v>1040.6631448447458</v>
          </cell>
        </row>
        <row r="36">
          <cell r="N36">
            <v>1682.3002149131275</v>
          </cell>
          <cell r="AA36">
            <v>1788.6301339075358</v>
          </cell>
        </row>
        <row r="76">
          <cell r="N76">
            <v>17.066995043999999</v>
          </cell>
          <cell r="AA76">
            <v>145.16000988829143</v>
          </cell>
        </row>
        <row r="82">
          <cell r="N82">
            <v>2368.4572142732027</v>
          </cell>
          <cell r="AA82">
            <v>1843.4003764826909</v>
          </cell>
        </row>
        <row r="103">
          <cell r="N103">
            <v>7.4430171130000007</v>
          </cell>
          <cell r="AA103">
            <v>103.69800000000001</v>
          </cell>
        </row>
        <row r="131">
          <cell r="N131">
            <v>534.58574546709451</v>
          </cell>
          <cell r="AA131">
            <v>1359.6160492944134</v>
          </cell>
        </row>
        <row r="146">
          <cell r="N146">
            <v>2.2771741829000001</v>
          </cell>
          <cell r="AA146">
            <v>52.246906116108455</v>
          </cell>
        </row>
        <row r="149">
          <cell r="N149">
            <v>76.657101269999998</v>
          </cell>
          <cell r="AA149">
            <v>0</v>
          </cell>
        </row>
        <row r="152">
          <cell r="B152">
            <v>7344.4504464072706</v>
          </cell>
          <cell r="C152">
            <v>627.94600220041525</v>
          </cell>
          <cell r="D152">
            <v>28.078771002000003</v>
          </cell>
          <cell r="E152">
            <v>294.46669531117874</v>
          </cell>
          <cell r="F152">
            <v>17.801985000000002</v>
          </cell>
          <cell r="G152">
            <v>4348.9620213885019</v>
          </cell>
          <cell r="H152">
            <v>8577.6516653035451</v>
          </cell>
          <cell r="I152">
            <v>751.16974697242244</v>
          </cell>
          <cell r="J152">
            <v>12.062838724000001</v>
          </cell>
          <cell r="K152">
            <v>177.56237680906173</v>
          </cell>
          <cell r="L152">
            <v>1.3708485570000002</v>
          </cell>
          <cell r="M152">
            <v>12654.399816624593</v>
          </cell>
          <cell r="O152">
            <v>3717.6432340189654</v>
          </cell>
          <cell r="P152">
            <v>363.12834429861982</v>
          </cell>
          <cell r="Q152">
            <v>11.196979129280919</v>
          </cell>
          <cell r="R152">
            <v>279.83952974332038</v>
          </cell>
          <cell r="S152">
            <v>1.2600792087918373</v>
          </cell>
          <cell r="T152">
            <v>3549.8221898757411</v>
          </cell>
          <cell r="U152">
            <v>11755.062073413566</v>
          </cell>
          <cell r="V152">
            <v>613.54026211532732</v>
          </cell>
          <cell r="W152">
            <v>64.450832820000002</v>
          </cell>
          <cell r="X152">
            <v>449.93184522208855</v>
          </cell>
          <cell r="Y152">
            <v>33.574111884734059</v>
          </cell>
          <cell r="Z152">
            <v>13996.366978129081</v>
          </cell>
          <cell r="AA152">
            <v>34835.792859823516</v>
          </cell>
        </row>
      </sheetData>
      <sheetData sheetId="3">
        <row r="14">
          <cell r="D14">
            <v>14954.67699852604</v>
          </cell>
          <cell r="G14">
            <v>15345.771295196992</v>
          </cell>
        </row>
        <row r="16">
          <cell r="D16">
            <v>15289.30109483175</v>
          </cell>
          <cell r="G16">
            <v>15007.922663965204</v>
          </cell>
        </row>
        <row r="17">
          <cell r="D17">
            <v>490.63141481338624</v>
          </cell>
          <cell r="G17">
            <v>732.17259041740886</v>
          </cell>
        </row>
        <row r="18">
          <cell r="D18">
            <v>40.142766852999998</v>
          </cell>
          <cell r="G18">
            <v>40.947145067280921</v>
          </cell>
        </row>
        <row r="19">
          <cell r="D19">
            <v>19.172833556999997</v>
          </cell>
          <cell r="G19">
            <v>34.687524622377481</v>
          </cell>
        </row>
        <row r="20">
          <cell r="D20">
            <v>1391.5700323475512</v>
          </cell>
          <cell r="G20">
            <v>976.42819353650179</v>
          </cell>
        </row>
        <row r="21">
          <cell r="D21">
            <v>840.75388172979933</v>
          </cell>
          <cell r="G21">
            <v>196.21323612442913</v>
          </cell>
        </row>
        <row r="22">
          <cell r="D22">
            <v>1740.9006960893244</v>
          </cell>
          <cell r="G22">
            <v>2137.8472082334411</v>
          </cell>
        </row>
        <row r="23">
          <cell r="D23">
            <v>68.766222322000047</v>
          </cell>
          <cell r="G23">
            <v>363.93161079352393</v>
          </cell>
        </row>
        <row r="24">
          <cell r="G24">
            <v>34835.920511987162</v>
          </cell>
        </row>
      </sheetData>
      <sheetData sheetId="4">
        <row r="10">
          <cell r="D10">
            <v>5194.1652884162941</v>
          </cell>
        </row>
        <row r="11">
          <cell r="D11">
            <v>6.9766685737544796</v>
          </cell>
        </row>
        <row r="12">
          <cell r="D12">
            <v>69.223719192700088</v>
          </cell>
        </row>
        <row r="15">
          <cell r="D15">
            <v>1887.6092365492409</v>
          </cell>
        </row>
        <row r="20">
          <cell r="D20">
            <v>1048.7345463094102</v>
          </cell>
        </row>
        <row r="29">
          <cell r="D29">
            <v>1118.1665493176199</v>
          </cell>
        </row>
        <row r="37">
          <cell r="D37">
            <v>251.68588367379772</v>
          </cell>
        </row>
        <row r="42">
          <cell r="D42">
            <v>811.76868479976952</v>
          </cell>
        </row>
        <row r="43">
          <cell r="D43">
            <v>122.51631840904756</v>
          </cell>
        </row>
        <row r="45">
          <cell r="D45">
            <v>142.92647451493806</v>
          </cell>
        </row>
        <row r="48">
          <cell r="D48">
            <v>4341.5954221454904</v>
          </cell>
        </row>
        <row r="49">
          <cell r="D49">
            <v>1887.5636308224766</v>
          </cell>
        </row>
        <row r="50">
          <cell r="D50">
            <v>88.232682119903671</v>
          </cell>
        </row>
        <row r="51">
          <cell r="D51">
            <v>166.39780145841806</v>
          </cell>
        </row>
        <row r="52">
          <cell r="D52">
            <v>1524.2588523501615</v>
          </cell>
        </row>
        <row r="53">
          <cell r="D53">
            <v>101.13550551302055</v>
          </cell>
        </row>
        <row r="54">
          <cell r="D54">
            <v>574.00694988150997</v>
          </cell>
        </row>
        <row r="55">
          <cell r="D55">
            <v>259.16016373557034</v>
          </cell>
        </row>
        <row r="58">
          <cell r="D58">
            <v>9794.9208742973551</v>
          </cell>
        </row>
      </sheetData>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14.339564448000001</v>
          </cell>
          <cell r="D14">
            <v>172.44</v>
          </cell>
        </row>
        <row r="18">
          <cell r="C18">
            <v>231.671904947</v>
          </cell>
          <cell r="D18">
            <v>602.41651240900001</v>
          </cell>
        </row>
        <row r="23">
          <cell r="C23">
            <v>1215.5731885667815</v>
          </cell>
          <cell r="D23">
            <v>271.563502621</v>
          </cell>
        </row>
        <row r="24">
          <cell r="C24">
            <v>608.16908625800011</v>
          </cell>
          <cell r="D24">
            <v>83.099499035000008</v>
          </cell>
        </row>
        <row r="25">
          <cell r="C25">
            <v>148.22275768830002</v>
          </cell>
          <cell r="D25">
            <v>461.83871150425739</v>
          </cell>
        </row>
        <row r="26">
          <cell r="C26">
            <v>238.30740459600003</v>
          </cell>
          <cell r="D26">
            <v>267.74394240318998</v>
          </cell>
        </row>
        <row r="27">
          <cell r="C27">
            <v>2441.9227443539576</v>
          </cell>
          <cell r="D27">
            <v>1308.0034575723846</v>
          </cell>
        </row>
        <row r="28">
          <cell r="C28">
            <v>5301.4479019361315</v>
          </cell>
          <cell r="D28">
            <v>1040.0002503347018</v>
          </cell>
        </row>
        <row r="29">
          <cell r="C29">
            <v>231.44722389800006</v>
          </cell>
          <cell r="D29">
            <v>25.853000000000002</v>
          </cell>
        </row>
        <row r="30">
          <cell r="C30">
            <v>0</v>
          </cell>
          <cell r="D30">
            <v>6.8</v>
          </cell>
        </row>
        <row r="31">
          <cell r="C31">
            <v>1E-3</v>
          </cell>
          <cell r="D31">
            <v>5.1849999999999996</v>
          </cell>
        </row>
        <row r="33">
          <cell r="C33">
            <v>163.28377963947497</v>
          </cell>
          <cell r="D33">
            <v>81.108234362981335</v>
          </cell>
        </row>
        <row r="34">
          <cell r="C34">
            <v>1615.0143356239414</v>
          </cell>
          <cell r="D34">
            <v>406.14117675460375</v>
          </cell>
        </row>
        <row r="36">
          <cell r="C36">
            <v>1125.200623156843</v>
          </cell>
          <cell r="D36">
            <v>95.75152714747064</v>
          </cell>
        </row>
        <row r="37">
          <cell r="C37">
            <v>342.99340263360682</v>
          </cell>
          <cell r="D37">
            <v>378.72010580925803</v>
          </cell>
        </row>
        <row r="38">
          <cell r="C38">
            <v>13677.595886746038</v>
          </cell>
          <cell r="D38">
            <v>5206.678919953848</v>
          </cell>
          <cell r="E38">
            <v>748.72653706457299</v>
          </cell>
          <cell r="F38">
            <v>10259.778261210449</v>
          </cell>
          <cell r="G38">
            <v>616.78398166010209</v>
          </cell>
          <cell r="H38">
            <v>4857.647323245058</v>
          </cell>
          <cell r="I38">
            <v>35367.210909880072</v>
          </cell>
        </row>
        <row r="40">
          <cell r="I40">
            <v>7028.3942340034173</v>
          </cell>
        </row>
        <row r="68">
          <cell r="C68">
            <v>132.81399791360587</v>
          </cell>
          <cell r="D68">
            <v>4.195787129155125</v>
          </cell>
        </row>
        <row r="69">
          <cell r="C69">
            <v>1447.963652984</v>
          </cell>
          <cell r="D69">
            <v>2.0000001E-2</v>
          </cell>
        </row>
        <row r="72">
          <cell r="C72">
            <v>451.05399041488789</v>
          </cell>
          <cell r="D72">
            <v>373.96954220494547</v>
          </cell>
        </row>
        <row r="76">
          <cell r="C76">
            <v>7862.9330010309222</v>
          </cell>
          <cell r="D76">
            <v>1919.7904915205879</v>
          </cell>
        </row>
        <row r="77">
          <cell r="C77">
            <v>217.12022353199998</v>
          </cell>
          <cell r="D77">
            <v>49.952516093999996</v>
          </cell>
        </row>
        <row r="78">
          <cell r="C78">
            <v>0</v>
          </cell>
          <cell r="D78">
            <v>0</v>
          </cell>
        </row>
        <row r="79">
          <cell r="C79">
            <v>92.569836006278834</v>
          </cell>
          <cell r="D79">
            <v>158.53471993678849</v>
          </cell>
        </row>
        <row r="80">
          <cell r="C80">
            <v>9.5063550409999991</v>
          </cell>
          <cell r="D80">
            <v>441.00314100900005</v>
          </cell>
        </row>
        <row r="81">
          <cell r="C81">
            <v>2850.8587686821625</v>
          </cell>
          <cell r="D81">
            <v>971.03411302712982</v>
          </cell>
        </row>
        <row r="82">
          <cell r="C82">
            <v>4595.7778177694818</v>
          </cell>
          <cell r="D82">
            <v>275.46600145366961</v>
          </cell>
        </row>
        <row r="83">
          <cell r="C83">
            <v>97.09999999999998</v>
          </cell>
          <cell r="D83">
            <v>23.8</v>
          </cell>
        </row>
        <row r="84">
          <cell r="E84">
            <v>-5.3400000000000321E-11</v>
          </cell>
          <cell r="F84">
            <v>3062.3080578839567</v>
          </cell>
          <cell r="G84">
            <v>1.1990930820000001</v>
          </cell>
          <cell r="H84">
            <v>2929.6274319669751</v>
          </cell>
        </row>
        <row r="86">
          <cell r="C86">
            <v>3946.645293004</v>
          </cell>
          <cell r="D86">
            <v>1363.4222683578864</v>
          </cell>
        </row>
        <row r="89">
          <cell r="C89">
            <v>3.5097999999999998</v>
          </cell>
          <cell r="D89">
            <v>124.29195773097058</v>
          </cell>
        </row>
        <row r="92">
          <cell r="C92">
            <v>350.4767723760001</v>
          </cell>
          <cell r="D92">
            <v>49.373141101000002</v>
          </cell>
        </row>
        <row r="93">
          <cell r="C93">
            <v>0.14100000000000001</v>
          </cell>
          <cell r="D93">
            <v>21.733007940000004</v>
          </cell>
        </row>
        <row r="95">
          <cell r="C95">
            <v>142.28530368261298</v>
          </cell>
          <cell r="D95">
            <v>867.71343543232274</v>
          </cell>
        </row>
        <row r="96">
          <cell r="C96">
            <v>141.89593519439001</v>
          </cell>
          <cell r="D96">
            <v>11.143464604999998</v>
          </cell>
        </row>
        <row r="97">
          <cell r="C97">
            <v>555.18306046613748</v>
          </cell>
          <cell r="D97">
            <v>160.26327372498403</v>
          </cell>
        </row>
        <row r="98">
          <cell r="C98">
            <v>15034.901187900537</v>
          </cell>
          <cell r="D98">
            <v>4895.9163697478525</v>
          </cell>
          <cell r="E98">
            <v>338.45722703746833</v>
          </cell>
          <cell r="F98">
            <v>8247.9494508650951</v>
          </cell>
          <cell r="G98">
            <v>58.318813990430591</v>
          </cell>
          <cell r="H98">
            <v>6791.8030114796829</v>
          </cell>
          <cell r="I98">
            <v>35367.346061021068</v>
          </cell>
        </row>
        <row r="100">
          <cell r="I100">
            <v>7018.2544387069793</v>
          </cell>
        </row>
      </sheetData>
      <sheetData sheetId="1">
        <row r="15">
          <cell r="C15">
            <v>732.57043124200004</v>
          </cell>
          <cell r="D15">
            <v>565.69238869100002</v>
          </cell>
          <cell r="E15">
            <v>148.15298804330001</v>
          </cell>
          <cell r="F15">
            <v>238.23700986900002</v>
          </cell>
          <cell r="G15">
            <v>2427.9781745749578</v>
          </cell>
          <cell r="H15">
            <v>5520.2275212757859</v>
          </cell>
          <cell r="I15">
            <v>9632.8585136960428</v>
          </cell>
          <cell r="K15">
            <v>213.57918026201</v>
          </cell>
        </row>
        <row r="16">
          <cell r="E16">
            <v>71.5082559903</v>
          </cell>
          <cell r="F16">
            <v>51.048959228000001</v>
          </cell>
          <cell r="G16">
            <v>1200.0108421419577</v>
          </cell>
          <cell r="H16">
            <v>772.41798088271685</v>
          </cell>
        </row>
        <row r="17">
          <cell r="E17">
            <v>5.2387511559999993</v>
          </cell>
          <cell r="F17">
            <v>57.263965508999995</v>
          </cell>
          <cell r="G17">
            <v>170.48189001800006</v>
          </cell>
          <cell r="H17">
            <v>2729.8575094043008</v>
          </cell>
        </row>
        <row r="18">
          <cell r="E18">
            <v>71.405980897000006</v>
          </cell>
          <cell r="F18">
            <v>129.92408513200002</v>
          </cell>
          <cell r="G18">
            <v>1057.5154424150001</v>
          </cell>
          <cell r="H18">
            <v>1992.7520309887686</v>
          </cell>
        </row>
        <row r="19">
          <cell r="E19">
            <v>0</v>
          </cell>
          <cell r="F19">
            <v>0</v>
          </cell>
          <cell r="G19">
            <v>0</v>
          </cell>
          <cell r="H19">
            <v>25.2</v>
          </cell>
        </row>
        <row r="20">
          <cell r="I20">
            <v>0</v>
          </cell>
        </row>
        <row r="21">
          <cell r="I21">
            <v>552.171483974127</v>
          </cell>
        </row>
        <row r="23">
          <cell r="C23">
            <v>271.59264761999998</v>
          </cell>
          <cell r="D23">
            <v>83.070354035999998</v>
          </cell>
          <cell r="E23">
            <v>461.88366050425736</v>
          </cell>
          <cell r="F23">
            <v>265.96094240319002</v>
          </cell>
          <cell r="G23">
            <v>1302.5702611786828</v>
          </cell>
          <cell r="H23">
            <v>1065.7084985226218</v>
          </cell>
          <cell r="I23">
            <v>3450.7863642647517</v>
          </cell>
          <cell r="K23">
            <v>4943.3351444069203</v>
          </cell>
        </row>
        <row r="24">
          <cell r="E24">
            <v>89.654324541671201</v>
          </cell>
          <cell r="F24">
            <v>183.61653967019001</v>
          </cell>
          <cell r="G24">
            <v>502.33408329750881</v>
          </cell>
          <cell r="H24">
            <v>103.55604663270626</v>
          </cell>
        </row>
        <row r="25">
          <cell r="E25">
            <v>0.60386358999999989</v>
          </cell>
          <cell r="F25">
            <v>1.4569607979999999</v>
          </cell>
          <cell r="G25">
            <v>29.856945465999999</v>
          </cell>
          <cell r="H25">
            <v>152.38395454499994</v>
          </cell>
        </row>
        <row r="26">
          <cell r="E26">
            <v>371.62547237258616</v>
          </cell>
          <cell r="F26">
            <v>80.887441934999998</v>
          </cell>
          <cell r="G26">
            <v>770.37923241517376</v>
          </cell>
          <cell r="H26">
            <v>809.76849734491554</v>
          </cell>
        </row>
        <row r="27">
          <cell r="E27">
            <v>0</v>
          </cell>
          <cell r="F27">
            <v>0</v>
          </cell>
          <cell r="G27">
            <v>0</v>
          </cell>
          <cell r="H27">
            <v>0</v>
          </cell>
        </row>
        <row r="28">
          <cell r="I28">
            <v>0</v>
          </cell>
        </row>
        <row r="29">
          <cell r="I29">
            <v>7.3839999999999995</v>
          </cell>
        </row>
      </sheetData>
      <sheetData sheetId="2">
        <row r="16">
          <cell r="N16">
            <v>29863.762388112082</v>
          </cell>
          <cell r="AA16">
            <v>28639.924081624529</v>
          </cell>
        </row>
        <row r="17">
          <cell r="B17">
            <v>836.67393048690212</v>
          </cell>
          <cell r="C17">
            <v>74.879459018497329</v>
          </cell>
          <cell r="D17">
            <v>0</v>
          </cell>
          <cell r="E17">
            <v>24.546103958255998</v>
          </cell>
          <cell r="F17">
            <v>0</v>
          </cell>
          <cell r="G17">
            <v>1733.269762494773</v>
          </cell>
          <cell r="H17">
            <v>4242.5127050348592</v>
          </cell>
          <cell r="I17">
            <v>233.68087826976131</v>
          </cell>
          <cell r="J17">
            <v>11.502732345</v>
          </cell>
          <cell r="K17">
            <v>110.26346412591238</v>
          </cell>
          <cell r="L17">
            <v>1.6674827350000001</v>
          </cell>
          <cell r="M17">
            <v>11615.242801525144</v>
          </cell>
          <cell r="N17">
            <v>18884.239319994107</v>
          </cell>
          <cell r="O17">
            <v>694.64143601898752</v>
          </cell>
          <cell r="P17">
            <v>29.210455041758053</v>
          </cell>
          <cell r="Q17">
            <v>1.20225E-3</v>
          </cell>
          <cell r="R17">
            <v>14.382445178212999</v>
          </cell>
          <cell r="S17">
            <v>0</v>
          </cell>
          <cell r="T17">
            <v>2333.8241650706555</v>
          </cell>
          <cell r="U17">
            <v>4356.5466240437345</v>
          </cell>
          <cell r="V17">
            <v>92.198103785530662</v>
          </cell>
          <cell r="W17">
            <v>27.099827300000001</v>
          </cell>
          <cell r="X17">
            <v>21.57659960735684</v>
          </cell>
          <cell r="Y17">
            <v>2.8283539599999998</v>
          </cell>
          <cell r="Z17">
            <v>12358.598233347864</v>
          </cell>
          <cell r="AA17">
            <v>19930.886951742101</v>
          </cell>
        </row>
        <row r="23">
          <cell r="N23">
            <v>983.68339572794343</v>
          </cell>
          <cell r="AA23">
            <v>1028.1379360392189</v>
          </cell>
        </row>
        <row r="36">
          <cell r="N36">
            <v>1627.1439251757884</v>
          </cell>
          <cell r="AA36">
            <v>1804.1665223320633</v>
          </cell>
        </row>
        <row r="76">
          <cell r="N76">
            <v>17.332864407000002</v>
          </cell>
          <cell r="AA76">
            <v>140.10317022931753</v>
          </cell>
        </row>
        <row r="82">
          <cell r="N82">
            <v>2356.6305863510543</v>
          </cell>
          <cell r="AA82">
            <v>1685.5907433895725</v>
          </cell>
        </row>
        <row r="103">
          <cell r="N103">
            <v>2.3731321250000001</v>
          </cell>
          <cell r="AA103">
            <v>92.824000000000012</v>
          </cell>
        </row>
        <row r="131">
          <cell r="N131">
            <v>483.56283224678549</v>
          </cell>
          <cell r="AA131">
            <v>1924.3771270594361</v>
          </cell>
        </row>
        <row r="146">
          <cell r="N146">
            <v>2.5485732829000005</v>
          </cell>
          <cell r="AA146">
            <v>52.274139771270541</v>
          </cell>
        </row>
        <row r="149">
          <cell r="N149">
            <v>30.152973688156003</v>
          </cell>
          <cell r="AA149">
            <v>0</v>
          </cell>
        </row>
        <row r="152">
          <cell r="B152">
            <v>7145.0410136681321</v>
          </cell>
          <cell r="C152">
            <v>558.20264371049723</v>
          </cell>
          <cell r="D152">
            <v>27.667724903</v>
          </cell>
          <cell r="E152">
            <v>270.76477968325599</v>
          </cell>
          <cell r="F152">
            <v>0.201961</v>
          </cell>
          <cell r="G152">
            <v>4686.1443532853664</v>
          </cell>
          <cell r="H152">
            <v>9095.4994487032018</v>
          </cell>
          <cell r="I152">
            <v>743.89670829876127</v>
          </cell>
          <cell r="J152">
            <v>11.502732345</v>
          </cell>
          <cell r="K152">
            <v>178.39748092625894</v>
          </cell>
          <cell r="L152">
            <v>1.668482735</v>
          </cell>
          <cell r="M152">
            <v>12648.195743059237</v>
          </cell>
          <cell r="O152">
            <v>3759.9417881227314</v>
          </cell>
          <cell r="P152">
            <v>384.46126553722371</v>
          </cell>
          <cell r="Q152">
            <v>12.519087871730537</v>
          </cell>
          <cell r="R152">
            <v>202.39839328000178</v>
          </cell>
          <cell r="S152">
            <v>1.7621754490620478</v>
          </cell>
          <cell r="T152">
            <v>3613.8424396483542</v>
          </cell>
          <cell r="U152">
            <v>12302.922547122744</v>
          </cell>
          <cell r="V152">
            <v>592.32317882224356</v>
          </cell>
          <cell r="W152">
            <v>62.856725840000003</v>
          </cell>
          <cell r="X152">
            <v>439.75885621982388</v>
          </cell>
          <cell r="Y152">
            <v>32.928353960000003</v>
          </cell>
          <cell r="Z152">
            <v>13961.703402433492</v>
          </cell>
          <cell r="AA152">
            <v>35367.397720445406</v>
          </cell>
        </row>
      </sheetData>
      <sheetData sheetId="3">
        <row r="14">
          <cell r="D14">
            <v>15043.106599351227</v>
          </cell>
          <cell r="G14">
            <v>15431.701736357198</v>
          </cell>
        </row>
        <row r="16">
          <cell r="D16">
            <v>15585.031011620114</v>
          </cell>
          <cell r="G16">
            <v>15511.564284446986</v>
          </cell>
        </row>
        <row r="17">
          <cell r="D17">
            <v>467.60251854557856</v>
          </cell>
          <cell r="G17">
            <v>644.65745266582564</v>
          </cell>
        </row>
        <row r="18">
          <cell r="D18">
            <v>39.171600937999997</v>
          </cell>
          <cell r="G18">
            <v>40.275130081730545</v>
          </cell>
        </row>
        <row r="19">
          <cell r="D19">
            <v>1.9104437350000001</v>
          </cell>
          <cell r="G19">
            <v>34.561465108565173</v>
          </cell>
        </row>
        <row r="20">
          <cell r="D20">
            <v>1311.0171104969199</v>
          </cell>
          <cell r="G20">
            <v>976.32988853667587</v>
          </cell>
        </row>
        <row r="21">
          <cell r="D21">
            <v>850.63694341863027</v>
          </cell>
          <cell r="G21">
            <v>191.42065803220851</v>
          </cell>
        </row>
        <row r="22">
          <cell r="D22">
            <v>1990.1991049151757</v>
          </cell>
          <cell r="G22">
            <v>2195.4068637830906</v>
          </cell>
        </row>
        <row r="23">
          <cell r="D23">
            <v>78.509337096382993</v>
          </cell>
          <cell r="G23">
            <v>341.4903152219116</v>
          </cell>
        </row>
        <row r="24">
          <cell r="G24">
            <v>35367.402803865196</v>
          </cell>
        </row>
      </sheetData>
      <sheetData sheetId="4">
        <row r="10">
          <cell r="D10">
            <v>5166.8943899764417</v>
          </cell>
        </row>
        <row r="11">
          <cell r="D11">
            <v>7.1419614463596455</v>
          </cell>
        </row>
        <row r="12">
          <cell r="D12">
            <v>69.55949236297505</v>
          </cell>
        </row>
        <row r="15">
          <cell r="D15">
            <v>1871.7879526473589</v>
          </cell>
        </row>
        <row r="20">
          <cell r="D20">
            <v>1060.8449099755894</v>
          </cell>
        </row>
        <row r="29">
          <cell r="D29">
            <v>1094.99293822406</v>
          </cell>
        </row>
        <row r="37">
          <cell r="D37">
            <v>251.11185484764289</v>
          </cell>
        </row>
        <row r="42">
          <cell r="D42">
            <v>811.45528047245602</v>
          </cell>
        </row>
        <row r="43">
          <cell r="D43">
            <v>120.18547409566767</v>
          </cell>
        </row>
        <row r="45">
          <cell r="D45">
            <v>142.23096197202668</v>
          </cell>
        </row>
        <row r="48">
          <cell r="D48">
            <v>4348.8174747720595</v>
          </cell>
        </row>
        <row r="49">
          <cell r="D49">
            <v>1898.3721043230425</v>
          </cell>
        </row>
        <row r="50">
          <cell r="D50">
            <v>88.00683373797176</v>
          </cell>
        </row>
        <row r="51">
          <cell r="D51">
            <v>153.90696517851802</v>
          </cell>
        </row>
        <row r="52">
          <cell r="D52">
            <v>1549.7299376630644</v>
          </cell>
        </row>
        <row r="53">
          <cell r="D53">
            <v>102.96031562737049</v>
          </cell>
        </row>
        <row r="54">
          <cell r="D54">
            <v>555.84131824209226</v>
          </cell>
        </row>
        <row r="55">
          <cell r="D55">
            <v>267.08652416982812</v>
          </cell>
        </row>
        <row r="58">
          <cell r="D58">
            <v>9782.7983889183288</v>
          </cell>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17.231201108</v>
          </cell>
          <cell r="D14">
            <v>164.84</v>
          </cell>
        </row>
        <row r="18">
          <cell r="C18">
            <v>263.03773810168866</v>
          </cell>
          <cell r="D18">
            <v>679.8024732183768</v>
          </cell>
        </row>
        <row r="23">
          <cell r="C23">
            <v>1166.9964997155435</v>
          </cell>
          <cell r="D23">
            <v>248.20381138204218</v>
          </cell>
        </row>
        <row r="24">
          <cell r="C24">
            <v>601.47862122399999</v>
          </cell>
          <cell r="D24">
            <v>110.18420551</v>
          </cell>
        </row>
        <row r="25">
          <cell r="C25">
            <v>149.71201695629998</v>
          </cell>
          <cell r="D25">
            <v>466.48101898946629</v>
          </cell>
        </row>
        <row r="26">
          <cell r="C26">
            <v>271.39245867799997</v>
          </cell>
          <cell r="D26">
            <v>192.31712204503003</v>
          </cell>
        </row>
        <row r="27">
          <cell r="C27">
            <v>2457.4524350944903</v>
          </cell>
          <cell r="D27">
            <v>1339.314717544328</v>
          </cell>
        </row>
        <row r="28">
          <cell r="C28">
            <v>5362.2332717232248</v>
          </cell>
          <cell r="D28">
            <v>1061.9857742437889</v>
          </cell>
        </row>
        <row r="29">
          <cell r="C29">
            <v>229.02702738800002</v>
          </cell>
          <cell r="D29">
            <v>21.553000000000001</v>
          </cell>
        </row>
        <row r="30">
          <cell r="C30">
            <v>0</v>
          </cell>
          <cell r="D30">
            <v>6.8</v>
          </cell>
        </row>
        <row r="31">
          <cell r="C31">
            <v>5.1999999999999998E-2</v>
          </cell>
          <cell r="D31">
            <v>6.3449999999999989</v>
          </cell>
        </row>
        <row r="33">
          <cell r="C33">
            <v>172.84230102733687</v>
          </cell>
          <cell r="D33">
            <v>75.398952908548992</v>
          </cell>
        </row>
        <row r="34">
          <cell r="C34">
            <v>1581.0466784300011</v>
          </cell>
          <cell r="D34">
            <v>407.77241986819297</v>
          </cell>
        </row>
        <row r="36">
          <cell r="C36">
            <v>1128.7520833679387</v>
          </cell>
          <cell r="D36">
            <v>99.211066295518648</v>
          </cell>
        </row>
        <row r="37">
          <cell r="C37">
            <v>300.80726319213693</v>
          </cell>
          <cell r="D37">
            <v>385.39540300722462</v>
          </cell>
        </row>
        <row r="38">
          <cell r="C38">
            <v>13702.062610006658</v>
          </cell>
          <cell r="D38">
            <v>5265.6049650125169</v>
          </cell>
          <cell r="E38">
            <v>645.33155654806251</v>
          </cell>
          <cell r="F38">
            <v>10393.451705383277</v>
          </cell>
          <cell r="G38">
            <v>600.50152208647773</v>
          </cell>
          <cell r="H38">
            <v>4762.9000794038866</v>
          </cell>
          <cell r="I38">
            <v>35369.852438440881</v>
          </cell>
        </row>
        <row r="40">
          <cell r="I40">
            <v>6812.3444822128668</v>
          </cell>
        </row>
        <row r="68">
          <cell r="C68">
            <v>147.48829464110113</v>
          </cell>
          <cell r="D68">
            <v>4.5298564432920907</v>
          </cell>
        </row>
        <row r="69">
          <cell r="C69">
            <v>1443.4938628717032</v>
          </cell>
          <cell r="D69">
            <v>2.0000001E-2</v>
          </cell>
        </row>
        <row r="72">
          <cell r="C72">
            <v>462.53380066707558</v>
          </cell>
          <cell r="D72">
            <v>504.95530957843397</v>
          </cell>
        </row>
        <row r="76">
          <cell r="C76">
            <v>7844.5886611002343</v>
          </cell>
          <cell r="D76">
            <v>1891.7489205338495</v>
          </cell>
        </row>
        <row r="77">
          <cell r="C77">
            <v>228.31377018429328</v>
          </cell>
          <cell r="D77">
            <v>73.223078299071986</v>
          </cell>
        </row>
        <row r="78">
          <cell r="C78">
            <v>0</v>
          </cell>
          <cell r="D78">
            <v>0</v>
          </cell>
        </row>
        <row r="79">
          <cell r="C79">
            <v>90.09590390167952</v>
          </cell>
          <cell r="D79">
            <v>161.68450579168572</v>
          </cell>
        </row>
        <row r="80">
          <cell r="C80">
            <v>21.612298249999998</v>
          </cell>
          <cell r="D80">
            <v>449.29347598899994</v>
          </cell>
        </row>
        <row r="81">
          <cell r="C81">
            <v>2814.5718033771636</v>
          </cell>
          <cell r="D81">
            <v>955.94251949492991</v>
          </cell>
        </row>
        <row r="82">
          <cell r="C82">
            <v>4601.0548853870969</v>
          </cell>
          <cell r="D82">
            <v>222.53534095916217</v>
          </cell>
        </row>
        <row r="83">
          <cell r="C83">
            <v>88.94000000000004</v>
          </cell>
          <cell r="D83">
            <v>29.07</v>
          </cell>
        </row>
        <row r="84">
          <cell r="E84">
            <v>-5.3400000000000321E-11</v>
          </cell>
          <cell r="F84">
            <v>3119.373528242395</v>
          </cell>
          <cell r="G84">
            <v>1.1990930820000001</v>
          </cell>
          <cell r="H84">
            <v>2386.3671403471844</v>
          </cell>
        </row>
        <row r="86">
          <cell r="C86">
            <v>3882.2593570383274</v>
          </cell>
          <cell r="D86">
            <v>1352.7407991445421</v>
          </cell>
        </row>
        <row r="89">
          <cell r="C89">
            <v>3.5203000000000002</v>
          </cell>
          <cell r="D89">
            <v>133.61429777960998</v>
          </cell>
        </row>
        <row r="92">
          <cell r="C92">
            <v>347.47949316600005</v>
          </cell>
          <cell r="D92">
            <v>47.370375246000002</v>
          </cell>
        </row>
        <row r="93">
          <cell r="C93">
            <v>1E-3</v>
          </cell>
          <cell r="D93">
            <v>19.98202152</v>
          </cell>
        </row>
        <row r="95">
          <cell r="C95">
            <v>127.11191224019001</v>
          </cell>
          <cell r="D95">
            <v>861.91172437827402</v>
          </cell>
        </row>
        <row r="96">
          <cell r="C96">
            <v>144.66462065338999</v>
          </cell>
          <cell r="D96">
            <v>8.2632443494699999</v>
          </cell>
        </row>
        <row r="97">
          <cell r="C97">
            <v>513.09209088696014</v>
          </cell>
          <cell r="D97">
            <v>205.19950786389691</v>
          </cell>
        </row>
        <row r="98">
          <cell r="C98">
            <v>14916.232420598073</v>
          </cell>
          <cell r="D98">
            <v>5030.3360568383687</v>
          </cell>
          <cell r="E98">
            <v>328.17779918186443</v>
          </cell>
          <cell r="F98">
            <v>8353.0272123935029</v>
          </cell>
          <cell r="G98">
            <v>80.154630284159254</v>
          </cell>
          <cell r="H98">
            <v>6661.8731474447541</v>
          </cell>
          <cell r="I98">
            <v>35369.801266740717</v>
          </cell>
        </row>
        <row r="100">
          <cell r="I100">
            <v>6799.8420027608672</v>
          </cell>
        </row>
      </sheetData>
      <sheetData sheetId="1">
        <row r="15">
          <cell r="C15">
            <v>698.52755358400009</v>
          </cell>
          <cell r="D15">
            <v>558.6066655044591</v>
          </cell>
          <cell r="E15">
            <v>149.6823550613</v>
          </cell>
          <cell r="F15">
            <v>271.323407944</v>
          </cell>
          <cell r="G15">
            <v>2443.5402555074911</v>
          </cell>
          <cell r="H15">
            <v>5578.2608591908383</v>
          </cell>
          <cell r="I15">
            <v>9699.9410967920885</v>
          </cell>
          <cell r="K15">
            <v>210.41152702788196</v>
          </cell>
        </row>
        <row r="16">
          <cell r="E16">
            <v>72.538852386299993</v>
          </cell>
          <cell r="F16">
            <v>89.522059456999997</v>
          </cell>
          <cell r="G16">
            <v>1182.5785600294905</v>
          </cell>
          <cell r="H16">
            <v>747.11379760023965</v>
          </cell>
        </row>
        <row r="17">
          <cell r="E17">
            <v>4.2538285330000001</v>
          </cell>
          <cell r="F17">
            <v>53.951845103999993</v>
          </cell>
          <cell r="G17">
            <v>206.52203513699999</v>
          </cell>
          <cell r="H17">
            <v>2783.5977792250551</v>
          </cell>
        </row>
        <row r="18">
          <cell r="E18">
            <v>72.886674142000004</v>
          </cell>
          <cell r="F18">
            <v>127.849503383</v>
          </cell>
          <cell r="G18">
            <v>1054.469660341</v>
          </cell>
          <cell r="H18">
            <v>2022.3492823655438</v>
          </cell>
        </row>
        <row r="19">
          <cell r="E19">
            <v>0</v>
          </cell>
          <cell r="F19">
            <v>0</v>
          </cell>
          <cell r="G19">
            <v>0</v>
          </cell>
          <cell r="H19">
            <v>25.2</v>
          </cell>
        </row>
        <row r="20">
          <cell r="I20">
            <v>0</v>
          </cell>
        </row>
        <row r="21">
          <cell r="I21">
            <v>538.36129959046912</v>
          </cell>
        </row>
        <row r="23">
          <cell r="C23">
            <v>248.21218756499999</v>
          </cell>
          <cell r="D23">
            <v>110.17582932704217</v>
          </cell>
          <cell r="E23">
            <v>466.55453198946623</v>
          </cell>
          <cell r="F23">
            <v>190.53312204503001</v>
          </cell>
          <cell r="G23">
            <v>1333.8607939617473</v>
          </cell>
          <cell r="H23">
            <v>1083.2679742437888</v>
          </cell>
          <cell r="I23">
            <v>3432.6044391320747</v>
          </cell>
          <cell r="K23">
            <v>4621.4441194674582</v>
          </cell>
        </row>
        <row r="24">
          <cell r="E24">
            <v>142.79323487448758</v>
          </cell>
          <cell r="F24">
            <v>117.00066446903</v>
          </cell>
          <cell r="G24">
            <v>512.46282317872124</v>
          </cell>
          <cell r="H24">
            <v>114.49115206894062</v>
          </cell>
        </row>
        <row r="25">
          <cell r="E25">
            <v>0.84649872100000001</v>
          </cell>
          <cell r="F25">
            <v>0.60899210400000003</v>
          </cell>
          <cell r="G25">
            <v>32.282101093000001</v>
          </cell>
          <cell r="H25">
            <v>157.28127069699988</v>
          </cell>
        </row>
        <row r="26">
          <cell r="E26">
            <v>322.91479839397857</v>
          </cell>
          <cell r="F26">
            <v>72.923465472000004</v>
          </cell>
          <cell r="G26">
            <v>789.11586969002599</v>
          </cell>
          <cell r="H26">
            <v>811.49555147784849</v>
          </cell>
        </row>
        <row r="27">
          <cell r="E27">
            <v>0</v>
          </cell>
          <cell r="F27">
            <v>0</v>
          </cell>
          <cell r="G27">
            <v>0</v>
          </cell>
          <cell r="H27">
            <v>0</v>
          </cell>
        </row>
        <row r="28">
          <cell r="I28">
            <v>0</v>
          </cell>
        </row>
        <row r="29">
          <cell r="I29">
            <v>7.5339999999999998</v>
          </cell>
        </row>
      </sheetData>
      <sheetData sheetId="2">
        <row r="16">
          <cell r="N16">
            <v>29962.571894376466</v>
          </cell>
          <cell r="AA16">
            <v>28630.976162577685</v>
          </cell>
        </row>
        <row r="17">
          <cell r="B17">
            <v>973.55261237981119</v>
          </cell>
          <cell r="C17">
            <v>44.376860301481834</v>
          </cell>
          <cell r="D17">
            <v>0</v>
          </cell>
          <cell r="E17">
            <v>22.505549928866358</v>
          </cell>
          <cell r="F17">
            <v>0</v>
          </cell>
          <cell r="G17">
            <v>1739.2284566760823</v>
          </cell>
          <cell r="H17">
            <v>4197.9084137306718</v>
          </cell>
          <cell r="I17">
            <v>222.24820266605622</v>
          </cell>
          <cell r="J17">
            <v>5.124760675000001</v>
          </cell>
          <cell r="K17">
            <v>102.59103476667084</v>
          </cell>
          <cell r="L17">
            <v>1.091510269</v>
          </cell>
          <cell r="M17">
            <v>11659.139701537484</v>
          </cell>
          <cell r="N17">
            <v>18967.757102931126</v>
          </cell>
          <cell r="O17">
            <v>821.92825240682203</v>
          </cell>
          <cell r="P17">
            <v>26.871357746660102</v>
          </cell>
          <cell r="Q17">
            <v>1.20225E-3</v>
          </cell>
          <cell r="R17">
            <v>16.033189789895999</v>
          </cell>
          <cell r="S17">
            <v>0</v>
          </cell>
          <cell r="T17">
            <v>2380.7036304793287</v>
          </cell>
          <cell r="U17">
            <v>4208.3921312288849</v>
          </cell>
          <cell r="V17">
            <v>143.88840323360168</v>
          </cell>
          <cell r="W17">
            <v>27.402842690000004</v>
          </cell>
          <cell r="X17">
            <v>30.474328337295944</v>
          </cell>
          <cell r="Y17">
            <v>2.9252073999999997</v>
          </cell>
          <cell r="Z17">
            <v>12287.917267799647</v>
          </cell>
          <cell r="AA17">
            <v>19946.515711668137</v>
          </cell>
        </row>
        <row r="23">
          <cell r="N23">
            <v>1205.900461744814</v>
          </cell>
          <cell r="AA23">
            <v>1024.9173078212689</v>
          </cell>
        </row>
        <row r="36">
          <cell r="N36">
            <v>1382.6745863091428</v>
          </cell>
          <cell r="AA36">
            <v>2041.78926349118</v>
          </cell>
        </row>
        <row r="76">
          <cell r="N76">
            <v>15.389438368</v>
          </cell>
          <cell r="AA76">
            <v>131.12665843457867</v>
          </cell>
        </row>
        <row r="82">
          <cell r="N82">
            <v>2404.5603653449948</v>
          </cell>
          <cell r="AA82">
            <v>1726.37218529654</v>
          </cell>
        </row>
        <row r="103">
          <cell r="N103">
            <v>2.4950296520000004</v>
          </cell>
          <cell r="AA103">
            <v>110.28786735036999</v>
          </cell>
        </row>
        <row r="131">
          <cell r="N131">
            <v>349.52259899959802</v>
          </cell>
          <cell r="AA131">
            <v>1651.2398477404984</v>
          </cell>
        </row>
        <row r="146">
          <cell r="N146">
            <v>2.6590020946199999</v>
          </cell>
          <cell r="AA146">
            <v>53.047227050000004</v>
          </cell>
        </row>
        <row r="149">
          <cell r="N149">
            <v>44.299917134000005</v>
          </cell>
          <cell r="AA149">
            <v>0</v>
          </cell>
        </row>
        <row r="152">
          <cell r="B152">
            <v>7411.2335643600081</v>
          </cell>
          <cell r="C152">
            <v>442.25219895524322</v>
          </cell>
          <cell r="D152">
            <v>28.403474942000003</v>
          </cell>
          <cell r="E152">
            <v>251.9494025728664</v>
          </cell>
          <cell r="F152">
            <v>18.202023000000001</v>
          </cell>
          <cell r="G152">
            <v>4876.3340200879638</v>
          </cell>
          <cell r="H152">
            <v>8734.987236154906</v>
          </cell>
          <cell r="I152">
            <v>752.56225956705623</v>
          </cell>
          <cell r="J152">
            <v>5.124760675000001</v>
          </cell>
          <cell r="K152">
            <v>173.29928725877085</v>
          </cell>
          <cell r="L152">
            <v>1.0925102689999999</v>
          </cell>
          <cell r="M152">
            <v>12674.624656708822</v>
          </cell>
          <cell r="O152">
            <v>4526.8545347414019</v>
          </cell>
          <cell r="P152">
            <v>371.77943095159765</v>
          </cell>
          <cell r="Q152">
            <v>6.1703201794400186</v>
          </cell>
          <cell r="R152">
            <v>155.44384437581849</v>
          </cell>
          <cell r="S152">
            <v>0.70524421853776964</v>
          </cell>
          <cell r="T152">
            <v>3840.4850289877772</v>
          </cell>
          <cell r="U152">
            <v>11539.110091979477</v>
          </cell>
          <cell r="V152">
            <v>537.21418027061475</v>
          </cell>
          <cell r="W152">
            <v>62.765411169999993</v>
          </cell>
          <cell r="X152">
            <v>388.58485519895549</v>
          </cell>
          <cell r="Y152">
            <v>34.441629399999997</v>
          </cell>
          <cell r="Z152">
            <v>13906.2240499825</v>
          </cell>
          <cell r="AA152">
            <v>35369.75651976213</v>
          </cell>
        </row>
      </sheetData>
      <sheetData sheetId="3">
        <row r="14">
          <cell r="D14">
            <v>14947.892765251161</v>
          </cell>
          <cell r="G14">
            <v>15324.558939506498</v>
          </cell>
        </row>
        <row r="16">
          <cell r="D16">
            <v>15458.671910102514</v>
          </cell>
          <cell r="G16">
            <v>15520.493560314675</v>
          </cell>
        </row>
        <row r="17">
          <cell r="D17">
            <v>443.75445464110157</v>
          </cell>
          <cell r="G17">
            <v>546.41696574771413</v>
          </cell>
        </row>
        <row r="18">
          <cell r="D18">
            <v>33.529388792999995</v>
          </cell>
          <cell r="G18">
            <v>34.235041916440018</v>
          </cell>
        </row>
        <row r="19">
          <cell r="D19">
            <v>19.294533268999999</v>
          </cell>
          <cell r="G19">
            <v>34.978975544239873</v>
          </cell>
        </row>
        <row r="20">
          <cell r="D20">
            <v>1220.1151924091785</v>
          </cell>
          <cell r="G20">
            <v>907.92306462330896</v>
          </cell>
        </row>
        <row r="21">
          <cell r="D21">
            <v>1028.0337607119695</v>
          </cell>
          <cell r="G21">
            <v>425.21897105386637</v>
          </cell>
        </row>
        <row r="22">
          <cell r="D22">
            <v>2140.3245132853676</v>
          </cell>
          <cell r="G22">
            <v>2232.8192934489362</v>
          </cell>
        </row>
        <row r="23">
          <cell r="D23">
            <v>78.306625327871984</v>
          </cell>
          <cell r="G23">
            <v>343.18815572854362</v>
          </cell>
        </row>
        <row r="24">
          <cell r="G24">
            <v>35369.833967884224</v>
          </cell>
        </row>
      </sheetData>
      <sheetData sheetId="4">
        <row r="10">
          <cell r="D10">
            <v>5138.6018137726624</v>
          </cell>
        </row>
        <row r="11">
          <cell r="D11">
            <v>6.7235906787951718</v>
          </cell>
        </row>
        <row r="12">
          <cell r="D12">
            <v>86.739885320625149</v>
          </cell>
        </row>
        <row r="15">
          <cell r="D15">
            <v>1841.4148149535815</v>
          </cell>
        </row>
        <row r="20">
          <cell r="D20">
            <v>1068.064328588388</v>
          </cell>
        </row>
        <row r="29">
          <cell r="D29">
            <v>1070.969790304217</v>
          </cell>
        </row>
        <row r="37">
          <cell r="D37">
            <v>251.77125501109865</v>
          </cell>
        </row>
        <row r="42">
          <cell r="D42">
            <v>812.91814891595709</v>
          </cell>
        </row>
        <row r="43">
          <cell r="D43">
            <v>127.20132631537298</v>
          </cell>
        </row>
        <row r="45">
          <cell r="D45">
            <v>151.60078867119611</v>
          </cell>
        </row>
        <row r="48">
          <cell r="D48">
            <v>4296.1958050884923</v>
          </cell>
        </row>
        <row r="49">
          <cell r="D49">
            <v>1950.5386812877844</v>
          </cell>
        </row>
        <row r="50">
          <cell r="D50">
            <v>85.162818219965175</v>
          </cell>
        </row>
        <row r="51">
          <cell r="D51">
            <v>108.70478611362125</v>
          </cell>
        </row>
        <row r="52">
          <cell r="D52">
            <v>1540.7472417995232</v>
          </cell>
        </row>
        <row r="53">
          <cell r="D53">
            <v>104.03196525536923</v>
          </cell>
        </row>
        <row r="54">
          <cell r="D54">
            <v>507.0103124122287</v>
          </cell>
        </row>
        <row r="55">
          <cell r="D55">
            <v>301.55149023442948</v>
          </cell>
        </row>
        <row r="58">
          <cell r="D58">
            <v>9736.3491090955849</v>
          </cell>
        </row>
      </sheetData>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26.632832565000005</v>
          </cell>
          <cell r="D14">
            <v>172.44</v>
          </cell>
        </row>
        <row r="18">
          <cell r="C18">
            <v>273.90295930824232</v>
          </cell>
          <cell r="D18">
            <v>700.50504189341495</v>
          </cell>
        </row>
        <row r="23">
          <cell r="C23">
            <v>1257.8811994874582</v>
          </cell>
          <cell r="D23">
            <v>292.29544431161548</v>
          </cell>
        </row>
        <row r="24">
          <cell r="C24">
            <v>629.02259548900008</v>
          </cell>
          <cell r="D24">
            <v>97.431567570000013</v>
          </cell>
        </row>
        <row r="25">
          <cell r="C25">
            <v>149.4757368503</v>
          </cell>
          <cell r="D25">
            <v>333.26755379863755</v>
          </cell>
        </row>
        <row r="26">
          <cell r="C26">
            <v>239.58763629499995</v>
          </cell>
          <cell r="D26">
            <v>144.16481788673002</v>
          </cell>
        </row>
        <row r="27">
          <cell r="C27">
            <v>2537.0759138720005</v>
          </cell>
          <cell r="D27">
            <v>1620.7918469945566</v>
          </cell>
        </row>
        <row r="28">
          <cell r="C28">
            <v>5410.4276304051718</v>
          </cell>
          <cell r="D28">
            <v>1082.0497938479416</v>
          </cell>
        </row>
        <row r="29">
          <cell r="C29">
            <v>222.78699282700003</v>
          </cell>
          <cell r="D29">
            <v>22.261774833999997</v>
          </cell>
        </row>
        <row r="30">
          <cell r="C30">
            <v>0</v>
          </cell>
          <cell r="D30">
            <v>0</v>
          </cell>
        </row>
        <row r="31">
          <cell r="C31">
            <v>0.03</v>
          </cell>
          <cell r="D31">
            <v>6.54</v>
          </cell>
        </row>
        <row r="33">
          <cell r="C33">
            <v>345.10133326469304</v>
          </cell>
          <cell r="D33">
            <v>75.138320589719996</v>
          </cell>
        </row>
        <row r="34">
          <cell r="C34">
            <v>1596.4278668461579</v>
          </cell>
          <cell r="D34">
            <v>421.21592294926018</v>
          </cell>
        </row>
        <row r="36">
          <cell r="C36">
            <v>1143.0842304849032</v>
          </cell>
          <cell r="D36">
            <v>85.730108710545323</v>
          </cell>
        </row>
        <row r="37">
          <cell r="C37">
            <v>306.55120997897518</v>
          </cell>
          <cell r="D37">
            <v>423.66329876416108</v>
          </cell>
        </row>
        <row r="38">
          <cell r="C38">
            <v>14137.989151673903</v>
          </cell>
          <cell r="D38">
            <v>5477.4954921505832</v>
          </cell>
          <cell r="E38">
            <v>661.76451478059425</v>
          </cell>
          <cell r="F38">
            <v>9270.7968929856015</v>
          </cell>
          <cell r="G38">
            <v>599.50354581871181</v>
          </cell>
          <cell r="H38">
            <v>4935.5157191520302</v>
          </cell>
          <cell r="I38">
            <v>35083.06531656142</v>
          </cell>
        </row>
        <row r="40">
          <cell r="I40">
            <v>7936.0968852188616</v>
          </cell>
        </row>
        <row r="68">
          <cell r="C68">
            <v>133.7987556468868</v>
          </cell>
          <cell r="D68">
            <v>4.6713439742920908</v>
          </cell>
        </row>
        <row r="69">
          <cell r="C69">
            <v>1492.0982083626318</v>
          </cell>
          <cell r="D69">
            <v>4.8000001E-2</v>
          </cell>
        </row>
        <row r="72">
          <cell r="C72">
            <v>544.55667611060608</v>
          </cell>
          <cell r="D72">
            <v>581.99648005373376</v>
          </cell>
        </row>
        <row r="76">
          <cell r="C76">
            <v>7834.3265038962018</v>
          </cell>
          <cell r="D76">
            <v>1840.2909312083482</v>
          </cell>
        </row>
        <row r="77">
          <cell r="C77">
            <v>219.14599623829335</v>
          </cell>
          <cell r="D77">
            <v>42.194689773071985</v>
          </cell>
        </row>
        <row r="78">
          <cell r="C78">
            <v>0</v>
          </cell>
          <cell r="D78">
            <v>0</v>
          </cell>
        </row>
        <row r="79">
          <cell r="C79">
            <v>87.671336895299518</v>
          </cell>
          <cell r="D79">
            <v>161.07532457974702</v>
          </cell>
        </row>
        <row r="80">
          <cell r="C80">
            <v>4.5144139999999995</v>
          </cell>
          <cell r="D80">
            <v>445.09921108599997</v>
          </cell>
        </row>
        <row r="81">
          <cell r="C81">
            <v>2825.7830575520502</v>
          </cell>
          <cell r="D81">
            <v>940.55364290940838</v>
          </cell>
        </row>
        <row r="82">
          <cell r="C82">
            <v>4611.6323016515589</v>
          </cell>
          <cell r="D82">
            <v>220.01806286012084</v>
          </cell>
        </row>
        <row r="83">
          <cell r="C83">
            <v>85.579397559000029</v>
          </cell>
          <cell r="D83">
            <v>31.35</v>
          </cell>
        </row>
        <row r="84">
          <cell r="E84">
            <v>-5.3400000000000321E-11</v>
          </cell>
          <cell r="F84">
            <v>3140.8967536603845</v>
          </cell>
          <cell r="G84">
            <v>1.1990930820000001</v>
          </cell>
          <cell r="H84">
            <v>2367.4226318970773</v>
          </cell>
        </row>
        <row r="86">
          <cell r="C86">
            <v>3864.7200586763283</v>
          </cell>
          <cell r="D86">
            <v>1371.3392460212735</v>
          </cell>
        </row>
        <row r="89">
          <cell r="C89">
            <v>7.1762569999999997</v>
          </cell>
          <cell r="D89">
            <v>134.44745909756</v>
          </cell>
        </row>
        <row r="92">
          <cell r="C92">
            <v>410.00194417600011</v>
          </cell>
          <cell r="D92">
            <v>48.203319012888656</v>
          </cell>
        </row>
        <row r="93">
          <cell r="C93">
            <v>1.7999999999999999E-2</v>
          </cell>
          <cell r="D93">
            <v>26.928999999999998</v>
          </cell>
        </row>
        <row r="95">
          <cell r="C95">
            <v>166.64511916132898</v>
          </cell>
          <cell r="D95">
            <v>870.4511450701167</v>
          </cell>
        </row>
        <row r="96">
          <cell r="C96">
            <v>146.23626145639003</v>
          </cell>
          <cell r="D96">
            <v>8.3149616924699981</v>
          </cell>
        </row>
        <row r="97">
          <cell r="C97">
            <v>547.80907721083213</v>
          </cell>
          <cell r="D97">
            <v>185.392540383473</v>
          </cell>
        </row>
        <row r="98">
          <cell r="C98">
            <v>15147.386902686489</v>
          </cell>
          <cell r="D98">
            <v>5072.0944265151556</v>
          </cell>
          <cell r="E98">
            <v>316.36653151386446</v>
          </cell>
          <cell r="F98">
            <v>8254.6274382707907</v>
          </cell>
          <cell r="G98">
            <v>57.489287368159253</v>
          </cell>
          <cell r="H98">
            <v>6235.0691640532496</v>
          </cell>
          <cell r="I98">
            <v>35083.033750407711</v>
          </cell>
        </row>
        <row r="100">
          <cell r="I100">
            <v>7925.3516077248642</v>
          </cell>
        </row>
      </sheetData>
      <sheetData sheetId="1">
        <row r="15">
          <cell r="C15">
            <v>774.95835714499992</v>
          </cell>
          <cell r="D15">
            <v>586.06231707737686</v>
          </cell>
          <cell r="E15">
            <v>149.51362370539999</v>
          </cell>
          <cell r="F15">
            <v>239.309583919</v>
          </cell>
          <cell r="G15">
            <v>2523.164542904</v>
          </cell>
          <cell r="H15">
            <v>5620.6934253811332</v>
          </cell>
          <cell r="I15">
            <v>9893.7018501319108</v>
          </cell>
          <cell r="K15">
            <v>200.48468355050994</v>
          </cell>
        </row>
        <row r="16">
          <cell r="E16">
            <v>74.071664681399994</v>
          </cell>
          <cell r="F16">
            <v>52.357205913000008</v>
          </cell>
          <cell r="G16">
            <v>1194.7748293469999</v>
          </cell>
          <cell r="H16">
            <v>748.57150118969014</v>
          </cell>
        </row>
        <row r="17">
          <cell r="E17">
            <v>6.7492386960000017</v>
          </cell>
          <cell r="F17">
            <v>58.016642758999993</v>
          </cell>
          <cell r="G17">
            <v>287.15649133600004</v>
          </cell>
          <cell r="H17">
            <v>2805.3568332881869</v>
          </cell>
        </row>
        <row r="18">
          <cell r="E18">
            <v>68.692720328000007</v>
          </cell>
          <cell r="F18">
            <v>128.935735247</v>
          </cell>
          <cell r="G18">
            <v>1041.263222221</v>
          </cell>
          <cell r="H18">
            <v>2041.565090903257</v>
          </cell>
        </row>
        <row r="19">
          <cell r="E19">
            <v>0</v>
          </cell>
          <cell r="F19">
            <v>0</v>
          </cell>
          <cell r="G19">
            <v>0</v>
          </cell>
          <cell r="H19">
            <v>25.2</v>
          </cell>
        </row>
        <row r="20">
          <cell r="I20">
            <v>0</v>
          </cell>
        </row>
        <row r="21">
          <cell r="I21">
            <v>552.51233616712216</v>
          </cell>
        </row>
        <row r="23">
          <cell r="C23">
            <v>292.31620754300002</v>
          </cell>
          <cell r="D23">
            <v>97.410804338615492</v>
          </cell>
          <cell r="E23">
            <v>333.24352017290136</v>
          </cell>
          <cell r="F23">
            <v>142.38181788673</v>
          </cell>
          <cell r="G23">
            <v>1615.3611336191252</v>
          </cell>
          <cell r="H23">
            <v>1104.2138023076775</v>
          </cell>
          <cell r="I23">
            <v>3584.9272858680497</v>
          </cell>
          <cell r="K23">
            <v>3889.4980772311424</v>
          </cell>
        </row>
        <row r="24">
          <cell r="E24">
            <v>83.4033900567308</v>
          </cell>
          <cell r="F24">
            <v>94.121206078729998</v>
          </cell>
          <cell r="G24">
            <v>616.17693670676772</v>
          </cell>
          <cell r="H24">
            <v>117.25536725406431</v>
          </cell>
        </row>
        <row r="25">
          <cell r="E25">
            <v>0.42525521399999994</v>
          </cell>
          <cell r="F25">
            <v>1.2116312890000003</v>
          </cell>
          <cell r="G25">
            <v>35.230759202999998</v>
          </cell>
          <cell r="H25">
            <v>165.71529023199994</v>
          </cell>
        </row>
        <row r="26">
          <cell r="E26">
            <v>249.41487490217057</v>
          </cell>
          <cell r="F26">
            <v>47.04898051899999</v>
          </cell>
          <cell r="G26">
            <v>963.95343770935756</v>
          </cell>
          <cell r="H26">
            <v>821.24314482161333</v>
          </cell>
        </row>
        <row r="27">
          <cell r="E27">
            <v>0</v>
          </cell>
          <cell r="F27">
            <v>0</v>
          </cell>
          <cell r="G27">
            <v>0</v>
          </cell>
          <cell r="H27">
            <v>0</v>
          </cell>
        </row>
        <row r="28">
          <cell r="I28">
            <v>0</v>
          </cell>
        </row>
        <row r="29">
          <cell r="I29">
            <v>7.3829999999999991</v>
          </cell>
        </row>
      </sheetData>
      <sheetData sheetId="2">
        <row r="16">
          <cell r="N16">
            <v>29466.424461203631</v>
          </cell>
          <cell r="AA16">
            <v>28946.173685183163</v>
          </cell>
        </row>
        <row r="17">
          <cell r="B17">
            <v>976.51659663148871</v>
          </cell>
          <cell r="C17">
            <v>56.594464570160852</v>
          </cell>
          <cell r="D17">
            <v>0</v>
          </cell>
          <cell r="E17">
            <v>17.265090167818002</v>
          </cell>
          <cell r="F17">
            <v>0</v>
          </cell>
          <cell r="G17">
            <v>1776.1917114997159</v>
          </cell>
          <cell r="H17">
            <v>4234.9284310154726</v>
          </cell>
          <cell r="I17">
            <v>224.01313174628001</v>
          </cell>
          <cell r="J17">
            <v>7.6456133689999994</v>
          </cell>
          <cell r="K17">
            <v>97.681272437291994</v>
          </cell>
          <cell r="L17">
            <v>1.2767219489999999</v>
          </cell>
          <cell r="M17">
            <v>12223.404031216021</v>
          </cell>
          <cell r="N17">
            <v>19615.51115182845</v>
          </cell>
          <cell r="O17">
            <v>808.61146566085654</v>
          </cell>
          <cell r="P17">
            <v>39.761991647162638</v>
          </cell>
          <cell r="Q17">
            <v>1.20225E-3</v>
          </cell>
          <cell r="R17">
            <v>13.343551882524002</v>
          </cell>
          <cell r="S17">
            <v>0</v>
          </cell>
          <cell r="T17">
            <v>2496.0132867744155</v>
          </cell>
          <cell r="U17">
            <v>4051.5905327813525</v>
          </cell>
          <cell r="V17">
            <v>238.83035541779407</v>
          </cell>
          <cell r="W17">
            <v>31.59983738</v>
          </cell>
          <cell r="X17">
            <v>144.83837140409506</v>
          </cell>
          <cell r="Y17">
            <v>12.396502735076131</v>
          </cell>
          <cell r="Z17">
            <v>12382.578123209456</v>
          </cell>
          <cell r="AA17">
            <v>20219.544984401728</v>
          </cell>
        </row>
        <row r="23">
          <cell r="N23">
            <v>1235.1918979784473</v>
          </cell>
          <cell r="AA23">
            <v>1021.3194817936972</v>
          </cell>
        </row>
        <row r="36">
          <cell r="N36">
            <v>1463.0049927131324</v>
          </cell>
          <cell r="AA36">
            <v>1978.1119075150409</v>
          </cell>
        </row>
        <row r="76">
          <cell r="N76">
            <v>14.036229185</v>
          </cell>
          <cell r="AA76">
            <v>130.73244685604087</v>
          </cell>
        </row>
        <row r="82">
          <cell r="N82">
            <v>2420.3799958603881</v>
          </cell>
          <cell r="AA82">
            <v>1634.8997066570371</v>
          </cell>
        </row>
        <row r="103">
          <cell r="N103">
            <v>0.28103623</v>
          </cell>
          <cell r="AA103">
            <v>101.997</v>
          </cell>
        </row>
        <row r="131">
          <cell r="N131">
            <v>390.720990065514</v>
          </cell>
          <cell r="AA131">
            <v>1222.8818282584755</v>
          </cell>
        </row>
        <row r="146">
          <cell r="N146">
            <v>2.0664684046200001</v>
          </cell>
          <cell r="AA146">
            <v>46.924226013992183</v>
          </cell>
        </row>
        <row r="149">
          <cell r="N149">
            <v>90.969265108999991</v>
          </cell>
          <cell r="AA149">
            <v>0</v>
          </cell>
        </row>
        <row r="152">
          <cell r="B152">
            <v>7035.0104065716769</v>
          </cell>
          <cell r="C152">
            <v>587.82609665084124</v>
          </cell>
          <cell r="D152">
            <v>27.778548428999997</v>
          </cell>
          <cell r="E152">
            <v>238.07515801781798</v>
          </cell>
          <cell r="F152">
            <v>28.702015000000003</v>
          </cell>
          <cell r="G152">
            <v>4945.54230386987</v>
          </cell>
          <cell r="H152">
            <v>8173.6726542923225</v>
          </cell>
          <cell r="I152">
            <v>559.19476959328006</v>
          </cell>
          <cell r="J152">
            <v>7.7456133689999991</v>
          </cell>
          <cell r="K152">
            <v>257.89263676685852</v>
          </cell>
          <cell r="L152">
            <v>1.277721949</v>
          </cell>
          <cell r="M152">
            <v>13220.349712100067</v>
          </cell>
          <cell r="O152">
            <v>3821.727263653182</v>
          </cell>
          <cell r="P152">
            <v>351.96261416418429</v>
          </cell>
          <cell r="Q152">
            <v>7.9684747601915582</v>
          </cell>
          <cell r="R152">
            <v>203.45161302477823</v>
          </cell>
          <cell r="S152">
            <v>1.2137571734337902</v>
          </cell>
          <cell r="T152">
            <v>3996.0103344242643</v>
          </cell>
          <cell r="U152">
            <v>11688.905636530975</v>
          </cell>
          <cell r="V152">
            <v>415.65158163403885</v>
          </cell>
          <cell r="W152">
            <v>66.864272189999994</v>
          </cell>
          <cell r="X152">
            <v>494.21857910448404</v>
          </cell>
          <cell r="Y152">
            <v>35.396502735076133</v>
          </cell>
          <cell r="Z152">
            <v>13999.689889623836</v>
          </cell>
          <cell r="AA152">
            <v>35083.040282277449</v>
          </cell>
        </row>
      </sheetData>
      <sheetData sheetId="3">
        <row r="14">
          <cell r="D14">
            <v>15399.205449843175</v>
          </cell>
          <cell r="G14">
            <v>15521.247968994385</v>
          </cell>
        </row>
        <row r="16">
          <cell r="D16">
            <v>14497.297963669243</v>
          </cell>
          <cell r="G16">
            <v>14870.308143547571</v>
          </cell>
        </row>
        <row r="17">
          <cell r="D17">
            <v>525.56192936121931</v>
          </cell>
          <cell r="G17">
            <v>700.07016183426242</v>
          </cell>
        </row>
        <row r="18">
          <cell r="D18">
            <v>35.525311537999997</v>
          </cell>
          <cell r="G18">
            <v>40.232059618191556</v>
          </cell>
        </row>
        <row r="19">
          <cell r="D19">
            <v>29.939736948999997</v>
          </cell>
          <cell r="G19">
            <v>36.491743927509916</v>
          </cell>
        </row>
        <row r="20">
          <cell r="D20">
            <v>1170.7193753877561</v>
          </cell>
          <cell r="G20">
            <v>941.50761174397917</v>
          </cell>
        </row>
        <row r="21">
          <cell r="D21">
            <v>1258.9890453314604</v>
          </cell>
          <cell r="G21">
            <v>389.67224666308664</v>
          </cell>
        </row>
        <row r="22">
          <cell r="D22">
            <v>2066.7179511815507</v>
          </cell>
          <cell r="G22">
            <v>2248.8855186078372</v>
          </cell>
        </row>
        <row r="23">
          <cell r="D23">
            <v>99.12488531998298</v>
          </cell>
          <cell r="G23">
            <v>334.69543614625508</v>
          </cell>
        </row>
        <row r="24">
          <cell r="G24">
            <v>35083.102523941081</v>
          </cell>
        </row>
      </sheetData>
      <sheetData sheetId="4">
        <row r="10">
          <cell r="D10">
            <v>5103.4229307634432</v>
          </cell>
        </row>
        <row r="11">
          <cell r="D11">
            <v>6.8257020886204547</v>
          </cell>
        </row>
        <row r="12">
          <cell r="D12">
            <v>73.297648381999991</v>
          </cell>
        </row>
        <row r="15">
          <cell r="D15">
            <v>1826.5718141712584</v>
          </cell>
        </row>
        <row r="20">
          <cell r="D20">
            <v>1083.0764531122943</v>
          </cell>
        </row>
        <row r="29">
          <cell r="D29">
            <v>1059.0000323648308</v>
          </cell>
        </row>
        <row r="37">
          <cell r="D37">
            <v>248.72188217981335</v>
          </cell>
        </row>
        <row r="42">
          <cell r="D42">
            <v>805.92939846462582</v>
          </cell>
        </row>
        <row r="43">
          <cell r="D43">
            <v>128.02113652357514</v>
          </cell>
        </row>
        <row r="45">
          <cell r="D45">
            <v>161.39104929325273</v>
          </cell>
        </row>
        <row r="48">
          <cell r="D48">
            <v>4309.8445728314227</v>
          </cell>
        </row>
        <row r="49">
          <cell r="D49">
            <v>1982.5500166120194</v>
          </cell>
        </row>
        <row r="50">
          <cell r="D50">
            <v>121.86646924681719</v>
          </cell>
        </row>
        <row r="51">
          <cell r="D51">
            <v>153.59971824170697</v>
          </cell>
        </row>
        <row r="52">
          <cell r="D52">
            <v>1586.9348371448605</v>
          </cell>
        </row>
        <row r="53">
          <cell r="D53">
            <v>102.12738697223097</v>
          </cell>
        </row>
        <row r="54">
          <cell r="D54">
            <v>362.76614461378767</v>
          </cell>
        </row>
        <row r="55">
          <cell r="D55">
            <v>261.35494619439589</v>
          </cell>
        </row>
        <row r="58">
          <cell r="D58">
            <v>9674.6224497892617</v>
          </cell>
        </row>
      </sheetData>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17.174647759999999</v>
          </cell>
          <cell r="D14">
            <v>130.86000000000001</v>
          </cell>
        </row>
        <row r="18">
          <cell r="C18">
            <v>371.52544422899996</v>
          </cell>
          <cell r="D18">
            <v>625.75068863699994</v>
          </cell>
        </row>
        <row r="23">
          <cell r="C23">
            <v>1170.2871287293356</v>
          </cell>
          <cell r="D23">
            <v>223.80228821499998</v>
          </cell>
        </row>
        <row r="24">
          <cell r="C24">
            <v>616.19676617700009</v>
          </cell>
          <cell r="D24">
            <v>81.573583690999996</v>
          </cell>
        </row>
        <row r="25">
          <cell r="C25">
            <v>152.41779046330001</v>
          </cell>
          <cell r="D25">
            <v>344.24175391368613</v>
          </cell>
        </row>
        <row r="26">
          <cell r="C26">
            <v>307.87487192899999</v>
          </cell>
          <cell r="D26">
            <v>137.28900773070529</v>
          </cell>
        </row>
        <row r="27">
          <cell r="C27">
            <v>2511.2242547469423</v>
          </cell>
          <cell r="D27">
            <v>1441.3783015507349</v>
          </cell>
        </row>
        <row r="28">
          <cell r="C28">
            <v>5469.9411900881805</v>
          </cell>
          <cell r="D28">
            <v>1092.1276626399535</v>
          </cell>
        </row>
        <row r="29">
          <cell r="C29">
            <v>224.81938618000007</v>
          </cell>
          <cell r="D29">
            <v>21.075251508999997</v>
          </cell>
        </row>
        <row r="30">
          <cell r="C30">
            <v>0</v>
          </cell>
          <cell r="D30">
            <v>0</v>
          </cell>
        </row>
        <row r="31">
          <cell r="C31">
            <v>7.8E-2</v>
          </cell>
          <cell r="D31">
            <v>5.5890770500000002</v>
          </cell>
        </row>
        <row r="33">
          <cell r="C33">
            <v>360.69671892969296</v>
          </cell>
          <cell r="D33">
            <v>39.02519133082</v>
          </cell>
        </row>
        <row r="34">
          <cell r="C34">
            <v>1703.1874981949982</v>
          </cell>
          <cell r="D34">
            <v>302.17908827507199</v>
          </cell>
        </row>
        <row r="36">
          <cell r="C36">
            <v>1147.5706631009082</v>
          </cell>
          <cell r="D36">
            <v>71.651179889633624</v>
          </cell>
        </row>
        <row r="37">
          <cell r="C37">
            <v>328.49918665841625</v>
          </cell>
          <cell r="D37">
            <v>403.29988744892137</v>
          </cell>
        </row>
        <row r="38">
          <cell r="C38">
            <v>14381.465561186773</v>
          </cell>
          <cell r="D38">
            <v>4919.8429618815262</v>
          </cell>
          <cell r="E38">
            <v>738.32564395227769</v>
          </cell>
          <cell r="F38">
            <v>9235.8523274188356</v>
          </cell>
          <cell r="G38">
            <v>594.54050999115816</v>
          </cell>
          <cell r="H38">
            <v>5697.7853978099502</v>
          </cell>
          <cell r="I38">
            <v>35567.812402240525</v>
          </cell>
        </row>
        <row r="40">
          <cell r="I40">
            <v>8829.1639588543185</v>
          </cell>
        </row>
        <row r="68">
          <cell r="C68">
            <v>119.91607337023304</v>
          </cell>
          <cell r="D68">
            <v>5.6436559242920907</v>
          </cell>
        </row>
        <row r="69">
          <cell r="C69">
            <v>1484.13137904</v>
          </cell>
          <cell r="D69">
            <v>2.0000001E-2</v>
          </cell>
        </row>
        <row r="72">
          <cell r="C72">
            <v>617.0928657451675</v>
          </cell>
          <cell r="D72">
            <v>536.44771731823062</v>
          </cell>
        </row>
        <row r="76">
          <cell r="C76">
            <v>7899.4233463908859</v>
          </cell>
          <cell r="D76">
            <v>1891.2313957050185</v>
          </cell>
        </row>
        <row r="77">
          <cell r="C77">
            <v>239.50097390229348</v>
          </cell>
          <cell r="D77">
            <v>98.663446690071993</v>
          </cell>
        </row>
        <row r="78">
          <cell r="C78">
            <v>0</v>
          </cell>
          <cell r="D78">
            <v>0</v>
          </cell>
        </row>
        <row r="79">
          <cell r="C79">
            <v>89.992983656299501</v>
          </cell>
          <cell r="D79">
            <v>155.95253423816189</v>
          </cell>
        </row>
        <row r="80">
          <cell r="C80">
            <v>4.6417117999999995</v>
          </cell>
          <cell r="D80">
            <v>455.38205115660003</v>
          </cell>
        </row>
        <row r="81">
          <cell r="C81">
            <v>2831.558456926743</v>
          </cell>
          <cell r="D81">
            <v>919.83037818415858</v>
          </cell>
        </row>
        <row r="82">
          <cell r="C82">
            <v>4641.7133308975499</v>
          </cell>
          <cell r="D82">
            <v>230.20298543602604</v>
          </cell>
        </row>
        <row r="83">
          <cell r="C83">
            <v>92.015889208000075</v>
          </cell>
          <cell r="D83">
            <v>31.200000000000003</v>
          </cell>
        </row>
        <row r="84">
          <cell r="E84">
            <v>-5.3400000000000321E-11</v>
          </cell>
          <cell r="F84">
            <v>3237.1539123654775</v>
          </cell>
          <cell r="G84">
            <v>1.1990930820000001</v>
          </cell>
          <cell r="H84">
            <v>2384.2648571019822</v>
          </cell>
        </row>
        <row r="86">
          <cell r="C86">
            <v>3889.3762795043285</v>
          </cell>
          <cell r="D86">
            <v>1442.0538544925143</v>
          </cell>
        </row>
        <row r="89">
          <cell r="C89">
            <v>3.6882570000000001</v>
          </cell>
          <cell r="D89">
            <v>145.50186272056001</v>
          </cell>
        </row>
        <row r="92">
          <cell r="C92">
            <v>415.73770823799998</v>
          </cell>
          <cell r="D92">
            <v>45.700720171</v>
          </cell>
        </row>
        <row r="93">
          <cell r="C93">
            <v>2.5999999999999999E-2</v>
          </cell>
          <cell r="D93">
            <v>33.406050690000001</v>
          </cell>
        </row>
        <row r="95">
          <cell r="C95">
            <v>167.15826221232899</v>
          </cell>
          <cell r="D95">
            <v>873.84413844130756</v>
          </cell>
        </row>
        <row r="96">
          <cell r="C96">
            <v>153.59454360436226</v>
          </cell>
          <cell r="D96">
            <v>0.40343589600000002</v>
          </cell>
        </row>
        <row r="97">
          <cell r="C97">
            <v>582.31534322296716</v>
          </cell>
          <cell r="D97">
            <v>205.06191087149307</v>
          </cell>
        </row>
        <row r="98">
          <cell r="C98">
            <v>15332.46516796009</v>
          </cell>
          <cell r="D98">
            <v>5179.3147422314159</v>
          </cell>
          <cell r="E98">
            <v>312.9830147588645</v>
          </cell>
          <cell r="F98">
            <v>8357.76696445981</v>
          </cell>
          <cell r="G98">
            <v>62.062292247159249</v>
          </cell>
          <cell r="H98">
            <v>6323.1267597258429</v>
          </cell>
          <cell r="I98">
            <v>35567.718941383187</v>
          </cell>
        </row>
        <row r="100">
          <cell r="I100">
            <v>8813.9596695843211</v>
          </cell>
        </row>
      </sheetData>
      <sheetData sheetId="1">
        <row r="15">
          <cell r="C15">
            <v>687.8103569220001</v>
          </cell>
          <cell r="D15">
            <v>568.12170558600008</v>
          </cell>
          <cell r="E15">
            <v>152.37686106839999</v>
          </cell>
          <cell r="F15">
            <v>307.57125425999999</v>
          </cell>
          <cell r="G15">
            <v>2497.3406871129428</v>
          </cell>
          <cell r="H15">
            <v>5682.1581078760255</v>
          </cell>
          <cell r="I15">
            <v>9895.3789728253687</v>
          </cell>
          <cell r="K15">
            <v>204.49426857850997</v>
          </cell>
        </row>
        <row r="16">
          <cell r="E16">
            <v>74.673405687399992</v>
          </cell>
          <cell r="F16">
            <v>91.915507675000001</v>
          </cell>
          <cell r="G16">
            <v>1182.8926155619997</v>
          </cell>
          <cell r="H16">
            <v>786.19699429713035</v>
          </cell>
        </row>
        <row r="17">
          <cell r="E17">
            <v>6.1891783790000003</v>
          </cell>
          <cell r="F17">
            <v>46.466905468999997</v>
          </cell>
          <cell r="G17">
            <v>244.91490540300001</v>
          </cell>
          <cell r="H17">
            <v>2812.4848281332934</v>
          </cell>
        </row>
        <row r="18">
          <cell r="E18">
            <v>71.514277002</v>
          </cell>
          <cell r="F18">
            <v>169.18884111599999</v>
          </cell>
          <cell r="G18">
            <v>1069.5331661479431</v>
          </cell>
          <cell r="H18">
            <v>2049.2762854456014</v>
          </cell>
        </row>
        <row r="19">
          <cell r="E19">
            <v>0</v>
          </cell>
          <cell r="F19">
            <v>0</v>
          </cell>
          <cell r="G19">
            <v>0</v>
          </cell>
          <cell r="H19">
            <v>34.200000000000003</v>
          </cell>
        </row>
        <row r="20">
          <cell r="I20">
            <v>0</v>
          </cell>
        </row>
        <row r="21">
          <cell r="I21">
            <v>557.33286866149319</v>
          </cell>
        </row>
        <row r="23">
          <cell r="C23">
            <v>223.76228821499998</v>
          </cell>
          <cell r="D23">
            <v>81.553583691</v>
          </cell>
          <cell r="E23">
            <v>344.21230491368607</v>
          </cell>
          <cell r="F23">
            <v>135.54950060899998</v>
          </cell>
          <cell r="G23">
            <v>1435.8590125086871</v>
          </cell>
          <cell r="H23">
            <v>1113.1311141489537</v>
          </cell>
          <cell r="I23">
            <v>3334.0678040863272</v>
          </cell>
          <cell r="K23">
            <v>3821.2194807922174</v>
          </cell>
        </row>
        <row r="24">
          <cell r="E24">
            <v>94.590457061223091</v>
          </cell>
          <cell r="F24">
            <v>62.131441283999997</v>
          </cell>
          <cell r="G24">
            <v>556.57487868843054</v>
          </cell>
          <cell r="H24">
            <v>115.59055788470653</v>
          </cell>
        </row>
        <row r="25">
          <cell r="E25">
            <v>0.61529920699999996</v>
          </cell>
          <cell r="F25">
            <v>3.0155016659999996</v>
          </cell>
          <cell r="G25">
            <v>41.362503281999999</v>
          </cell>
          <cell r="H25">
            <v>166.46835192400002</v>
          </cell>
        </row>
        <row r="26">
          <cell r="E26">
            <v>249.006548645463</v>
          </cell>
          <cell r="F26">
            <v>70.402557658999996</v>
          </cell>
          <cell r="G26">
            <v>837.92163053825652</v>
          </cell>
          <cell r="H26">
            <v>831.07220434024714</v>
          </cell>
        </row>
        <row r="27">
          <cell r="E27">
            <v>0</v>
          </cell>
          <cell r="F27">
            <v>0</v>
          </cell>
          <cell r="G27">
            <v>0</v>
          </cell>
          <cell r="H27">
            <v>0</v>
          </cell>
        </row>
        <row r="28">
          <cell r="I28">
            <v>0</v>
          </cell>
        </row>
        <row r="29">
          <cell r="I29">
            <v>7.3839999999999995</v>
          </cell>
        </row>
      </sheetData>
      <sheetData sheetId="2">
        <row r="16">
          <cell r="N16">
            <v>29122.565947123301</v>
          </cell>
          <cell r="AA16">
            <v>29315.552855112426</v>
          </cell>
        </row>
        <row r="17">
          <cell r="B17">
            <v>772.60373319032601</v>
          </cell>
          <cell r="C17">
            <v>61.060175219733729</v>
          </cell>
          <cell r="D17">
            <v>0</v>
          </cell>
          <cell r="E17">
            <v>17.982574919094198</v>
          </cell>
          <cell r="F17">
            <v>0</v>
          </cell>
          <cell r="G17">
            <v>1864.9346540292886</v>
          </cell>
          <cell r="H17">
            <v>3998.6843145996327</v>
          </cell>
          <cell r="I17">
            <v>220.62225857079324</v>
          </cell>
          <cell r="J17">
            <v>5.2299980520000009</v>
          </cell>
          <cell r="K17">
            <v>94.702382936015809</v>
          </cell>
          <cell r="L17">
            <v>1.4535315720000002</v>
          </cell>
          <cell r="M17">
            <v>12263.994342067921</v>
          </cell>
          <cell r="N17">
            <v>19301.262216067305</v>
          </cell>
          <cell r="O17">
            <v>790.19207397372577</v>
          </cell>
          <cell r="P17">
            <v>38.52777444666355</v>
          </cell>
          <cell r="Q17">
            <v>0</v>
          </cell>
          <cell r="R17">
            <v>13.975719259478</v>
          </cell>
          <cell r="S17">
            <v>0</v>
          </cell>
          <cell r="T17">
            <v>2552.7206549854841</v>
          </cell>
          <cell r="U17">
            <v>3980.6487536896529</v>
          </cell>
          <cell r="V17">
            <v>450.75243620113628</v>
          </cell>
          <cell r="W17">
            <v>24.11581881</v>
          </cell>
          <cell r="X17">
            <v>24.783726721752906</v>
          </cell>
          <cell r="Y17">
            <v>12.755722725842816</v>
          </cell>
          <cell r="Z17">
            <v>12623.161943124953</v>
          </cell>
          <cell r="AA17">
            <v>20511.62556861369</v>
          </cell>
        </row>
        <row r="23">
          <cell r="N23">
            <v>1305.4632388357579</v>
          </cell>
          <cell r="AA23">
            <v>1032.0607200324769</v>
          </cell>
        </row>
        <row r="36">
          <cell r="N36">
            <v>1904.711319024027</v>
          </cell>
          <cell r="AA36">
            <v>1943.2448867117748</v>
          </cell>
        </row>
        <row r="76">
          <cell r="N76">
            <v>13.546842870999999</v>
          </cell>
          <cell r="AA76">
            <v>190.01263192133001</v>
          </cell>
        </row>
        <row r="82">
          <cell r="N82">
            <v>2573.2682198710845</v>
          </cell>
          <cell r="AA82">
            <v>1558.5969554407923</v>
          </cell>
        </row>
        <row r="103">
          <cell r="N103">
            <v>1.5650898680000001</v>
          </cell>
          <cell r="AA103">
            <v>102.09700000000001</v>
          </cell>
        </row>
        <row r="131">
          <cell r="N131">
            <v>492.55774525060065</v>
          </cell>
          <cell r="AA131">
            <v>1379.4169336071864</v>
          </cell>
        </row>
        <row r="146">
          <cell r="N146">
            <v>4.18428448462</v>
          </cell>
          <cell r="AA146">
            <v>46.549803418383263</v>
          </cell>
        </row>
        <row r="149">
          <cell r="N149">
            <v>150.05546493300002</v>
          </cell>
          <cell r="AA149">
            <v>0</v>
          </cell>
        </row>
        <row r="152">
          <cell r="B152">
            <v>7822.3697035604109</v>
          </cell>
          <cell r="C152">
            <v>485.87034934884628</v>
          </cell>
          <cell r="D152">
            <v>36.279582633000004</v>
          </cell>
          <cell r="E152">
            <v>185.09885607109416</v>
          </cell>
          <cell r="F152">
            <v>28.902013</v>
          </cell>
          <cell r="G152">
            <v>4923.1488871477741</v>
          </cell>
          <cell r="H152">
            <v>7834.1997368997791</v>
          </cell>
          <cell r="I152">
            <v>567.83464954379326</v>
          </cell>
          <cell r="J152">
            <v>11.329998052000001</v>
          </cell>
          <cell r="K152">
            <v>203.06370847441821</v>
          </cell>
          <cell r="L152">
            <v>1.4545315720000001</v>
          </cell>
          <cell r="M152">
            <v>13468.364274039777</v>
          </cell>
          <cell r="O152">
            <v>4166.534958967206</v>
          </cell>
          <cell r="P152">
            <v>371.8553612000905</v>
          </cell>
          <cell r="Q152">
            <v>6.6324878133177192</v>
          </cell>
          <cell r="R152">
            <v>125.27054925816715</v>
          </cell>
          <cell r="S152">
            <v>0.80974157487556175</v>
          </cell>
          <cell r="T152">
            <v>3984.3732312274456</v>
          </cell>
          <cell r="U152">
            <v>11638.006151599497</v>
          </cell>
          <cell r="V152">
            <v>625.43267730646153</v>
          </cell>
          <cell r="W152">
            <v>39.782816489999995</v>
          </cell>
          <cell r="X152">
            <v>343.90335050437028</v>
          </cell>
          <cell r="Y152">
            <v>35.755722725842816</v>
          </cell>
          <cell r="Z152">
            <v>14229.183792902099</v>
          </cell>
          <cell r="AA152">
            <v>35567.53178624437</v>
          </cell>
        </row>
      </sheetData>
      <sheetData sheetId="3">
        <row r="14">
          <cell r="D14">
            <v>15714.350227090226</v>
          </cell>
          <cell r="G14">
            <v>15707.559265435993</v>
          </cell>
        </row>
        <row r="16">
          <cell r="D16">
            <v>15004.774966252668</v>
          </cell>
          <cell r="G16">
            <v>15055.31383897562</v>
          </cell>
        </row>
        <row r="17">
          <cell r="D17">
            <v>417.28926462071047</v>
          </cell>
          <cell r="G17">
            <v>773.67486946753741</v>
          </cell>
        </row>
        <row r="18">
          <cell r="D18">
            <v>47.609695843999994</v>
          </cell>
          <cell r="G18">
            <v>31.413600623317713</v>
          </cell>
        </row>
        <row r="19">
          <cell r="D19">
            <v>30.316544571999998</v>
          </cell>
          <cell r="G19">
            <v>36.458112655718374</v>
          </cell>
        </row>
        <row r="20">
          <cell r="D20">
            <v>1076.3655193513432</v>
          </cell>
          <cell r="G20">
            <v>994.16362920170491</v>
          </cell>
        </row>
        <row r="21">
          <cell r="D21">
            <v>1291.9840665928921</v>
          </cell>
          <cell r="G21">
            <v>371.83097300304087</v>
          </cell>
        </row>
        <row r="22">
          <cell r="D22">
            <v>1890.1574743380859</v>
          </cell>
          <cell r="G22">
            <v>2200.0062274692164</v>
          </cell>
        </row>
        <row r="23">
          <cell r="D23">
            <v>95.034351212943037</v>
          </cell>
          <cell r="G23">
            <v>397.19641256042559</v>
          </cell>
        </row>
        <row r="24">
          <cell r="G24">
            <v>35567.615982651572</v>
          </cell>
        </row>
      </sheetData>
      <sheetData sheetId="4">
        <row r="10">
          <cell r="D10">
            <v>5100.93236909809</v>
          </cell>
        </row>
        <row r="11">
          <cell r="D11">
            <v>6.3332387225237277</v>
          </cell>
        </row>
        <row r="12">
          <cell r="D12">
            <v>73.953484790999994</v>
          </cell>
        </row>
        <row r="15">
          <cell r="D15">
            <v>1827.7251036871144</v>
          </cell>
        </row>
        <row r="20">
          <cell r="D20">
            <v>1098.8035104541593</v>
          </cell>
        </row>
        <row r="29">
          <cell r="D29">
            <v>1066.5875086109877</v>
          </cell>
        </row>
        <row r="37">
          <cell r="D37">
            <v>245.90124518500099</v>
          </cell>
        </row>
        <row r="42">
          <cell r="D42">
            <v>781.62827764730355</v>
          </cell>
        </row>
        <row r="43">
          <cell r="D43">
            <v>121.66675632960217</v>
          </cell>
        </row>
        <row r="45">
          <cell r="D45">
            <v>161.20899881941736</v>
          </cell>
        </row>
        <row r="48">
          <cell r="D48">
            <v>4351.6653038918912</v>
          </cell>
        </row>
        <row r="49">
          <cell r="D49">
            <v>2003.1552377462035</v>
          </cell>
        </row>
        <row r="50">
          <cell r="D50">
            <v>120.01065404536757</v>
          </cell>
        </row>
        <row r="51">
          <cell r="D51">
            <v>166.08619696739004</v>
          </cell>
        </row>
        <row r="52">
          <cell r="D52">
            <v>1599.4463911145365</v>
          </cell>
        </row>
        <row r="53">
          <cell r="D53">
            <v>107.97596434121573</v>
          </cell>
        </row>
        <row r="54">
          <cell r="D54">
            <v>354.99085967717792</v>
          </cell>
        </row>
        <row r="55">
          <cell r="D55">
            <v>338.17932083036544</v>
          </cell>
        </row>
        <row r="58">
          <cell r="D58">
            <v>9790.7769938203455</v>
          </cell>
        </row>
      </sheetData>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15.074797071999999</v>
          </cell>
          <cell r="D14">
            <v>134.76</v>
          </cell>
        </row>
        <row r="18">
          <cell r="C18">
            <v>417.83608585199994</v>
          </cell>
          <cell r="D18">
            <v>564.73553067545004</v>
          </cell>
        </row>
        <row r="23">
          <cell r="C23">
            <v>1214.4652061820002</v>
          </cell>
          <cell r="D23">
            <v>213.43354329499996</v>
          </cell>
        </row>
        <row r="24">
          <cell r="C24">
            <v>662.92631037199999</v>
          </cell>
          <cell r="D24">
            <v>73.914945749999987</v>
          </cell>
        </row>
        <row r="25">
          <cell r="C25">
            <v>154.67572524429997</v>
          </cell>
          <cell r="D25">
            <v>394.38657391603022</v>
          </cell>
        </row>
        <row r="26">
          <cell r="C26">
            <v>243.72189596499999</v>
          </cell>
          <cell r="D26">
            <v>207.65427209200001</v>
          </cell>
        </row>
        <row r="27">
          <cell r="C27">
            <v>2423.6916254650982</v>
          </cell>
          <cell r="D27">
            <v>1432.5502633035419</v>
          </cell>
        </row>
        <row r="28">
          <cell r="C28">
            <v>5557.8788702939264</v>
          </cell>
          <cell r="D28">
            <v>1137.6630887838487</v>
          </cell>
        </row>
        <row r="29">
          <cell r="C29">
            <v>203.79625926900007</v>
          </cell>
          <cell r="D29">
            <v>30.983777924999998</v>
          </cell>
        </row>
        <row r="30">
          <cell r="C30">
            <v>0</v>
          </cell>
          <cell r="D30">
            <v>0</v>
          </cell>
        </row>
        <row r="31">
          <cell r="C31">
            <v>0.313</v>
          </cell>
          <cell r="D31">
            <v>6.7080000000000002</v>
          </cell>
        </row>
        <row r="33">
          <cell r="C33">
            <v>264.45185586569301</v>
          </cell>
          <cell r="D33">
            <v>88.095631193420004</v>
          </cell>
        </row>
        <row r="34">
          <cell r="C34">
            <v>1446.6091170959985</v>
          </cell>
          <cell r="D34">
            <v>406.74816691357927</v>
          </cell>
        </row>
        <row r="36">
          <cell r="C36">
            <v>858.61308487643453</v>
          </cell>
          <cell r="D36">
            <v>-1.7647138229768089</v>
          </cell>
        </row>
        <row r="37">
          <cell r="C37">
            <v>423.56297427503398</v>
          </cell>
          <cell r="D37">
            <v>540.08601481536664</v>
          </cell>
        </row>
        <row r="38">
          <cell r="C38">
            <v>13887.617821828484</v>
          </cell>
          <cell r="D38">
            <v>5229.9550948402593</v>
          </cell>
          <cell r="E38">
            <v>759.69828805734369</v>
          </cell>
          <cell r="F38">
            <v>9634.5338538351843</v>
          </cell>
          <cell r="G38">
            <v>611.43962704552609</v>
          </cell>
          <cell r="H38">
            <v>5629.1364118339134</v>
          </cell>
          <cell r="I38">
            <v>35752.381097440717</v>
          </cell>
        </row>
        <row r="40">
          <cell r="I40">
            <v>9023.0830550180926</v>
          </cell>
        </row>
        <row r="68">
          <cell r="C68">
            <v>146.35423993984801</v>
          </cell>
          <cell r="D68">
            <v>6.5101602032920916</v>
          </cell>
        </row>
        <row r="69">
          <cell r="C69">
            <v>1354.2958914300002</v>
          </cell>
          <cell r="D69">
            <v>1.7200000010000001</v>
          </cell>
        </row>
        <row r="72">
          <cell r="C72">
            <v>626.52640691875877</v>
          </cell>
          <cell r="D72">
            <v>418.8344259754183</v>
          </cell>
        </row>
        <row r="76">
          <cell r="C76">
            <v>7941.908856429789</v>
          </cell>
          <cell r="D76">
            <v>2183.642433611295</v>
          </cell>
        </row>
        <row r="77">
          <cell r="C77">
            <v>243.66105162929335</v>
          </cell>
          <cell r="D77">
            <v>197.80105081807199</v>
          </cell>
        </row>
        <row r="78">
          <cell r="C78">
            <v>0</v>
          </cell>
          <cell r="D78">
            <v>0</v>
          </cell>
        </row>
        <row r="79">
          <cell r="C79">
            <v>87.737194619339519</v>
          </cell>
          <cell r="D79">
            <v>166.92010120215733</v>
          </cell>
        </row>
        <row r="80">
          <cell r="C80">
            <v>7.3434746670000006</v>
          </cell>
          <cell r="D80">
            <v>543.84824654641761</v>
          </cell>
        </row>
        <row r="81">
          <cell r="C81">
            <v>2823.9059249747575</v>
          </cell>
          <cell r="D81">
            <v>1006.3263123667373</v>
          </cell>
        </row>
        <row r="82">
          <cell r="C82">
            <v>4694.1612105393979</v>
          </cell>
          <cell r="D82">
            <v>237.54672267791059</v>
          </cell>
        </row>
        <row r="83">
          <cell r="C83">
            <v>85.100000000000051</v>
          </cell>
          <cell r="D83">
            <v>31.200000000000003</v>
          </cell>
        </row>
        <row r="84">
          <cell r="E84">
            <v>-5.3400000000000321E-11</v>
          </cell>
          <cell r="F84">
            <v>3206.0505589156983</v>
          </cell>
          <cell r="G84">
            <v>1.3292373520000003</v>
          </cell>
          <cell r="H84">
            <v>2262.3933477047708</v>
          </cell>
        </row>
        <row r="86">
          <cell r="C86">
            <v>3917.2042649973282</v>
          </cell>
          <cell r="D86">
            <v>1389.0720817881502</v>
          </cell>
        </row>
        <row r="89">
          <cell r="C89">
            <v>3.9002569999999999</v>
          </cell>
          <cell r="D89">
            <v>118.94852377706</v>
          </cell>
        </row>
        <row r="92">
          <cell r="C92">
            <v>450.921991725</v>
          </cell>
          <cell r="D92">
            <v>43.231597612999998</v>
          </cell>
        </row>
        <row r="93">
          <cell r="C93">
            <v>2.9000000000000001E-2</v>
          </cell>
          <cell r="D93">
            <v>40.323951179999995</v>
          </cell>
        </row>
        <row r="95">
          <cell r="C95">
            <v>144.27224018732898</v>
          </cell>
          <cell r="D95">
            <v>878.77452272383732</v>
          </cell>
        </row>
        <row r="96">
          <cell r="C96">
            <v>147.14100326239003</v>
          </cell>
          <cell r="D96">
            <v>8.3918349630000009</v>
          </cell>
        </row>
        <row r="97">
          <cell r="C97">
            <v>611.63229451500865</v>
          </cell>
          <cell r="D97">
            <v>251.87663654815321</v>
          </cell>
        </row>
        <row r="98">
          <cell r="C98">
            <v>15344.186251314732</v>
          </cell>
          <cell r="D98">
            <v>5341.3261683842056</v>
          </cell>
          <cell r="E98">
            <v>303.13024470086447</v>
          </cell>
          <cell r="F98">
            <v>8347.0886217156403</v>
          </cell>
          <cell r="G98">
            <v>52.777942412159256</v>
          </cell>
          <cell r="H98">
            <v>6363.7384948013223</v>
          </cell>
          <cell r="I98">
            <v>35752.247723328925</v>
          </cell>
        </row>
        <row r="100">
          <cell r="I100">
            <v>9006.7927373240927</v>
          </cell>
        </row>
      </sheetData>
      <sheetData sheetId="1">
        <row r="15">
          <cell r="C15">
            <v>734.72906877399998</v>
          </cell>
          <cell r="D15">
            <v>619.09789772699992</v>
          </cell>
          <cell r="E15">
            <v>154.62844259939999</v>
          </cell>
          <cell r="F15">
            <v>243.54911369600001</v>
          </cell>
          <cell r="G15">
            <v>2412.7080384480987</v>
          </cell>
          <cell r="H15">
            <v>5749.373296775113</v>
          </cell>
          <cell r="I15">
            <v>9914.0858580196109</v>
          </cell>
          <cell r="K15">
            <v>209.09446801417997</v>
          </cell>
        </row>
        <row r="16">
          <cell r="E16">
            <v>82.475627148400008</v>
          </cell>
          <cell r="F16">
            <v>74.667227149999988</v>
          </cell>
          <cell r="G16">
            <v>1238.0314490740984</v>
          </cell>
          <cell r="H16">
            <v>750.83572071802701</v>
          </cell>
        </row>
        <row r="17">
          <cell r="E17">
            <v>7.1993873790000009</v>
          </cell>
          <cell r="F17">
            <v>27.565921886999998</v>
          </cell>
          <cell r="G17">
            <v>173.43118437900009</v>
          </cell>
          <cell r="H17">
            <v>2914.8504750633119</v>
          </cell>
        </row>
        <row r="18">
          <cell r="E18">
            <v>64.953428071999994</v>
          </cell>
          <cell r="F18">
            <v>141.315964659</v>
          </cell>
          <cell r="G18">
            <v>1001.2454049950001</v>
          </cell>
          <cell r="H18">
            <v>2049.0871009937737</v>
          </cell>
        </row>
        <row r="19">
          <cell r="E19">
            <v>0</v>
          </cell>
          <cell r="F19">
            <v>0</v>
          </cell>
          <cell r="G19">
            <v>0</v>
          </cell>
          <cell r="H19">
            <v>34.6</v>
          </cell>
        </row>
        <row r="20">
          <cell r="I20">
            <v>0</v>
          </cell>
        </row>
        <row r="21">
          <cell r="I21">
            <v>547.02544409881762</v>
          </cell>
        </row>
        <row r="23">
          <cell r="C23">
            <v>213.45907225600001</v>
          </cell>
          <cell r="D23">
            <v>73.914945749999987</v>
          </cell>
          <cell r="E23">
            <v>394.34247191503022</v>
          </cell>
          <cell r="F23">
            <v>205.86127209200001</v>
          </cell>
          <cell r="G23">
            <v>1427.0849226915418</v>
          </cell>
          <cell r="H23">
            <v>1168.5095449158489</v>
          </cell>
          <cell r="I23">
            <v>3483.1722296204211</v>
          </cell>
          <cell r="K23">
            <v>3824.0362147106734</v>
          </cell>
        </row>
        <row r="24">
          <cell r="E24">
            <v>126.54319016431381</v>
          </cell>
          <cell r="F24">
            <v>160.17617102099999</v>
          </cell>
          <cell r="G24">
            <v>559.45356384098113</v>
          </cell>
          <cell r="H24">
            <v>159.96261159509052</v>
          </cell>
        </row>
        <row r="25">
          <cell r="E25">
            <v>0.86481527600000008</v>
          </cell>
          <cell r="F25">
            <v>2.7937185980000003</v>
          </cell>
          <cell r="G25">
            <v>47.137308499</v>
          </cell>
          <cell r="H25">
            <v>175.17147684799988</v>
          </cell>
        </row>
        <row r="26">
          <cell r="E26">
            <v>266.93446647471637</v>
          </cell>
          <cell r="F26">
            <v>42.891382473</v>
          </cell>
          <cell r="G26">
            <v>820.49405035156076</v>
          </cell>
          <cell r="H26">
            <v>833.37545647275851</v>
          </cell>
        </row>
        <row r="27">
          <cell r="E27">
            <v>0</v>
          </cell>
          <cell r="F27">
            <v>0</v>
          </cell>
          <cell r="G27">
            <v>0</v>
          </cell>
          <cell r="H27">
            <v>0</v>
          </cell>
        </row>
        <row r="28">
          <cell r="I28">
            <v>0</v>
          </cell>
        </row>
        <row r="29">
          <cell r="I29">
            <v>7.3929999999999998</v>
          </cell>
        </row>
      </sheetData>
      <sheetData sheetId="2">
        <row r="16">
          <cell r="N16">
            <v>29343.414757884137</v>
          </cell>
          <cell r="AA16">
            <v>29478.867594162253</v>
          </cell>
        </row>
        <row r="17">
          <cell r="B17">
            <v>625.74442732745626</v>
          </cell>
          <cell r="C17">
            <v>39.809141058247</v>
          </cell>
          <cell r="D17">
            <v>0</v>
          </cell>
          <cell r="E17">
            <v>6.3689745018180002</v>
          </cell>
          <cell r="F17">
            <v>1.3246300000000001E-4</v>
          </cell>
          <cell r="G17">
            <v>1766.4030092276203</v>
          </cell>
          <cell r="H17">
            <v>4139.5391512130927</v>
          </cell>
          <cell r="I17">
            <v>219.80312800688</v>
          </cell>
          <cell r="J17">
            <v>4.7027640960000001</v>
          </cell>
          <cell r="K17">
            <v>94.909337821291999</v>
          </cell>
          <cell r="L17">
            <v>0.89614948900000002</v>
          </cell>
          <cell r="M17">
            <v>12219.474676905127</v>
          </cell>
          <cell r="N17">
            <v>19117.632842013732</v>
          </cell>
          <cell r="O17">
            <v>693.68811792109523</v>
          </cell>
          <cell r="P17">
            <v>49.893911169153412</v>
          </cell>
          <cell r="Q17">
            <v>0</v>
          </cell>
          <cell r="R17">
            <v>7.3543874260315008</v>
          </cell>
          <cell r="S17">
            <v>0</v>
          </cell>
          <cell r="T17">
            <v>2570.7445630152247</v>
          </cell>
          <cell r="U17">
            <v>4195.5249206037388</v>
          </cell>
          <cell r="V17">
            <v>393.05587556447279</v>
          </cell>
          <cell r="W17">
            <v>20.966841630000001</v>
          </cell>
          <cell r="X17">
            <v>11.45319673975289</v>
          </cell>
          <cell r="Y17">
            <v>12.748768061689866</v>
          </cell>
          <cell r="Z17">
            <v>12730.196955389401</v>
          </cell>
          <cell r="AA17">
            <v>20685.61091145056</v>
          </cell>
        </row>
        <row r="23">
          <cell r="N23">
            <v>1194.7564896439803</v>
          </cell>
          <cell r="AA23">
            <v>936.3636080602372</v>
          </cell>
        </row>
        <row r="36">
          <cell r="N36">
            <v>1769.0086200791466</v>
          </cell>
          <cell r="AA36">
            <v>1854.879546681208</v>
          </cell>
        </row>
        <row r="76">
          <cell r="N76">
            <v>13.805269612999998</v>
          </cell>
          <cell r="AA76">
            <v>188.02746378303408</v>
          </cell>
        </row>
        <row r="82">
          <cell r="N82">
            <v>2769.1078898677551</v>
          </cell>
          <cell r="AA82">
            <v>1774.4210087512199</v>
          </cell>
        </row>
        <row r="103">
          <cell r="N103">
            <v>0.98913498</v>
          </cell>
          <cell r="AA103">
            <v>99.449999999999989</v>
          </cell>
        </row>
        <row r="131">
          <cell r="N131">
            <v>493.00478700778405</v>
          </cell>
          <cell r="AA131">
            <v>1375.3987263494121</v>
          </cell>
        </row>
        <row r="146">
          <cell r="N146">
            <v>2.3269671646200001</v>
          </cell>
          <cell r="AA146">
            <v>44.774996554230057</v>
          </cell>
        </row>
        <row r="149">
          <cell r="N149">
            <v>166.09309021899998</v>
          </cell>
          <cell r="AA149">
            <v>0</v>
          </cell>
        </row>
        <row r="152">
          <cell r="B152">
            <v>7757.2603075453517</v>
          </cell>
          <cell r="C152">
            <v>622.02350156624698</v>
          </cell>
          <cell r="D152">
            <v>19.984209058999998</v>
          </cell>
          <cell r="E152">
            <v>184.13935272281805</v>
          </cell>
          <cell r="F152">
            <v>29.015168463000002</v>
          </cell>
          <cell r="G152">
            <v>5078.3350122061711</v>
          </cell>
          <cell r="H152">
            <v>7803.714150508943</v>
          </cell>
          <cell r="I152">
            <v>564.76124885087995</v>
          </cell>
          <cell r="J152">
            <v>4.7027640960000001</v>
          </cell>
          <cell r="K152">
            <v>198.7657067873696</v>
          </cell>
          <cell r="L152">
            <v>0.89714948900000002</v>
          </cell>
          <cell r="M152">
            <v>13488.918643580439</v>
          </cell>
          <cell r="O152">
            <v>4189.6997195420254</v>
          </cell>
          <cell r="P152">
            <v>430.79968855782045</v>
          </cell>
          <cell r="Q152">
            <v>4.4776522922310198</v>
          </cell>
          <cell r="R152">
            <v>80.663237599054781</v>
          </cell>
          <cell r="S152">
            <v>0.83037954835683148</v>
          </cell>
          <cell r="T152">
            <v>4018.2696738620584</v>
          </cell>
          <cell r="U152">
            <v>11802.777492039024</v>
          </cell>
          <cell r="V152">
            <v>556.54539103802995</v>
          </cell>
          <cell r="W152">
            <v>21.315841630000001</v>
          </cell>
          <cell r="X152">
            <v>304.28854725766826</v>
          </cell>
          <cell r="Y152">
            <v>34.815315061689866</v>
          </cell>
          <cell r="Z152">
            <v>14307.716631983634</v>
          </cell>
          <cell r="AA152">
            <v>35752.182944341592</v>
          </cell>
        </row>
      </sheetData>
      <sheetData sheetId="3">
        <row r="14">
          <cell r="D14">
            <v>15258.769834605342</v>
          </cell>
          <cell r="G14">
            <v>15700.143074102267</v>
          </cell>
        </row>
        <row r="16">
          <cell r="D16">
            <v>15259.994994514407</v>
          </cell>
          <cell r="G16">
            <v>15251.061086420788</v>
          </cell>
        </row>
        <row r="17">
          <cell r="D17">
            <v>410.79326877411728</v>
          </cell>
          <cell r="G17">
            <v>697.85155497372307</v>
          </cell>
        </row>
        <row r="18">
          <cell r="D18">
            <v>24.687089738999997</v>
          </cell>
          <cell r="G18">
            <v>26.39176888223102</v>
          </cell>
        </row>
        <row r="19">
          <cell r="D19">
            <v>29.773317951999999</v>
          </cell>
          <cell r="G19">
            <v>35.498945508481413</v>
          </cell>
        </row>
        <row r="20">
          <cell r="D20">
            <v>1210.7336174980749</v>
          </cell>
          <cell r="G20">
            <v>988.06507993565378</v>
          </cell>
        </row>
        <row r="21">
          <cell r="D21">
            <v>1472.9874258519148</v>
          </cell>
          <cell r="G21">
            <v>564.94284373977996</v>
          </cell>
        </row>
        <row r="22">
          <cell r="D22">
            <v>1991.1832357719013</v>
          </cell>
          <cell r="G22">
            <v>2158.0679153017827</v>
          </cell>
        </row>
        <row r="23">
          <cell r="D23">
            <v>93.503594005942958</v>
          </cell>
          <cell r="G23">
            <v>330.34859548054573</v>
          </cell>
        </row>
        <row r="24">
          <cell r="G24">
            <v>35752.359703959257</v>
          </cell>
        </row>
      </sheetData>
      <sheetData sheetId="4">
        <row r="10">
          <cell r="D10">
            <v>5276.5295582927074</v>
          </cell>
        </row>
        <row r="11">
          <cell r="D11">
            <v>6.1173210258581854</v>
          </cell>
        </row>
        <row r="12">
          <cell r="D12">
            <v>107.196333873</v>
          </cell>
        </row>
        <row r="15">
          <cell r="D15">
            <v>1842.8356617296595</v>
          </cell>
        </row>
        <row r="20">
          <cell r="D20">
            <v>1211.101472842261</v>
          </cell>
        </row>
        <row r="29">
          <cell r="D29">
            <v>1047.5814951177781</v>
          </cell>
        </row>
        <row r="37">
          <cell r="D37">
            <v>254.64262420791457</v>
          </cell>
        </row>
        <row r="42">
          <cell r="D42">
            <v>807.05464949623524</v>
          </cell>
        </row>
        <row r="43">
          <cell r="D43">
            <v>119.24521103483721</v>
          </cell>
        </row>
        <row r="45">
          <cell r="D45">
            <v>171.29897229413129</v>
          </cell>
        </row>
        <row r="48">
          <cell r="D48">
            <v>4407.5932325704161</v>
          </cell>
        </row>
        <row r="49">
          <cell r="D49">
            <v>1999.2881727825575</v>
          </cell>
        </row>
        <row r="50">
          <cell r="D50">
            <v>118.63016540643082</v>
          </cell>
        </row>
        <row r="51">
          <cell r="D51">
            <v>159.28807637998642</v>
          </cell>
        </row>
        <row r="52">
          <cell r="D52">
            <v>1637.8253838290102</v>
          </cell>
        </row>
        <row r="53">
          <cell r="D53">
            <v>100.13793271639615</v>
          </cell>
        </row>
        <row r="54">
          <cell r="D54">
            <v>392.42350145603478</v>
          </cell>
        </row>
        <row r="55">
          <cell r="D55">
            <v>441.47652010338714</v>
          </cell>
        </row>
        <row r="58">
          <cell r="D58">
            <v>10125.599310966511</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103.85976178199999</v>
          </cell>
          <cell r="D14">
            <v>186.624</v>
          </cell>
        </row>
        <row r="18">
          <cell r="C18">
            <v>420.13209496400003</v>
          </cell>
          <cell r="D18">
            <v>505.30299041447159</v>
          </cell>
        </row>
        <row r="23">
          <cell r="C23">
            <v>1150.5370795894053</v>
          </cell>
          <cell r="D23">
            <v>188.72760124300001</v>
          </cell>
        </row>
        <row r="24">
          <cell r="C24">
            <v>582.12153284400006</v>
          </cell>
          <cell r="D24">
            <v>79.752432843999998</v>
          </cell>
        </row>
        <row r="25">
          <cell r="C25">
            <v>168.84046257929998</v>
          </cell>
          <cell r="D25">
            <v>399.86059168008899</v>
          </cell>
        </row>
        <row r="26">
          <cell r="C26">
            <v>249.86242597700002</v>
          </cell>
          <cell r="D26">
            <v>231.26055324199999</v>
          </cell>
        </row>
        <row r="27">
          <cell r="C27">
            <v>2429.9379389869996</v>
          </cell>
          <cell r="D27">
            <v>1461.4721650431311</v>
          </cell>
        </row>
        <row r="28">
          <cell r="C28">
            <v>5679.9013240100076</v>
          </cell>
          <cell r="D28">
            <v>1145.0864391324023</v>
          </cell>
        </row>
        <row r="29">
          <cell r="C29">
            <v>201.12259717300006</v>
          </cell>
          <cell r="D29">
            <v>30.810473063</v>
          </cell>
        </row>
        <row r="30">
          <cell r="C30">
            <v>0</v>
          </cell>
          <cell r="D30">
            <v>0</v>
          </cell>
        </row>
        <row r="31">
          <cell r="C31">
            <v>5.5E-2</v>
          </cell>
          <cell r="D31">
            <v>7.3599999999999994</v>
          </cell>
        </row>
        <row r="33">
          <cell r="C33">
            <v>191.56009568769298</v>
          </cell>
          <cell r="D33">
            <v>79.857309509919986</v>
          </cell>
        </row>
        <row r="34">
          <cell r="C34">
            <v>1435.7188261799986</v>
          </cell>
          <cell r="D34">
            <v>406.57530248057924</v>
          </cell>
        </row>
        <row r="36">
          <cell r="C36">
            <v>1005.6462812186857</v>
          </cell>
          <cell r="D36">
            <v>-123.08724205705894</v>
          </cell>
        </row>
        <row r="37">
          <cell r="C37">
            <v>422.21261674061577</v>
          </cell>
          <cell r="D37">
            <v>453.71267111190832</v>
          </cell>
        </row>
        <row r="38">
          <cell r="C38">
            <v>14041.509051732706</v>
          </cell>
          <cell r="D38">
            <v>5053.3056211922431</v>
          </cell>
          <cell r="E38">
            <v>710.78149536171225</v>
          </cell>
          <cell r="F38">
            <v>9848.6825689854504</v>
          </cell>
          <cell r="G38">
            <v>578.46420197796908</v>
          </cell>
          <cell r="H38">
            <v>5705.5922660481065</v>
          </cell>
          <cell r="I38">
            <v>35938.335205298186</v>
          </cell>
        </row>
        <row r="40">
          <cell r="I40">
            <v>8089.415157889267</v>
          </cell>
        </row>
        <row r="68">
          <cell r="C68">
            <v>152.86707855872393</v>
          </cell>
          <cell r="D68">
            <v>7.1015383880520186</v>
          </cell>
        </row>
        <row r="69">
          <cell r="C69">
            <v>1271.9454312519997</v>
          </cell>
          <cell r="D69">
            <v>2.0000001E-2</v>
          </cell>
        </row>
        <row r="72">
          <cell r="C72">
            <v>589.47465894523191</v>
          </cell>
          <cell r="D72">
            <v>473.03488873891115</v>
          </cell>
        </row>
        <row r="76">
          <cell r="C76">
            <v>7949.1513308125486</v>
          </cell>
          <cell r="D76">
            <v>2244.38379782231</v>
          </cell>
        </row>
        <row r="77">
          <cell r="C77">
            <v>244.23864117655026</v>
          </cell>
          <cell r="D77">
            <v>175.70010996203453</v>
          </cell>
        </row>
        <row r="78">
          <cell r="C78">
            <v>0</v>
          </cell>
          <cell r="D78">
            <v>0</v>
          </cell>
        </row>
        <row r="79">
          <cell r="C79">
            <v>86.063467642974629</v>
          </cell>
          <cell r="D79">
            <v>162.49942718016732</v>
          </cell>
        </row>
        <row r="80">
          <cell r="C80">
            <v>6.3412000000000006</v>
          </cell>
          <cell r="D80">
            <v>630.04191405801555</v>
          </cell>
        </row>
        <row r="81">
          <cell r="C81">
            <v>2820.0568336706838</v>
          </cell>
          <cell r="D81">
            <v>1021.3935719099758</v>
          </cell>
        </row>
        <row r="82">
          <cell r="C82">
            <v>4707.9511194063407</v>
          </cell>
          <cell r="D82">
            <v>223.34877471211712</v>
          </cell>
        </row>
        <row r="83">
          <cell r="C83">
            <v>84.500068916000089</v>
          </cell>
          <cell r="D83">
            <v>31.400000000000002</v>
          </cell>
        </row>
        <row r="84">
          <cell r="E84">
            <v>-5.3400000000000321E-11</v>
          </cell>
          <cell r="F84">
            <v>3221.3304698515612</v>
          </cell>
          <cell r="G84">
            <v>1.3292373520000003</v>
          </cell>
          <cell r="H84">
            <v>2308.4539308261819</v>
          </cell>
        </row>
        <row r="86">
          <cell r="C86">
            <v>3869.8068876359994</v>
          </cell>
          <cell r="D86">
            <v>1437.907765706902</v>
          </cell>
        </row>
        <row r="89">
          <cell r="C89">
            <v>4.6733633478541394</v>
          </cell>
          <cell r="D89">
            <v>108.12373129885603</v>
          </cell>
        </row>
        <row r="92">
          <cell r="C92">
            <v>450.67593409299997</v>
          </cell>
          <cell r="D92">
            <v>46.63159761299999</v>
          </cell>
        </row>
        <row r="93">
          <cell r="C93">
            <v>2.1000000000000001E-2</v>
          </cell>
          <cell r="D93">
            <v>42.946373059999999</v>
          </cell>
        </row>
        <row r="95">
          <cell r="C95">
            <v>135.75892650232902</v>
          </cell>
          <cell r="D95">
            <v>842.08718685168481</v>
          </cell>
        </row>
        <row r="96">
          <cell r="C96">
            <v>147.15085125138998</v>
          </cell>
          <cell r="D96">
            <v>8.3411281909999992</v>
          </cell>
        </row>
        <row r="97">
          <cell r="C97">
            <v>624.8424643103192</v>
          </cell>
          <cell r="D97">
            <v>203.27358190186499</v>
          </cell>
        </row>
        <row r="98">
          <cell r="C98">
            <v>15196.332893535278</v>
          </cell>
          <cell r="D98">
            <v>5413.8515895735809</v>
          </cell>
          <cell r="E98">
            <v>270.95255853874278</v>
          </cell>
          <cell r="F98">
            <v>8317.4807632639695</v>
          </cell>
          <cell r="G98">
            <v>53.951996136337286</v>
          </cell>
          <cell r="H98">
            <v>6685.7139590802617</v>
          </cell>
          <cell r="I98">
            <v>35938.283760128172</v>
          </cell>
        </row>
        <row r="100">
          <cell r="I100">
            <v>8096.639961419979</v>
          </cell>
        </row>
      </sheetData>
      <sheetData sheetId="1">
        <row r="15">
          <cell r="C15">
            <v>665.43148862400005</v>
          </cell>
          <cell r="D15">
            <v>542.11829775800004</v>
          </cell>
          <cell r="E15">
            <v>168.9121500224</v>
          </cell>
          <cell r="F15">
            <v>249.59557634199999</v>
          </cell>
          <cell r="G15">
            <v>2419.0860081270002</v>
          </cell>
          <cell r="H15">
            <v>5868.5282718465869</v>
          </cell>
          <cell r="I15">
            <v>9913.6717927199861</v>
          </cell>
          <cell r="K15">
            <v>207.57473995298994</v>
          </cell>
        </row>
        <row r="16">
          <cell r="E16">
            <v>97.713869494399987</v>
          </cell>
          <cell r="F16">
            <v>71.297717148000004</v>
          </cell>
          <cell r="G16">
            <v>1244.8191295469999</v>
          </cell>
          <cell r="H16">
            <v>766.77924851452678</v>
          </cell>
        </row>
        <row r="17">
          <cell r="E17">
            <v>4.1265049110000005</v>
          </cell>
          <cell r="F17">
            <v>34.509243077000008</v>
          </cell>
          <cell r="G17">
            <v>180.33707957300001</v>
          </cell>
          <cell r="H17">
            <v>3013.5059777179135</v>
          </cell>
        </row>
        <row r="18">
          <cell r="E18">
            <v>67.071775617</v>
          </cell>
          <cell r="F18">
            <v>143.788616117</v>
          </cell>
          <cell r="G18">
            <v>993.92979900700016</v>
          </cell>
          <cell r="H18">
            <v>2053.8430456141459</v>
          </cell>
        </row>
        <row r="19">
          <cell r="E19">
            <v>0</v>
          </cell>
          <cell r="F19">
            <v>0</v>
          </cell>
          <cell r="G19">
            <v>0</v>
          </cell>
          <cell r="H19">
            <v>34.4</v>
          </cell>
        </row>
        <row r="20">
          <cell r="I20">
            <v>0</v>
          </cell>
        </row>
        <row r="21">
          <cell r="I21">
            <v>548.49301811083171</v>
          </cell>
        </row>
        <row r="23">
          <cell r="C23">
            <v>188.74942387300001</v>
          </cell>
          <cell r="D23">
            <v>79.752432843999998</v>
          </cell>
          <cell r="E23">
            <v>399.85254335620897</v>
          </cell>
          <cell r="F23">
            <v>229.471553242</v>
          </cell>
          <cell r="G23">
            <v>1455.7730292023605</v>
          </cell>
          <cell r="H23">
            <v>1175.7821913524022</v>
          </cell>
          <cell r="I23">
            <v>3529.3811738699719</v>
          </cell>
          <cell r="K23">
            <v>4171.3605849366995</v>
          </cell>
        </row>
        <row r="24">
          <cell r="E24">
            <v>131.57450462807699</v>
          </cell>
          <cell r="F24">
            <v>144.33528334300001</v>
          </cell>
          <cell r="G24">
            <v>511.93738439136018</v>
          </cell>
          <cell r="H24">
            <v>154.4194682240028</v>
          </cell>
        </row>
        <row r="25">
          <cell r="E25">
            <v>1.8442353490000001</v>
          </cell>
          <cell r="F25">
            <v>0.79048892299999995</v>
          </cell>
          <cell r="G25">
            <v>42.007639038000001</v>
          </cell>
          <cell r="H25">
            <v>182.33120913899998</v>
          </cell>
        </row>
        <row r="26">
          <cell r="E26">
            <v>266.43380337913197</v>
          </cell>
          <cell r="F26">
            <v>84.345780976</v>
          </cell>
          <cell r="G26">
            <v>901.82800577300054</v>
          </cell>
          <cell r="H26">
            <v>839.03151398939951</v>
          </cell>
        </row>
        <row r="27">
          <cell r="E27">
            <v>0</v>
          </cell>
          <cell r="F27">
            <v>0</v>
          </cell>
          <cell r="G27">
            <v>0</v>
          </cell>
          <cell r="H27">
            <v>0</v>
          </cell>
        </row>
        <row r="28">
          <cell r="I28">
            <v>0</v>
          </cell>
        </row>
        <row r="29">
          <cell r="I29">
            <v>7.5889999999999995</v>
          </cell>
        </row>
      </sheetData>
      <sheetData sheetId="2">
        <row r="16">
          <cell r="N16">
            <v>29448.413667947814</v>
          </cell>
          <cell r="AA16">
            <v>29342.067653409802</v>
          </cell>
        </row>
        <row r="17">
          <cell r="B17">
            <v>619.53982502890597</v>
          </cell>
          <cell r="C17">
            <v>25.024395402246999</v>
          </cell>
          <cell r="D17">
            <v>0</v>
          </cell>
          <cell r="E17">
            <v>1.7180616890177369</v>
          </cell>
          <cell r="F17">
            <v>1.3180099999999999E-4</v>
          </cell>
          <cell r="G17">
            <v>1930.4747288369531</v>
          </cell>
          <cell r="H17">
            <v>4136.962798648874</v>
          </cell>
          <cell r="I17">
            <v>231.43755359277998</v>
          </cell>
          <cell r="J17">
            <v>5.2926866330000006</v>
          </cell>
          <cell r="K17">
            <v>103.15859887609227</v>
          </cell>
          <cell r="L17">
            <v>0.89504594300000018</v>
          </cell>
          <cell r="M17">
            <v>12040.419414878512</v>
          </cell>
          <cell r="N17">
            <v>19094.899795785983</v>
          </cell>
          <cell r="O17">
            <v>668.77410952778109</v>
          </cell>
          <cell r="P17">
            <v>39.705543590459747</v>
          </cell>
          <cell r="Q17">
            <v>0</v>
          </cell>
          <cell r="R17">
            <v>3.5244509137360001</v>
          </cell>
          <cell r="S17">
            <v>0</v>
          </cell>
          <cell r="T17">
            <v>2523.0028198524715</v>
          </cell>
          <cell r="U17">
            <v>4177.96440367794</v>
          </cell>
          <cell r="V17">
            <v>440.61080203748838</v>
          </cell>
          <cell r="W17">
            <v>20.666876649999999</v>
          </cell>
          <cell r="X17">
            <v>147.82694604742781</v>
          </cell>
          <cell r="Y17">
            <v>12.798197884458212</v>
          </cell>
          <cell r="Z17">
            <v>12575.284716646634</v>
          </cell>
          <cell r="AA17">
            <v>20610.154261098396</v>
          </cell>
        </row>
        <row r="23">
          <cell r="N23">
            <v>1193.398033643758</v>
          </cell>
          <cell r="AA23">
            <v>885.50646801476114</v>
          </cell>
        </row>
        <row r="36">
          <cell r="N36">
            <v>1721.3705571024072</v>
          </cell>
          <cell r="AA36">
            <v>2100.7052678336886</v>
          </cell>
        </row>
        <row r="76">
          <cell r="N76">
            <v>10.303082534000001</v>
          </cell>
          <cell r="AA76">
            <v>173.18607053303765</v>
          </cell>
        </row>
        <row r="82">
          <cell r="N82">
            <v>2711.0719859964506</v>
          </cell>
          <cell r="AA82">
            <v>1728.5430603959942</v>
          </cell>
        </row>
        <row r="103">
          <cell r="N103">
            <v>0.98921090300000003</v>
          </cell>
          <cell r="AA103">
            <v>91.347999999999999</v>
          </cell>
        </row>
        <row r="131">
          <cell r="N131">
            <v>647.09721929925968</v>
          </cell>
          <cell r="AA131">
            <v>1574.4015991686606</v>
          </cell>
        </row>
        <row r="146">
          <cell r="N146">
            <v>2.1147728346200001</v>
          </cell>
          <cell r="AA146">
            <v>42.412454852799051</v>
          </cell>
        </row>
        <row r="149">
          <cell r="N149">
            <v>203.61203099299999</v>
          </cell>
          <cell r="AA149">
            <v>0</v>
          </cell>
        </row>
        <row r="152">
          <cell r="B152">
            <v>7765.0263006321393</v>
          </cell>
          <cell r="C152">
            <v>537.18510581624696</v>
          </cell>
          <cell r="D152">
            <v>19.223679229000002</v>
          </cell>
          <cell r="E152">
            <v>300.17878342401769</v>
          </cell>
          <cell r="F152">
            <v>18.102142800999999</v>
          </cell>
          <cell r="G152">
            <v>5015.3738194221178</v>
          </cell>
          <cell r="H152">
            <v>7966.7577330614067</v>
          </cell>
          <cell r="I152">
            <v>770.00245644178005</v>
          </cell>
          <cell r="J152">
            <v>5.2926866330000006</v>
          </cell>
          <cell r="K152">
            <v>210.19898648713769</v>
          </cell>
          <cell r="L152">
            <v>0.89604594300000007</v>
          </cell>
          <cell r="M152">
            <v>13330.148124554864</v>
          </cell>
          <cell r="O152">
            <v>4521.2095351498483</v>
          </cell>
          <cell r="P152">
            <v>368.5471316006192</v>
          </cell>
          <cell r="Q152">
            <v>4.1469395727160734</v>
          </cell>
          <cell r="R152">
            <v>132.35347151204283</v>
          </cell>
          <cell r="S152">
            <v>0.79176637896163071</v>
          </cell>
          <cell r="T152">
            <v>3825.2562341965418</v>
          </cell>
          <cell r="U152">
            <v>11865.215381633372</v>
          </cell>
          <cell r="V152">
            <v>597.68111147259765</v>
          </cell>
          <cell r="W152">
            <v>21.37687665</v>
          </cell>
          <cell r="X152">
            <v>443.02206550491928</v>
          </cell>
          <cell r="Y152">
            <v>32.512142884458214</v>
          </cell>
          <cell r="Z152">
            <v>14126.062523382667</v>
          </cell>
          <cell r="AA152">
            <v>35938.170574208743</v>
          </cell>
        </row>
      </sheetData>
      <sheetData sheetId="3">
        <row r="14">
          <cell r="D14">
            <v>15330.781985615418</v>
          </cell>
          <cell r="G14">
            <v>15521.213624724694</v>
          </cell>
        </row>
        <row r="16">
          <cell r="D16">
            <v>15286.141969279262</v>
          </cell>
          <cell r="G16">
            <v>16010.368943910442</v>
          </cell>
        </row>
        <row r="17">
          <cell r="D17">
            <v>531.32815685918069</v>
          </cell>
          <cell r="G17">
            <v>577.77553701696206</v>
          </cell>
        </row>
        <row r="18">
          <cell r="D18">
            <v>24.516484676999998</v>
          </cell>
          <cell r="G18">
            <v>26.822002002716072</v>
          </cell>
        </row>
        <row r="19">
          <cell r="D19">
            <v>18.898188743999999</v>
          </cell>
          <cell r="G19">
            <v>33.205200798848118</v>
          </cell>
        </row>
        <row r="20">
          <cell r="D20">
            <v>1339.4791996992262</v>
          </cell>
          <cell r="G20">
            <v>965.7817757010049</v>
          </cell>
        </row>
        <row r="21">
          <cell r="D21">
            <v>1472.1305277949423</v>
          </cell>
          <cell r="G21">
            <v>380.91538806348007</v>
          </cell>
        </row>
        <row r="22">
          <cell r="D22">
            <v>1841.5081787296911</v>
          </cell>
          <cell r="G22">
            <v>2118.0319303424662</v>
          </cell>
        </row>
        <row r="23">
          <cell r="D23">
            <v>93.51625886994303</v>
          </cell>
          <cell r="G23">
            <v>304.15880540344119</v>
          </cell>
        </row>
        <row r="24">
          <cell r="G24">
            <v>35938.263207964053</v>
          </cell>
        </row>
      </sheetData>
      <sheetData sheetId="4">
        <row r="10">
          <cell r="D10">
            <v>5365.2446319324827</v>
          </cell>
        </row>
        <row r="11">
          <cell r="D11">
            <v>6.4373640972400725</v>
          </cell>
        </row>
        <row r="12">
          <cell r="D12">
            <v>106.76364219811649</v>
          </cell>
        </row>
        <row r="15">
          <cell r="D15">
            <v>1854.7168515060325</v>
          </cell>
        </row>
        <row r="20">
          <cell r="D20">
            <v>1226.014264533303</v>
          </cell>
        </row>
        <row r="29">
          <cell r="D29">
            <v>1048.0651373282224</v>
          </cell>
        </row>
        <row r="37">
          <cell r="D37">
            <v>248.51383819367459</v>
          </cell>
        </row>
        <row r="42">
          <cell r="D42">
            <v>874.7335340758948</v>
          </cell>
        </row>
        <row r="43">
          <cell r="D43">
            <v>161.78751756636771</v>
          </cell>
        </row>
        <row r="45">
          <cell r="D45">
            <v>167.72454530200096</v>
          </cell>
        </row>
        <row r="48">
          <cell r="D48">
            <v>4408.4390563519792</v>
          </cell>
        </row>
        <row r="49">
          <cell r="D49">
            <v>2016.6514547004253</v>
          </cell>
        </row>
        <row r="50">
          <cell r="D50">
            <v>117.54188704579556</v>
          </cell>
        </row>
        <row r="51">
          <cell r="D51">
            <v>156.15925097485979</v>
          </cell>
        </row>
        <row r="52">
          <cell r="D52">
            <v>1646.8323983123291</v>
          </cell>
        </row>
        <row r="53">
          <cell r="D53">
            <v>95.573970275064568</v>
          </cell>
        </row>
        <row r="54">
          <cell r="D54">
            <v>375.68009504350516</v>
          </cell>
        </row>
        <row r="55">
          <cell r="D55">
            <v>419.95330215691882</v>
          </cell>
        </row>
        <row r="58">
          <cell r="D58">
            <v>10193.636990441382</v>
          </cell>
        </row>
      </sheetData>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0.21459997984006096</v>
          </cell>
        </row>
        <row r="20">
          <cell r="C20">
            <v>1.7620017017136766</v>
          </cell>
          <cell r="D20">
            <v>2.0570993421814032</v>
          </cell>
        </row>
        <row r="60">
          <cell r="E60">
            <v>7.1207584077450221</v>
          </cell>
          <cell r="I60">
            <v>5.6264204587021354</v>
          </cell>
          <cell r="M60">
            <v>6.519970222765787</v>
          </cell>
          <cell r="Q60">
            <v>6.481779162728424</v>
          </cell>
          <cell r="S60">
            <v>6.7860513414337467</v>
          </cell>
          <cell r="T60">
            <v>6.4490992295059808</v>
          </cell>
        </row>
        <row r="99">
          <cell r="E99">
            <v>5.9601347999105458</v>
          </cell>
          <cell r="I99">
            <v>6.3155575635179408</v>
          </cell>
          <cell r="M99">
            <v>4.6239684358101591</v>
          </cell>
          <cell r="Q99">
            <v>5.1798336547413122</v>
          </cell>
          <cell r="R99">
            <v>21.051811179935324</v>
          </cell>
          <cell r="S99">
            <v>20.237308764368478</v>
          </cell>
          <cell r="T99">
            <v>5.2488909688097412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0.21512642770096246</v>
          </cell>
        </row>
        <row r="20">
          <cell r="C20">
            <v>1.6008072841942911</v>
          </cell>
          <cell r="D20">
            <v>1.857919481998227</v>
          </cell>
        </row>
        <row r="60">
          <cell r="E60">
            <v>6.5961930331592278</v>
          </cell>
          <cell r="I60">
            <v>5.5346764137435986</v>
          </cell>
          <cell r="M60">
            <v>6.1390075129620429</v>
          </cell>
          <cell r="Q60">
            <v>7.2977313596247333</v>
          </cell>
          <cell r="S60">
            <v>6.6006642710337502</v>
          </cell>
          <cell r="T60">
            <v>6.4488964864670955</v>
          </cell>
        </row>
        <row r="99">
          <cell r="E99">
            <v>5.9231582647882322</v>
          </cell>
          <cell r="I99">
            <v>6.2440591088284023</v>
          </cell>
          <cell r="M99">
            <v>5.4895862022708606</v>
          </cell>
          <cell r="Q99">
            <v>5.2381693521341699</v>
          </cell>
          <cell r="R99">
            <v>21.065382442957315</v>
          </cell>
          <cell r="S99">
            <v>20.20300465861682</v>
          </cell>
          <cell r="T99">
            <v>5.3172592633433959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34">
          <cell r="I34">
            <v>22566.870618286248</v>
          </cell>
        </row>
        <row r="36">
          <cell r="I36">
            <v>5978.5532828955766</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0.21614133627101073</v>
          </cell>
        </row>
        <row r="20">
          <cell r="C20">
            <v>1.5363975863999966</v>
          </cell>
          <cell r="D20">
            <v>1.7719878302299481</v>
          </cell>
        </row>
        <row r="60">
          <cell r="E60">
            <v>6.8811523544862201</v>
          </cell>
          <cell r="I60">
            <v>3.6842194600055223</v>
          </cell>
          <cell r="M60">
            <v>6.4861797272686452</v>
          </cell>
          <cell r="Q60">
            <v>6.7605471971643976</v>
          </cell>
          <cell r="S60">
            <v>5.1394325321701846</v>
          </cell>
          <cell r="T60">
            <v>5.827667957769112</v>
          </cell>
        </row>
        <row r="99">
          <cell r="E99">
            <v>5.9419879505932789</v>
          </cell>
          <cell r="I99">
            <v>6.3549279393039813</v>
          </cell>
          <cell r="M99">
            <v>4.5102962318566266</v>
          </cell>
          <cell r="Q99">
            <v>4.9768535509946572</v>
          </cell>
          <cell r="R99">
            <v>21.047250254868164</v>
          </cell>
          <cell r="S99">
            <v>20.192505576419581</v>
          </cell>
          <cell r="T99">
            <v>5.0718493954519186</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0.21642751807900776</v>
          </cell>
        </row>
        <row r="20">
          <cell r="C20">
            <v>1.5108622410916228</v>
          </cell>
          <cell r="D20">
            <v>1.7645137276761846</v>
          </cell>
        </row>
        <row r="60">
          <cell r="E60">
            <v>6.6593800870178477</v>
          </cell>
          <cell r="I60">
            <v>4.406168220025477</v>
          </cell>
          <cell r="M60">
            <v>6.3238931938630474</v>
          </cell>
          <cell r="Q60">
            <v>6.7492045209314195</v>
          </cell>
          <cell r="S60">
            <v>5.760862157875752</v>
          </cell>
          <cell r="T60">
            <v>5.7059886201191876</v>
          </cell>
        </row>
        <row r="99">
          <cell r="E99">
            <v>5.4377891528573823</v>
          </cell>
          <cell r="I99">
            <v>5.8956319005529565</v>
          </cell>
          <cell r="M99">
            <v>4.5499577359375598</v>
          </cell>
          <cell r="Q99">
            <v>4.9680915594908353</v>
          </cell>
          <cell r="R99">
            <v>21.044204290241748</v>
          </cell>
          <cell r="S99">
            <v>20.120290547387224</v>
          </cell>
          <cell r="T99">
            <v>5.0323544344066011</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0.22458639656330756</v>
          </cell>
        </row>
        <row r="20">
          <cell r="C20">
            <v>1.3793269689663163</v>
          </cell>
          <cell r="D20">
            <v>1.7199477385864057</v>
          </cell>
        </row>
        <row r="60">
          <cell r="E60">
            <v>7.180886752605133</v>
          </cell>
          <cell r="I60">
            <v>4.6204749225135435</v>
          </cell>
          <cell r="M60">
            <v>6.1435354790227779</v>
          </cell>
          <cell r="Q60">
            <v>6.5911106480503188</v>
          </cell>
          <cell r="S60">
            <v>6.5186048961293803</v>
          </cell>
          <cell r="T60">
            <v>6.0397377026400108</v>
          </cell>
        </row>
        <row r="99">
          <cell r="E99">
            <v>5.9244232196659263</v>
          </cell>
          <cell r="I99">
            <v>6.53584353128762</v>
          </cell>
          <cell r="M99">
            <v>4.464752823513666</v>
          </cell>
          <cell r="Q99">
            <v>5.0061911928569307</v>
          </cell>
          <cell r="R99">
            <v>21.099601877378866</v>
          </cell>
          <cell r="S99">
            <v>20.271395811197817</v>
          </cell>
          <cell r="T99">
            <v>5.1081431830233619</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0.22501915509602843</v>
          </cell>
        </row>
        <row r="20">
          <cell r="C20">
            <v>1.3923773555731869</v>
          </cell>
          <cell r="D20">
            <v>1.6766907935544646</v>
          </cell>
        </row>
        <row r="60">
          <cell r="E60">
            <v>6.2832778326211409</v>
          </cell>
          <cell r="I60">
            <v>3.5556937755220535</v>
          </cell>
          <cell r="M60">
            <v>6.0335542337952974</v>
          </cell>
          <cell r="Q60">
            <v>6.5076594664947924</v>
          </cell>
          <cell r="S60">
            <v>4.5150147386150721</v>
          </cell>
          <cell r="T60">
            <v>5.1026414621051419</v>
          </cell>
        </row>
        <row r="99">
          <cell r="E99">
            <v>5.5754020235730755</v>
          </cell>
          <cell r="I99">
            <v>6.4868430849746215</v>
          </cell>
          <cell r="M99">
            <v>3.9817495505861187</v>
          </cell>
          <cell r="Q99">
            <v>4.9032599607701295</v>
          </cell>
          <cell r="R99">
            <v>21.03811891109768</v>
          </cell>
          <cell r="S99">
            <v>20.187137754484837</v>
          </cell>
          <cell r="T99">
            <v>4.9762523588840288</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0.22279053574127641</v>
          </cell>
        </row>
        <row r="20">
          <cell r="C20">
            <v>1.2863268605465588</v>
          </cell>
          <cell r="D20">
            <v>1.6158784069328944</v>
          </cell>
        </row>
        <row r="60">
          <cell r="E60">
            <v>6.1698236273488325</v>
          </cell>
          <cell r="I60">
            <v>6.3248569626437723</v>
          </cell>
          <cell r="M60">
            <v>6.4809587815568515</v>
          </cell>
          <cell r="Q60">
            <v>6.458534591985222</v>
          </cell>
          <cell r="S60">
            <v>6.3614054912155327</v>
          </cell>
          <cell r="T60">
            <v>5.7660468707970169</v>
          </cell>
        </row>
        <row r="99">
          <cell r="E99">
            <v>5.7730726737939504</v>
          </cell>
          <cell r="I99">
            <v>6.3322790469198011</v>
          </cell>
          <cell r="M99">
            <v>3.5610644320869134</v>
          </cell>
          <cell r="Q99">
            <v>4.8337140906653744</v>
          </cell>
          <cell r="R99">
            <v>21.022406416050281</v>
          </cell>
          <cell r="S99">
            <v>20.197949498814218</v>
          </cell>
          <cell r="T99">
            <v>4.9483918584310267</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0.22264107019082208</v>
          </cell>
        </row>
        <row r="20">
          <cell r="C20">
            <v>1.273736564247953</v>
          </cell>
          <cell r="D20">
            <v>1.5719700791759281</v>
          </cell>
        </row>
        <row r="60">
          <cell r="E60">
            <v>6.3144056724168314</v>
          </cell>
          <cell r="I60">
            <v>3.5519662323842249</v>
          </cell>
          <cell r="M60">
            <v>6.192063799455787</v>
          </cell>
          <cell r="Q60">
            <v>6.3432714653082716</v>
          </cell>
          <cell r="S60">
            <v>4.6343193821912019</v>
          </cell>
          <cell r="T60">
            <v>5.137911481051626</v>
          </cell>
        </row>
        <row r="99">
          <cell r="E99">
            <v>5.4033855961179693</v>
          </cell>
          <cell r="I99">
            <v>6.2252132501964059</v>
          </cell>
          <cell r="M99">
            <v>3.538887777586496</v>
          </cell>
          <cell r="Q99">
            <v>4.9918357044736306</v>
          </cell>
          <cell r="R99">
            <v>21.065463453021767</v>
          </cell>
          <cell r="S99">
            <v>20.292456402515072</v>
          </cell>
          <cell r="T99">
            <v>5.0747260889997863</v>
          </cell>
        </row>
      </sheetData>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0.22551722974474736</v>
          </cell>
        </row>
        <row r="20">
          <cell r="C20">
            <v>1.3119383468681682</v>
          </cell>
          <cell r="D20">
            <v>1.6056774455402882</v>
          </cell>
        </row>
        <row r="60">
          <cell r="E60">
            <v>6.1895688736941104</v>
          </cell>
          <cell r="I60">
            <v>3.6679800804031331</v>
          </cell>
          <cell r="M60">
            <v>5.7778695712208137</v>
          </cell>
          <cell r="Q60">
            <v>6.2397380535792539</v>
          </cell>
          <cell r="S60">
            <v>4.870425881317975</v>
          </cell>
          <cell r="T60">
            <v>4.9698827438585482</v>
          </cell>
        </row>
        <row r="99">
          <cell r="E99">
            <v>5.3842467801922282</v>
          </cell>
          <cell r="I99">
            <v>6.2745697610232476</v>
          </cell>
          <cell r="M99">
            <v>4.4980024583921283</v>
          </cell>
          <cell r="Q99">
            <v>4.8273501981623212</v>
          </cell>
          <cell r="R99">
            <v>21.062937414893124</v>
          </cell>
          <cell r="S99">
            <v>20.133247002488133</v>
          </cell>
          <cell r="T99">
            <v>4.9118549442238875</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 val="CONSRTES"/>
    </sheetNames>
    <sheetDataSet>
      <sheetData sheetId="0">
        <row r="17">
          <cell r="B17">
            <v>0.22962240520333568</v>
          </cell>
        </row>
        <row r="20">
          <cell r="C20">
            <v>1.1763884572463235</v>
          </cell>
          <cell r="D20">
            <v>1.5179496105399146</v>
          </cell>
        </row>
        <row r="60">
          <cell r="E60">
            <v>6.3763777127609771</v>
          </cell>
          <cell r="I60">
            <v>3.7757441795534201</v>
          </cell>
          <cell r="M60">
            <v>5.8889915766274106</v>
          </cell>
          <cell r="Q60">
            <v>6.2783552597771823</v>
          </cell>
          <cell r="S60">
            <v>4.8152520095048166</v>
          </cell>
          <cell r="T60">
            <v>5.0884904250091916</v>
          </cell>
        </row>
        <row r="99">
          <cell r="E99">
            <v>5.4419951967292342</v>
          </cell>
          <cell r="I99">
            <v>6.1468512767423125</v>
          </cell>
          <cell r="M99">
            <v>3.7258386514147754</v>
          </cell>
          <cell r="Q99">
            <v>4.9599294574527075</v>
          </cell>
          <cell r="R99">
            <v>21.041446179230373</v>
          </cell>
          <cell r="S99">
            <v>20.022649880196482</v>
          </cell>
          <cell r="T99">
            <v>5.0475855439413575</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s>
    <sheetDataSet>
      <sheetData sheetId="0">
        <row r="17">
          <cell r="B17">
            <v>0.2350715599208375</v>
          </cell>
        </row>
        <row r="20">
          <cell r="C20">
            <v>1.1426175319852845</v>
          </cell>
          <cell r="D20">
            <v>1.5132611391134416</v>
          </cell>
        </row>
        <row r="60">
          <cell r="E60">
            <v>5.7227737144414847</v>
          </cell>
          <cell r="I60">
            <v>5.7220937205905544</v>
          </cell>
          <cell r="M60">
            <v>6.0829674081276606</v>
          </cell>
          <cell r="Q60">
            <v>6.2401267185558931</v>
          </cell>
          <cell r="S60">
            <v>5.9299233259207398</v>
          </cell>
          <cell r="T60">
            <v>5.436342507695703</v>
          </cell>
        </row>
        <row r="99">
          <cell r="E99">
            <v>5.3915004579778527</v>
          </cell>
          <cell r="I99">
            <v>5.8685764155905469</v>
          </cell>
          <cell r="M99">
            <v>3.7746431135995957</v>
          </cell>
          <cell r="Q99">
            <v>4.9642416301369732</v>
          </cell>
          <cell r="R99">
            <v>20.974176637320038</v>
          </cell>
          <cell r="S99">
            <v>20.113181284037665</v>
          </cell>
          <cell r="T99">
            <v>5.030246600570651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s>
    <sheetDataSet>
      <sheetData sheetId="0">
        <row r="17">
          <cell r="B17">
            <v>0.22692707584958319</v>
          </cell>
        </row>
        <row r="20">
          <cell r="C20">
            <v>1.0405399796349224</v>
          </cell>
          <cell r="D20">
            <v>0.98197135541846836</v>
          </cell>
        </row>
        <row r="60">
          <cell r="E60">
            <v>5.3290977168032176</v>
          </cell>
          <cell r="I60">
            <v>3.0754120319221574</v>
          </cell>
          <cell r="M60">
            <v>4.7640521245008127</v>
          </cell>
          <cell r="Q60">
            <v>4.6836340794423066</v>
          </cell>
          <cell r="S60">
            <v>4.1557326054990531</v>
          </cell>
          <cell r="T60">
            <v>4.5931591906435809</v>
          </cell>
        </row>
        <row r="99">
          <cell r="E99">
            <v>5.0645847670826605</v>
          </cell>
          <cell r="I99">
            <v>6.1831621699957191</v>
          </cell>
          <cell r="M99">
            <v>3.5343098991852324</v>
          </cell>
          <cell r="Q99">
            <v>4.7227413204377475</v>
          </cell>
          <cell r="R99">
            <v>21.015189718067081</v>
          </cell>
          <cell r="S99">
            <v>19.796579714691255</v>
          </cell>
          <cell r="T99">
            <v>4.7921545314413132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34">
          <cell r="I34">
            <v>22520.12110984786</v>
          </cell>
        </row>
        <row r="36">
          <cell r="I36">
            <v>6942.9833112235956</v>
          </cell>
        </row>
      </sheetData>
      <sheetData sheetId="1"/>
      <sheetData sheetId="2"/>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heetNames>
    <sheetDataSet>
      <sheetData sheetId="0">
        <row r="17">
          <cell r="B17">
            <v>0.22430203599039181</v>
          </cell>
        </row>
        <row r="20">
          <cell r="C20">
            <v>1.0709594807319174</v>
          </cell>
          <cell r="D20">
            <v>1.138225941872929</v>
          </cell>
        </row>
        <row r="60">
          <cell r="E60">
            <v>5.2124743566055747</v>
          </cell>
          <cell r="I60">
            <v>4.2782912506791488</v>
          </cell>
          <cell r="M60">
            <v>4.3129871692984798</v>
          </cell>
          <cell r="Q60">
            <v>6.0682826895419337</v>
          </cell>
          <cell r="S60">
            <v>4.6198665697516956</v>
          </cell>
          <cell r="T60">
            <v>4.7724285794039361</v>
          </cell>
        </row>
        <row r="99">
          <cell r="E99">
            <v>5.2418150165314623</v>
          </cell>
          <cell r="I99">
            <v>5.2894602594899851</v>
          </cell>
          <cell r="M99">
            <v>4.1221000793923182</v>
          </cell>
          <cell r="Q99">
            <v>4.604582771973317</v>
          </cell>
          <cell r="R99">
            <v>20.892521566503159</v>
          </cell>
          <cell r="S99">
            <v>19.825906251500971</v>
          </cell>
          <cell r="T99">
            <v>4.7219688059213301</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Companies"/>
    </sheetNames>
    <sheetDataSet>
      <sheetData sheetId="0">
        <row r="9">
          <cell r="D9">
            <v>315.84789599999999</v>
          </cell>
        </row>
        <row r="10">
          <cell r="D10">
            <v>321.98673600000001</v>
          </cell>
        </row>
        <row r="11">
          <cell r="D11">
            <v>342.17874399999999</v>
          </cell>
        </row>
        <row r="12">
          <cell r="D12">
            <v>341.12885600000004</v>
          </cell>
        </row>
        <row r="13">
          <cell r="D13">
            <v>333.31071200000002</v>
          </cell>
        </row>
        <row r="14">
          <cell r="D14">
            <v>353.11848800000001</v>
          </cell>
        </row>
        <row r="15">
          <cell r="D15">
            <v>346.63682400000005</v>
          </cell>
        </row>
        <row r="16">
          <cell r="D16">
            <v>347.35</v>
          </cell>
        </row>
        <row r="17">
          <cell r="D17">
            <v>365.11599999999999</v>
          </cell>
        </row>
        <row r="18">
          <cell r="D18">
            <v>368.19299999999998</v>
          </cell>
        </row>
        <row r="19">
          <cell r="D19">
            <v>385.29500000000002</v>
          </cell>
        </row>
        <row r="20">
          <cell r="D20">
            <v>407.38934</v>
          </cell>
        </row>
        <row r="21">
          <cell r="D21">
            <v>386.84271000000001</v>
          </cell>
        </row>
        <row r="22">
          <cell r="D22">
            <v>410.05599999999998</v>
          </cell>
        </row>
        <row r="23">
          <cell r="D23">
            <v>425.18853000000001</v>
          </cell>
        </row>
        <row r="24">
          <cell r="D24">
            <v>438.07540999999998</v>
          </cell>
        </row>
        <row r="25">
          <cell r="D25">
            <v>435.86081999999999</v>
          </cell>
        </row>
        <row r="26">
          <cell r="D26">
            <v>431.78778999999997</v>
          </cell>
        </row>
        <row r="27">
          <cell r="D27">
            <v>455.39656999999994</v>
          </cell>
        </row>
        <row r="28">
          <cell r="D28">
            <v>435.53227999999996</v>
          </cell>
        </row>
        <row r="29">
          <cell r="D29">
            <v>455.50196</v>
          </cell>
        </row>
        <row r="30">
          <cell r="D30">
            <v>463.52499999999998</v>
          </cell>
        </row>
        <row r="31">
          <cell r="D31">
            <v>474.12524999999999</v>
          </cell>
        </row>
        <row r="32">
          <cell r="D32">
            <v>480.35700000000003</v>
          </cell>
        </row>
        <row r="33">
          <cell r="D33">
            <v>471.315</v>
          </cell>
        </row>
        <row r="34">
          <cell r="D34">
            <v>469.24713807653728</v>
          </cell>
        </row>
        <row r="35">
          <cell r="D35">
            <v>505.82149599999997</v>
          </cell>
        </row>
        <row r="36">
          <cell r="D36">
            <v>508.60300000000001</v>
          </cell>
        </row>
      </sheetData>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59.739083452999992</v>
          </cell>
          <cell r="D18">
            <v>21.527000000000001</v>
          </cell>
          <cell r="E18">
            <v>2.2029999999999998</v>
          </cell>
          <cell r="F18">
            <v>381.94360885968172</v>
          </cell>
          <cell r="G18">
            <v>0</v>
          </cell>
          <cell r="H18">
            <v>24.31</v>
          </cell>
        </row>
        <row r="22">
          <cell r="E22">
            <v>0</v>
          </cell>
          <cell r="F22">
            <v>120.55493402499999</v>
          </cell>
          <cell r="G22">
            <v>0</v>
          </cell>
          <cell r="H22">
            <v>0.77900000000000003</v>
          </cell>
        </row>
        <row r="23">
          <cell r="C23">
            <v>219.11074762757804</v>
          </cell>
          <cell r="D23">
            <v>0</v>
          </cell>
        </row>
        <row r="24">
          <cell r="C24">
            <v>0</v>
          </cell>
          <cell r="D24">
            <v>0</v>
          </cell>
        </row>
        <row r="25">
          <cell r="C25">
            <v>5.3279999999999994</v>
          </cell>
          <cell r="D25">
            <v>1.17</v>
          </cell>
        </row>
        <row r="26">
          <cell r="C26">
            <v>0</v>
          </cell>
          <cell r="D26">
            <v>0</v>
          </cell>
        </row>
        <row r="27">
          <cell r="C27">
            <v>20.314999999999994</v>
          </cell>
          <cell r="D27">
            <v>2.3299999999999996</v>
          </cell>
        </row>
        <row r="28">
          <cell r="C28">
            <v>15.715</v>
          </cell>
          <cell r="D28">
            <v>0.224</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164.77100000000002</v>
          </cell>
          <cell r="D33">
            <v>129.45865220299152</v>
          </cell>
          <cell r="E33">
            <v>0</v>
          </cell>
          <cell r="F33">
            <v>0</v>
          </cell>
          <cell r="G33">
            <v>0</v>
          </cell>
          <cell r="H33">
            <v>4.0000000000000001E-3</v>
          </cell>
        </row>
        <row r="34">
          <cell r="C34">
            <v>0</v>
          </cell>
          <cell r="D34">
            <v>45.2</v>
          </cell>
          <cell r="E34">
            <v>0</v>
          </cell>
          <cell r="F34">
            <v>0</v>
          </cell>
          <cell r="G34">
            <v>0</v>
          </cell>
          <cell r="H34">
            <v>0</v>
          </cell>
        </row>
        <row r="36">
          <cell r="C36">
            <v>0.6</v>
          </cell>
          <cell r="D36">
            <v>53.250926459226044</v>
          </cell>
          <cell r="E36">
            <v>0</v>
          </cell>
          <cell r="F36">
            <v>0</v>
          </cell>
          <cell r="G36">
            <v>3.5720000000000001</v>
          </cell>
          <cell r="H36">
            <v>0</v>
          </cell>
        </row>
        <row r="37">
          <cell r="C37">
            <v>4.4839004089999994</v>
          </cell>
          <cell r="D37">
            <v>20.855619525368194</v>
          </cell>
          <cell r="E37">
            <v>0</v>
          </cell>
          <cell r="F37">
            <v>3.4014571153182853</v>
          </cell>
          <cell r="G37">
            <v>0</v>
          </cell>
          <cell r="H37">
            <v>0</v>
          </cell>
        </row>
        <row r="38">
          <cell r="C38">
            <v>490.06273148957797</v>
          </cell>
          <cell r="D38">
            <v>274.01619818758576</v>
          </cell>
          <cell r="E38">
            <v>2.2029999999999998</v>
          </cell>
          <cell r="F38">
            <v>505.9</v>
          </cell>
          <cell r="G38">
            <v>3.5720000000000001</v>
          </cell>
          <cell r="H38">
            <v>25.093</v>
          </cell>
          <cell r="I38">
            <v>1300.8469296771636</v>
          </cell>
        </row>
        <row r="40">
          <cell r="I40">
            <v>0</v>
          </cell>
        </row>
        <row r="41">
          <cell r="I41">
            <v>0</v>
          </cell>
        </row>
        <row r="42">
          <cell r="I42">
            <v>0</v>
          </cell>
        </row>
        <row r="64">
          <cell r="C64">
            <v>0.8</v>
          </cell>
          <cell r="D64">
            <v>0</v>
          </cell>
        </row>
        <row r="65">
          <cell r="C65">
            <v>3.2661120639999996</v>
          </cell>
          <cell r="D65">
            <v>0</v>
          </cell>
          <cell r="E65">
            <v>0</v>
          </cell>
          <cell r="F65">
            <v>0</v>
          </cell>
          <cell r="G65">
            <v>0</v>
          </cell>
          <cell r="H65">
            <v>0</v>
          </cell>
        </row>
        <row r="68">
          <cell r="C68">
            <v>13.15</v>
          </cell>
          <cell r="D68">
            <v>67.919999999999987</v>
          </cell>
          <cell r="E68">
            <v>0</v>
          </cell>
          <cell r="F68">
            <v>35.958511496234919</v>
          </cell>
          <cell r="G68">
            <v>0</v>
          </cell>
          <cell r="H68">
            <v>0</v>
          </cell>
        </row>
        <row r="72">
          <cell r="E72">
            <v>0.03</v>
          </cell>
          <cell r="F72">
            <v>298.81</v>
          </cell>
          <cell r="G72">
            <v>0</v>
          </cell>
          <cell r="H72">
            <v>92.172285561653069</v>
          </cell>
        </row>
        <row r="73">
          <cell r="C73">
            <v>0</v>
          </cell>
          <cell r="D73">
            <v>0</v>
          </cell>
        </row>
        <row r="74">
          <cell r="C74">
            <v>0</v>
          </cell>
          <cell r="D74">
            <v>0</v>
          </cell>
        </row>
        <row r="75">
          <cell r="C75">
            <v>0</v>
          </cell>
          <cell r="D75">
            <v>1.65</v>
          </cell>
        </row>
        <row r="76">
          <cell r="C76">
            <v>0</v>
          </cell>
          <cell r="D76">
            <v>57.357438841430003</v>
          </cell>
        </row>
        <row r="77">
          <cell r="C77">
            <v>245.15000000000003</v>
          </cell>
          <cell r="D77">
            <v>43.110714438346918</v>
          </cell>
        </row>
        <row r="78">
          <cell r="C78">
            <v>377.800064312578</v>
          </cell>
          <cell r="D78">
            <v>0.23</v>
          </cell>
        </row>
        <row r="79">
          <cell r="C79">
            <v>0</v>
          </cell>
          <cell r="D79">
            <v>0</v>
          </cell>
        </row>
        <row r="80">
          <cell r="E80">
            <v>0</v>
          </cell>
          <cell r="F80">
            <v>47.49</v>
          </cell>
          <cell r="G80">
            <v>0</v>
          </cell>
          <cell r="H80">
            <v>13.78</v>
          </cell>
        </row>
        <row r="82">
          <cell r="C82">
            <v>28.53</v>
          </cell>
          <cell r="D82">
            <v>39.449999999999996</v>
          </cell>
        </row>
        <row r="85">
          <cell r="C85">
            <v>0</v>
          </cell>
          <cell r="D85">
            <v>0</v>
          </cell>
        </row>
        <row r="88">
          <cell r="C88">
            <v>0</v>
          </cell>
          <cell r="D88">
            <v>0.57999999999999996</v>
          </cell>
        </row>
        <row r="89">
          <cell r="C89">
            <v>0</v>
          </cell>
          <cell r="D89">
            <v>1.1000000000000001</v>
          </cell>
          <cell r="E89">
            <v>0</v>
          </cell>
          <cell r="F89">
            <v>1.19</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0.20620834400000002</v>
          </cell>
          <cell r="D92">
            <v>0</v>
          </cell>
        </row>
        <row r="93">
          <cell r="C93">
            <v>0.68586043599999913</v>
          </cell>
          <cell r="D93">
            <v>0.71667386653664444</v>
          </cell>
          <cell r="E93">
            <v>0</v>
          </cell>
          <cell r="F93">
            <v>3.8214885037650812</v>
          </cell>
          <cell r="G93">
            <v>0</v>
          </cell>
          <cell r="H93">
            <v>0.2</v>
          </cell>
        </row>
        <row r="94">
          <cell r="C94">
            <v>669.58824515657795</v>
          </cell>
          <cell r="D94">
            <v>212.11482714631356</v>
          </cell>
          <cell r="E94">
            <v>0.03</v>
          </cell>
          <cell r="F94">
            <v>387.27</v>
          </cell>
          <cell r="G94">
            <v>0</v>
          </cell>
          <cell r="H94">
            <v>106.15228556165309</v>
          </cell>
          <cell r="I94">
            <v>1375.1553578645444</v>
          </cell>
        </row>
        <row r="96">
          <cell r="I96">
            <v>0</v>
          </cell>
        </row>
        <row r="97">
          <cell r="I97">
            <v>0</v>
          </cell>
        </row>
        <row r="98">
          <cell r="I98">
            <v>0</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82.275488748000015</v>
          </cell>
          <cell r="D18">
            <v>14.817</v>
          </cell>
          <cell r="E18">
            <v>0.96399999999999997</v>
          </cell>
          <cell r="F18">
            <v>405.18084608183523</v>
          </cell>
          <cell r="G18">
            <v>0</v>
          </cell>
          <cell r="H18">
            <v>28.46</v>
          </cell>
        </row>
        <row r="22">
          <cell r="E22">
            <v>0</v>
          </cell>
          <cell r="F22">
            <v>107.61199999999999</v>
          </cell>
          <cell r="G22">
            <v>0</v>
          </cell>
          <cell r="H22">
            <v>0.41799999999999998</v>
          </cell>
        </row>
        <row r="23">
          <cell r="C23">
            <v>217.29163716090252</v>
          </cell>
          <cell r="D23">
            <v>0</v>
          </cell>
        </row>
        <row r="24">
          <cell r="C24">
            <v>0</v>
          </cell>
          <cell r="D24">
            <v>0</v>
          </cell>
        </row>
        <row r="25">
          <cell r="C25">
            <v>5.9289999999999994</v>
          </cell>
          <cell r="D25">
            <v>1.19</v>
          </cell>
        </row>
        <row r="26">
          <cell r="C26">
            <v>0</v>
          </cell>
          <cell r="D26">
            <v>0</v>
          </cell>
        </row>
        <row r="27">
          <cell r="C27">
            <v>20.424999999999997</v>
          </cell>
          <cell r="D27">
            <v>2.63</v>
          </cell>
        </row>
        <row r="28">
          <cell r="C28">
            <v>15.927</v>
          </cell>
          <cell r="D28">
            <v>0.27200000000000002</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142.869</v>
          </cell>
          <cell r="D33">
            <v>119.28964940357392</v>
          </cell>
          <cell r="E33">
            <v>0</v>
          </cell>
          <cell r="F33">
            <v>0</v>
          </cell>
          <cell r="G33">
            <v>0</v>
          </cell>
          <cell r="H33">
            <v>4.0000000000000001E-3</v>
          </cell>
        </row>
        <row r="34">
          <cell r="C34">
            <v>0</v>
          </cell>
          <cell r="D34">
            <v>45.2</v>
          </cell>
          <cell r="E34">
            <v>0</v>
          </cell>
          <cell r="F34">
            <v>0</v>
          </cell>
          <cell r="G34">
            <v>0</v>
          </cell>
          <cell r="H34">
            <v>0</v>
          </cell>
        </row>
        <row r="36">
          <cell r="C36">
            <v>0.6</v>
          </cell>
          <cell r="D36">
            <v>58.644514247517762</v>
          </cell>
          <cell r="E36">
            <v>0</v>
          </cell>
          <cell r="F36">
            <v>0</v>
          </cell>
          <cell r="G36">
            <v>3.8959999999999999</v>
          </cell>
          <cell r="H36">
            <v>0</v>
          </cell>
        </row>
        <row r="37">
          <cell r="C37">
            <v>5.6894486299999993</v>
          </cell>
          <cell r="D37">
            <v>21.518374685711272</v>
          </cell>
          <cell r="E37">
            <v>0</v>
          </cell>
          <cell r="F37">
            <v>3.5291539181647771</v>
          </cell>
          <cell r="G37">
            <v>0</v>
          </cell>
          <cell r="H37">
            <v>0</v>
          </cell>
        </row>
        <row r="38">
          <cell r="C38">
            <v>491.0065745389025</v>
          </cell>
          <cell r="D38">
            <v>263.56153833680298</v>
          </cell>
          <cell r="E38">
            <v>0.96399999999999997</v>
          </cell>
          <cell r="F38">
            <v>516.322</v>
          </cell>
          <cell r="G38">
            <v>3.8959999999999999</v>
          </cell>
          <cell r="H38">
            <v>28.882000000000001</v>
          </cell>
          <cell r="I38">
            <v>1304.6321128757054</v>
          </cell>
        </row>
        <row r="40">
          <cell r="I40">
            <v>0</v>
          </cell>
        </row>
        <row r="41">
          <cell r="I41">
            <v>0</v>
          </cell>
        </row>
        <row r="42">
          <cell r="I42">
            <v>0</v>
          </cell>
        </row>
        <row r="64">
          <cell r="C64">
            <v>0.6</v>
          </cell>
          <cell r="D64">
            <v>0</v>
          </cell>
        </row>
        <row r="65">
          <cell r="C65">
            <v>2.7005265699999996</v>
          </cell>
          <cell r="D65">
            <v>0</v>
          </cell>
          <cell r="E65">
            <v>0</v>
          </cell>
          <cell r="F65">
            <v>0</v>
          </cell>
          <cell r="G65">
            <v>0</v>
          </cell>
          <cell r="H65">
            <v>0</v>
          </cell>
        </row>
        <row r="68">
          <cell r="C68">
            <v>13.13</v>
          </cell>
          <cell r="D68">
            <v>67.919999999999987</v>
          </cell>
          <cell r="E68">
            <v>0</v>
          </cell>
          <cell r="F68">
            <v>35.848641137728421</v>
          </cell>
          <cell r="G68">
            <v>0</v>
          </cell>
          <cell r="H68">
            <v>0</v>
          </cell>
        </row>
        <row r="72">
          <cell r="E72">
            <v>0.03</v>
          </cell>
          <cell r="F72">
            <v>298.08</v>
          </cell>
          <cell r="G72">
            <v>0</v>
          </cell>
          <cell r="H72">
            <v>92.00728095657</v>
          </cell>
        </row>
        <row r="73">
          <cell r="C73">
            <v>0</v>
          </cell>
          <cell r="D73">
            <v>0</v>
          </cell>
        </row>
        <row r="74">
          <cell r="C74">
            <v>0</v>
          </cell>
          <cell r="D74">
            <v>0</v>
          </cell>
        </row>
        <row r="75">
          <cell r="C75">
            <v>0</v>
          </cell>
          <cell r="D75">
            <v>1.65</v>
          </cell>
        </row>
        <row r="76">
          <cell r="C76">
            <v>0</v>
          </cell>
          <cell r="D76">
            <v>57.357438841430003</v>
          </cell>
        </row>
        <row r="77">
          <cell r="C77">
            <v>245.17000000000002</v>
          </cell>
          <cell r="D77">
            <v>42.591719043429997</v>
          </cell>
        </row>
        <row r="78">
          <cell r="C78">
            <v>378.92528637790252</v>
          </cell>
          <cell r="D78">
            <v>0.2</v>
          </cell>
        </row>
        <row r="79">
          <cell r="C79">
            <v>0</v>
          </cell>
          <cell r="D79">
            <v>0</v>
          </cell>
        </row>
        <row r="80">
          <cell r="E80">
            <v>0</v>
          </cell>
          <cell r="F80">
            <v>52.61</v>
          </cell>
          <cell r="G80">
            <v>0</v>
          </cell>
          <cell r="H80">
            <v>13.629999999999999</v>
          </cell>
        </row>
        <row r="82">
          <cell r="C82">
            <v>25.259999999999998</v>
          </cell>
          <cell r="D82">
            <v>40.58</v>
          </cell>
        </row>
        <row r="85">
          <cell r="C85">
            <v>0</v>
          </cell>
          <cell r="D85">
            <v>0</v>
          </cell>
        </row>
        <row r="88">
          <cell r="C88">
            <v>0</v>
          </cell>
          <cell r="D88">
            <v>0.57999999999999996</v>
          </cell>
        </row>
        <row r="89">
          <cell r="C89">
            <v>0</v>
          </cell>
          <cell r="D89">
            <v>1.62</v>
          </cell>
          <cell r="E89">
            <v>0</v>
          </cell>
          <cell r="F89">
            <v>2.73</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0.207608344</v>
          </cell>
          <cell r="D92">
            <v>0</v>
          </cell>
        </row>
        <row r="93">
          <cell r="C93">
            <v>0.21417103599999898</v>
          </cell>
          <cell r="D93">
            <v>0.11128149034388754</v>
          </cell>
          <cell r="E93">
            <v>0</v>
          </cell>
          <cell r="F93">
            <v>3.6213588622715771</v>
          </cell>
          <cell r="G93">
            <v>0</v>
          </cell>
          <cell r="H93">
            <v>0.3</v>
          </cell>
        </row>
        <row r="94">
          <cell r="C94">
            <v>666.20759232790249</v>
          </cell>
          <cell r="D94">
            <v>212.6104393752039</v>
          </cell>
          <cell r="E94">
            <v>0.03</v>
          </cell>
          <cell r="F94">
            <v>392.89</v>
          </cell>
          <cell r="G94">
            <v>0</v>
          </cell>
          <cell r="H94">
            <v>105.93728095656999</v>
          </cell>
          <cell r="I94">
            <v>1377.6753126596766</v>
          </cell>
        </row>
        <row r="96">
          <cell r="I96">
            <v>0</v>
          </cell>
        </row>
        <row r="97">
          <cell r="I97">
            <v>0</v>
          </cell>
        </row>
        <row r="98">
          <cell r="I98">
            <v>0</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62.814830758999996</v>
          </cell>
          <cell r="D18">
            <v>14.843</v>
          </cell>
          <cell r="E18">
            <v>2.0179999999999998</v>
          </cell>
          <cell r="F18">
            <v>427.9448797712198</v>
          </cell>
          <cell r="G18">
            <v>0</v>
          </cell>
          <cell r="H18">
            <v>14.13</v>
          </cell>
        </row>
        <row r="22">
          <cell r="E22">
            <v>0</v>
          </cell>
          <cell r="F22">
            <v>78.152000000000001</v>
          </cell>
          <cell r="G22">
            <v>0</v>
          </cell>
          <cell r="H22">
            <v>0.40100000000000002</v>
          </cell>
        </row>
        <row r="23">
          <cell r="C23">
            <v>215.64728352797957</v>
          </cell>
          <cell r="D23">
            <v>0</v>
          </cell>
        </row>
        <row r="24">
          <cell r="C24">
            <v>0</v>
          </cell>
          <cell r="D24">
            <v>0</v>
          </cell>
        </row>
        <row r="25">
          <cell r="C25">
            <v>7.2219999999999995</v>
          </cell>
          <cell r="D25">
            <v>2.1850000000000001</v>
          </cell>
        </row>
        <row r="26">
          <cell r="C26">
            <v>0</v>
          </cell>
          <cell r="D26">
            <v>0</v>
          </cell>
        </row>
        <row r="27">
          <cell r="C27">
            <v>26.624999999999996</v>
          </cell>
          <cell r="D27">
            <v>2.23</v>
          </cell>
        </row>
        <row r="28">
          <cell r="C28">
            <v>16.521999999999998</v>
          </cell>
          <cell r="D28">
            <v>0.36699999999999999</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175.702</v>
          </cell>
          <cell r="D33">
            <v>201.0052197000378</v>
          </cell>
          <cell r="E33">
            <v>0</v>
          </cell>
          <cell r="F33">
            <v>0</v>
          </cell>
          <cell r="G33">
            <v>0</v>
          </cell>
          <cell r="H33">
            <v>4.0000000000000001E-3</v>
          </cell>
        </row>
        <row r="34">
          <cell r="C34">
            <v>0</v>
          </cell>
          <cell r="D34">
            <v>45.2</v>
          </cell>
          <cell r="E34">
            <v>0</v>
          </cell>
          <cell r="F34">
            <v>0</v>
          </cell>
          <cell r="G34">
            <v>0</v>
          </cell>
          <cell r="H34">
            <v>0</v>
          </cell>
        </row>
        <row r="36">
          <cell r="C36">
            <v>0.6</v>
          </cell>
          <cell r="D36">
            <v>62.738434031466234</v>
          </cell>
          <cell r="E36">
            <v>0</v>
          </cell>
          <cell r="F36">
            <v>0</v>
          </cell>
          <cell r="G36">
            <v>2.1789999999999998</v>
          </cell>
          <cell r="H36">
            <v>0</v>
          </cell>
        </row>
        <row r="37">
          <cell r="C37">
            <v>4.0448179549999992</v>
          </cell>
          <cell r="D37">
            <v>23.455129798762801</v>
          </cell>
          <cell r="E37">
            <v>0</v>
          </cell>
          <cell r="F37">
            <v>4.045120228780263</v>
          </cell>
          <cell r="G37">
            <v>0</v>
          </cell>
          <cell r="H37">
            <v>0</v>
          </cell>
        </row>
        <row r="38">
          <cell r="C38">
            <v>509.17793224197959</v>
          </cell>
          <cell r="D38">
            <v>352.02378353026683</v>
          </cell>
          <cell r="E38">
            <v>2.0179999999999998</v>
          </cell>
          <cell r="F38">
            <v>510.14200000000005</v>
          </cell>
          <cell r="G38">
            <v>2.1789999999999998</v>
          </cell>
          <cell r="H38">
            <v>14.535</v>
          </cell>
          <cell r="I38">
            <v>1390.0757157722467</v>
          </cell>
        </row>
        <row r="40">
          <cell r="I40">
            <v>0</v>
          </cell>
        </row>
        <row r="41">
          <cell r="I41">
            <v>0</v>
          </cell>
        </row>
        <row r="42">
          <cell r="I42">
            <v>0</v>
          </cell>
        </row>
        <row r="64">
          <cell r="C64">
            <v>0.7</v>
          </cell>
          <cell r="D64">
            <v>0</v>
          </cell>
        </row>
        <row r="65">
          <cell r="C65">
            <v>3.0036750830000001</v>
          </cell>
          <cell r="D65">
            <v>0</v>
          </cell>
          <cell r="E65">
            <v>0</v>
          </cell>
          <cell r="F65">
            <v>0</v>
          </cell>
          <cell r="G65">
            <v>0</v>
          </cell>
          <cell r="H65">
            <v>0</v>
          </cell>
        </row>
        <row r="68">
          <cell r="C68">
            <v>13.681866666000001</v>
          </cell>
          <cell r="D68">
            <v>67.919999999999987</v>
          </cell>
          <cell r="E68">
            <v>0</v>
          </cell>
          <cell r="F68">
            <v>96.197805410224532</v>
          </cell>
          <cell r="G68">
            <v>0</v>
          </cell>
          <cell r="H68">
            <v>0</v>
          </cell>
        </row>
        <row r="72">
          <cell r="E72">
            <v>0.03</v>
          </cell>
          <cell r="F72">
            <v>309.2</v>
          </cell>
          <cell r="G72">
            <v>0</v>
          </cell>
          <cell r="H72">
            <v>94.842136237440769</v>
          </cell>
        </row>
        <row r="73">
          <cell r="C73">
            <v>0</v>
          </cell>
          <cell r="D73">
            <v>0</v>
          </cell>
        </row>
        <row r="74">
          <cell r="C74">
            <v>0</v>
          </cell>
          <cell r="D74">
            <v>0</v>
          </cell>
        </row>
        <row r="75">
          <cell r="C75">
            <v>0</v>
          </cell>
          <cell r="D75">
            <v>1.65</v>
          </cell>
        </row>
        <row r="76">
          <cell r="C76">
            <v>0</v>
          </cell>
          <cell r="D76">
            <v>60.885499996230003</v>
          </cell>
        </row>
        <row r="77">
          <cell r="C77">
            <v>246.68100000000001</v>
          </cell>
          <cell r="D77">
            <v>41.56986376255923</v>
          </cell>
        </row>
        <row r="78">
          <cell r="C78">
            <v>378.69071687997956</v>
          </cell>
          <cell r="D78">
            <v>0.19</v>
          </cell>
        </row>
        <row r="79">
          <cell r="C79">
            <v>0</v>
          </cell>
          <cell r="D79">
            <v>0</v>
          </cell>
        </row>
        <row r="80">
          <cell r="E80">
            <v>0</v>
          </cell>
          <cell r="F80">
            <v>58.56</v>
          </cell>
          <cell r="G80">
            <v>0</v>
          </cell>
          <cell r="H80">
            <v>4.22</v>
          </cell>
        </row>
        <row r="82">
          <cell r="C82">
            <v>30.06</v>
          </cell>
          <cell r="D82">
            <v>41.15</v>
          </cell>
        </row>
        <row r="85">
          <cell r="C85">
            <v>0</v>
          </cell>
          <cell r="D85">
            <v>0</v>
          </cell>
        </row>
        <row r="88">
          <cell r="C88">
            <v>0</v>
          </cell>
          <cell r="D88">
            <v>0.57999999999999996</v>
          </cell>
        </row>
        <row r="89">
          <cell r="C89">
            <v>0</v>
          </cell>
          <cell r="D89">
            <v>1.96</v>
          </cell>
          <cell r="E89">
            <v>0</v>
          </cell>
          <cell r="F89">
            <v>3.98</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0.207083344</v>
          </cell>
          <cell r="D92">
            <v>0</v>
          </cell>
        </row>
        <row r="93">
          <cell r="C93">
            <v>0.35824754900000588</v>
          </cell>
          <cell r="D93">
            <v>-0.2854780382300024</v>
          </cell>
          <cell r="E93">
            <v>0</v>
          </cell>
          <cell r="F93">
            <v>3.0921945897754726</v>
          </cell>
          <cell r="G93">
            <v>0</v>
          </cell>
          <cell r="H93">
            <v>0.1</v>
          </cell>
        </row>
        <row r="94">
          <cell r="C94">
            <v>673.38258952197964</v>
          </cell>
          <cell r="D94">
            <v>215.61988572055924</v>
          </cell>
          <cell r="E94">
            <v>0.03</v>
          </cell>
          <cell r="F94">
            <v>471.03000000000003</v>
          </cell>
          <cell r="G94">
            <v>0</v>
          </cell>
          <cell r="H94">
            <v>99.162136237440762</v>
          </cell>
          <cell r="I94">
            <v>1459.2246114799796</v>
          </cell>
        </row>
        <row r="96">
          <cell r="I96">
            <v>0</v>
          </cell>
        </row>
        <row r="97">
          <cell r="I97">
            <v>0</v>
          </cell>
        </row>
        <row r="98">
          <cell r="I98">
            <v>0</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45.039662497999998</v>
          </cell>
          <cell r="D18">
            <v>25.756</v>
          </cell>
          <cell r="E18">
            <v>1.9810000000000001</v>
          </cell>
          <cell r="F18">
            <v>425.81904296197456</v>
          </cell>
          <cell r="G18">
            <v>0</v>
          </cell>
          <cell r="H18">
            <v>31.48</v>
          </cell>
        </row>
        <row r="22">
          <cell r="E22">
            <v>0</v>
          </cell>
          <cell r="F22">
            <v>157.47200000000001</v>
          </cell>
          <cell r="G22">
            <v>0</v>
          </cell>
          <cell r="H22">
            <v>0.40100000000000002</v>
          </cell>
        </row>
        <row r="23">
          <cell r="C23">
            <v>217.99581335178897</v>
          </cell>
          <cell r="D23">
            <v>0</v>
          </cell>
        </row>
        <row r="24">
          <cell r="C24">
            <v>0</v>
          </cell>
          <cell r="D24">
            <v>0</v>
          </cell>
        </row>
        <row r="25">
          <cell r="C25">
            <v>6.923</v>
          </cell>
          <cell r="D25">
            <v>1.819</v>
          </cell>
        </row>
        <row r="26">
          <cell r="C26">
            <v>0</v>
          </cell>
          <cell r="D26">
            <v>0</v>
          </cell>
        </row>
        <row r="27">
          <cell r="C27">
            <v>20.425000000000001</v>
          </cell>
          <cell r="D27">
            <v>9.0299999999999994</v>
          </cell>
        </row>
        <row r="28">
          <cell r="C28">
            <v>16.148</v>
          </cell>
          <cell r="D28">
            <v>0.26400000000000001</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186.49186378893148</v>
          </cell>
          <cell r="D33">
            <v>37.965932606164642</v>
          </cell>
          <cell r="E33">
            <v>0</v>
          </cell>
          <cell r="F33">
            <v>0</v>
          </cell>
          <cell r="G33">
            <v>0</v>
          </cell>
          <cell r="H33">
            <v>4.0000000000000001E-3</v>
          </cell>
        </row>
        <row r="34">
          <cell r="C34">
            <v>0</v>
          </cell>
          <cell r="D34">
            <v>45.2</v>
          </cell>
          <cell r="E34">
            <v>0</v>
          </cell>
          <cell r="F34">
            <v>0</v>
          </cell>
          <cell r="G34">
            <v>0</v>
          </cell>
          <cell r="H34">
            <v>0</v>
          </cell>
        </row>
        <row r="36">
          <cell r="C36">
            <v>0.6</v>
          </cell>
          <cell r="D36">
            <v>66.262767901984958</v>
          </cell>
          <cell r="E36">
            <v>0</v>
          </cell>
          <cell r="F36">
            <v>0</v>
          </cell>
          <cell r="G36">
            <v>2.2226370349999995</v>
          </cell>
          <cell r="H36">
            <v>0</v>
          </cell>
        </row>
        <row r="37">
          <cell r="C37">
            <v>2.5878548189999995</v>
          </cell>
          <cell r="D37">
            <v>24.425105231244075</v>
          </cell>
          <cell r="E37">
            <v>0</v>
          </cell>
          <cell r="F37">
            <v>4.49095703802546</v>
          </cell>
          <cell r="G37">
            <v>8.0000000000000002E-3</v>
          </cell>
          <cell r="H37">
            <v>0</v>
          </cell>
        </row>
        <row r="38">
          <cell r="C38">
            <v>496.21119445772041</v>
          </cell>
          <cell r="D38">
            <v>210.72280573939369</v>
          </cell>
          <cell r="E38">
            <v>1.9810000000000001</v>
          </cell>
          <cell r="F38">
            <v>587.78200000000004</v>
          </cell>
          <cell r="G38">
            <v>2.2306370349999995</v>
          </cell>
          <cell r="H38">
            <v>31.885000000000002</v>
          </cell>
          <cell r="I38">
            <v>1330.8126372321142</v>
          </cell>
        </row>
        <row r="40">
          <cell r="I40">
            <v>0</v>
          </cell>
        </row>
        <row r="41">
          <cell r="I41">
            <v>0</v>
          </cell>
        </row>
        <row r="42">
          <cell r="I42">
            <v>0</v>
          </cell>
        </row>
        <row r="64">
          <cell r="C64">
            <v>0.8</v>
          </cell>
          <cell r="D64">
            <v>0</v>
          </cell>
        </row>
        <row r="65">
          <cell r="C65">
            <v>3.3695122200000003</v>
          </cell>
          <cell r="D65">
            <v>0</v>
          </cell>
          <cell r="E65">
            <v>0</v>
          </cell>
          <cell r="F65">
            <v>0</v>
          </cell>
          <cell r="G65">
            <v>0</v>
          </cell>
          <cell r="H65">
            <v>0</v>
          </cell>
        </row>
        <row r="68">
          <cell r="C68">
            <v>9.68</v>
          </cell>
          <cell r="D68">
            <v>67.899999999999991</v>
          </cell>
          <cell r="E68">
            <v>0</v>
          </cell>
          <cell r="F68">
            <v>45.163833560782969</v>
          </cell>
          <cell r="G68">
            <v>0</v>
          </cell>
          <cell r="H68">
            <v>0</v>
          </cell>
        </row>
        <row r="72">
          <cell r="E72">
            <v>0.03</v>
          </cell>
          <cell r="F72">
            <v>307.54000000000002</v>
          </cell>
          <cell r="G72">
            <v>0</v>
          </cell>
          <cell r="H72">
            <v>90.956129943787488</v>
          </cell>
        </row>
        <row r="73">
          <cell r="C73">
            <v>0</v>
          </cell>
          <cell r="D73">
            <v>0</v>
          </cell>
        </row>
        <row r="74">
          <cell r="C74">
            <v>0</v>
          </cell>
          <cell r="D74">
            <v>0</v>
          </cell>
        </row>
        <row r="75">
          <cell r="C75">
            <v>0</v>
          </cell>
          <cell r="D75">
            <v>1.6</v>
          </cell>
        </row>
        <row r="76">
          <cell r="C76">
            <v>0</v>
          </cell>
          <cell r="D76">
            <v>60.885499996230003</v>
          </cell>
        </row>
        <row r="77">
          <cell r="C77">
            <v>249.85400000000001</v>
          </cell>
          <cell r="D77">
            <v>39.839870056212526</v>
          </cell>
        </row>
        <row r="78">
          <cell r="C78">
            <v>377.47959346878895</v>
          </cell>
          <cell r="D78">
            <v>0.2</v>
          </cell>
        </row>
        <row r="79">
          <cell r="C79">
            <v>0</v>
          </cell>
          <cell r="D79">
            <v>0</v>
          </cell>
        </row>
        <row r="80">
          <cell r="E80">
            <v>0</v>
          </cell>
          <cell r="F80">
            <v>66.03</v>
          </cell>
          <cell r="G80">
            <v>0</v>
          </cell>
          <cell r="H80">
            <v>4.0599999999999996</v>
          </cell>
        </row>
        <row r="82">
          <cell r="C82">
            <v>29.87</v>
          </cell>
          <cell r="D82">
            <v>41.23</v>
          </cell>
        </row>
        <row r="85">
          <cell r="C85">
            <v>0</v>
          </cell>
          <cell r="D85">
            <v>0</v>
          </cell>
        </row>
        <row r="88">
          <cell r="C88">
            <v>0</v>
          </cell>
          <cell r="D88">
            <v>0.49</v>
          </cell>
        </row>
        <row r="89">
          <cell r="C89">
            <v>0</v>
          </cell>
          <cell r="D89">
            <v>1.84</v>
          </cell>
          <cell r="E89">
            <v>0</v>
          </cell>
          <cell r="F89">
            <v>3.85</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0.207083344</v>
          </cell>
          <cell r="D92">
            <v>0</v>
          </cell>
        </row>
        <row r="93">
          <cell r="C93">
            <v>0.19954009800000092</v>
          </cell>
          <cell r="D93">
            <v>-2.3811341208841266</v>
          </cell>
          <cell r="E93">
            <v>0</v>
          </cell>
          <cell r="F93">
            <v>3.0961664392170314</v>
          </cell>
          <cell r="G93">
            <v>0</v>
          </cell>
          <cell r="H93">
            <v>0</v>
          </cell>
        </row>
        <row r="94">
          <cell r="C94">
            <v>671.45972913078901</v>
          </cell>
          <cell r="D94">
            <v>211.60423593155841</v>
          </cell>
          <cell r="E94">
            <v>0.03</v>
          </cell>
          <cell r="F94">
            <v>425.68</v>
          </cell>
          <cell r="G94">
            <v>0</v>
          </cell>
          <cell r="H94">
            <v>95.01612994378749</v>
          </cell>
          <cell r="I94">
            <v>1403.7900950061348</v>
          </cell>
        </row>
        <row r="96">
          <cell r="I96">
            <v>0</v>
          </cell>
        </row>
        <row r="97">
          <cell r="I97">
            <v>0</v>
          </cell>
        </row>
        <row r="98">
          <cell r="I98">
            <v>0</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64.080298326999994</v>
          </cell>
          <cell r="D18">
            <v>18.675999999999998</v>
          </cell>
          <cell r="E18">
            <v>0.58399999999999996</v>
          </cell>
          <cell r="F18">
            <v>394.11725260288512</v>
          </cell>
          <cell r="G18">
            <v>0</v>
          </cell>
          <cell r="H18">
            <v>17.899999999999999</v>
          </cell>
        </row>
        <row r="22">
          <cell r="E22">
            <v>0</v>
          </cell>
          <cell r="F22">
            <v>149.852</v>
          </cell>
          <cell r="G22">
            <v>0</v>
          </cell>
          <cell r="H22">
            <v>0.40100000000000002</v>
          </cell>
        </row>
        <row r="23">
          <cell r="C23">
            <v>218.67133889362063</v>
          </cell>
          <cell r="D23">
            <v>0</v>
          </cell>
        </row>
        <row r="24">
          <cell r="C24">
            <v>0</v>
          </cell>
          <cell r="D24">
            <v>0</v>
          </cell>
        </row>
        <row r="25">
          <cell r="C25">
            <v>6.2730000000000006</v>
          </cell>
          <cell r="D25">
            <v>4.282</v>
          </cell>
        </row>
        <row r="26">
          <cell r="C26">
            <v>0</v>
          </cell>
          <cell r="D26">
            <v>0</v>
          </cell>
        </row>
        <row r="27">
          <cell r="C27">
            <v>21.254999999999999</v>
          </cell>
          <cell r="D27">
            <v>4.63</v>
          </cell>
        </row>
        <row r="28">
          <cell r="C28">
            <v>15.696999999999999</v>
          </cell>
          <cell r="D28">
            <v>0.309</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170.61641321040503</v>
          </cell>
          <cell r="D33">
            <v>90.047509709413333</v>
          </cell>
          <cell r="E33">
            <v>0</v>
          </cell>
          <cell r="F33">
            <v>0</v>
          </cell>
          <cell r="G33">
            <v>0</v>
          </cell>
          <cell r="H33">
            <v>4.0000000000000001E-3</v>
          </cell>
        </row>
        <row r="34">
          <cell r="C34">
            <v>0</v>
          </cell>
          <cell r="D34">
            <v>45.2</v>
          </cell>
          <cell r="E34">
            <v>0</v>
          </cell>
          <cell r="F34">
            <v>0</v>
          </cell>
          <cell r="G34">
            <v>0</v>
          </cell>
          <cell r="H34">
            <v>0</v>
          </cell>
        </row>
        <row r="36">
          <cell r="C36">
            <v>0.6</v>
          </cell>
          <cell r="D36">
            <v>73.581308795123931</v>
          </cell>
          <cell r="E36">
            <v>0</v>
          </cell>
          <cell r="F36">
            <v>0</v>
          </cell>
          <cell r="G36">
            <v>2.4866370349999998</v>
          </cell>
          <cell r="H36">
            <v>0</v>
          </cell>
        </row>
        <row r="37">
          <cell r="C37">
            <v>3.0390000000000001</v>
          </cell>
          <cell r="D37">
            <v>36.505055403695899</v>
          </cell>
          <cell r="E37">
            <v>0</v>
          </cell>
          <cell r="F37">
            <v>5.0427473971149084</v>
          </cell>
          <cell r="G37">
            <v>0</v>
          </cell>
          <cell r="H37">
            <v>0</v>
          </cell>
        </row>
        <row r="38">
          <cell r="C38">
            <v>500.2320504310257</v>
          </cell>
          <cell r="D38">
            <v>273.23087390823315</v>
          </cell>
          <cell r="E38">
            <v>0.58399999999999996</v>
          </cell>
          <cell r="F38">
            <v>549.01200000000006</v>
          </cell>
          <cell r="G38">
            <v>2.4866370349999998</v>
          </cell>
          <cell r="H38">
            <v>18.305</v>
          </cell>
          <cell r="I38">
            <v>1343.8505613742591</v>
          </cell>
        </row>
        <row r="40">
          <cell r="I40">
            <v>0</v>
          </cell>
        </row>
        <row r="41">
          <cell r="I41">
            <v>0</v>
          </cell>
        </row>
        <row r="42">
          <cell r="I42">
            <v>0</v>
          </cell>
        </row>
        <row r="64">
          <cell r="C64">
            <v>0.6</v>
          </cell>
          <cell r="D64">
            <v>0</v>
          </cell>
        </row>
        <row r="65">
          <cell r="C65">
            <v>3.382208227</v>
          </cell>
          <cell r="D65">
            <v>0</v>
          </cell>
          <cell r="E65">
            <v>0</v>
          </cell>
          <cell r="F65">
            <v>0</v>
          </cell>
          <cell r="G65">
            <v>0</v>
          </cell>
          <cell r="H65">
            <v>0</v>
          </cell>
        </row>
        <row r="68">
          <cell r="C68">
            <v>9.68</v>
          </cell>
          <cell r="D68">
            <v>67.589999999999989</v>
          </cell>
          <cell r="E68">
            <v>0</v>
          </cell>
          <cell r="F68">
            <v>45.155402860782971</v>
          </cell>
          <cell r="G68">
            <v>0</v>
          </cell>
          <cell r="H68">
            <v>0</v>
          </cell>
        </row>
        <row r="72">
          <cell r="E72">
            <v>0.03</v>
          </cell>
          <cell r="F72">
            <v>305.58</v>
          </cell>
          <cell r="G72">
            <v>0</v>
          </cell>
          <cell r="H72">
            <v>84.588278947990958</v>
          </cell>
        </row>
        <row r="73">
          <cell r="C73">
            <v>0</v>
          </cell>
          <cell r="D73">
            <v>0</v>
          </cell>
        </row>
        <row r="74">
          <cell r="C74">
            <v>0</v>
          </cell>
          <cell r="D74">
            <v>0</v>
          </cell>
        </row>
        <row r="75">
          <cell r="C75">
            <v>0</v>
          </cell>
          <cell r="D75">
            <v>1.6</v>
          </cell>
        </row>
        <row r="76">
          <cell r="C76">
            <v>0</v>
          </cell>
          <cell r="D76">
            <v>60.885499996230003</v>
          </cell>
        </row>
        <row r="77">
          <cell r="C77">
            <v>251.23400000000001</v>
          </cell>
          <cell r="D77">
            <v>39.596721052009038</v>
          </cell>
        </row>
        <row r="78">
          <cell r="C78">
            <v>377.10050795662056</v>
          </cell>
          <cell r="D78">
            <v>0.2</v>
          </cell>
        </row>
        <row r="79">
          <cell r="C79">
            <v>0</v>
          </cell>
          <cell r="D79">
            <v>0</v>
          </cell>
        </row>
        <row r="80">
          <cell r="E80">
            <v>0</v>
          </cell>
          <cell r="F80">
            <v>68.52</v>
          </cell>
          <cell r="G80">
            <v>0</v>
          </cell>
          <cell r="H80">
            <v>4.05</v>
          </cell>
        </row>
        <row r="82">
          <cell r="C82">
            <v>29.860000000000003</v>
          </cell>
          <cell r="D82">
            <v>43.05</v>
          </cell>
        </row>
        <row r="85">
          <cell r="C85">
            <v>0</v>
          </cell>
          <cell r="D85">
            <v>0</v>
          </cell>
        </row>
        <row r="88">
          <cell r="C88">
            <v>0</v>
          </cell>
          <cell r="D88">
            <v>0.49</v>
          </cell>
        </row>
        <row r="89">
          <cell r="C89">
            <v>0</v>
          </cell>
          <cell r="D89">
            <v>2.31</v>
          </cell>
          <cell r="E89">
            <v>0</v>
          </cell>
          <cell r="F89">
            <v>7.62</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0.207083344</v>
          </cell>
          <cell r="D92">
            <v>0</v>
          </cell>
        </row>
        <row r="93">
          <cell r="C93">
            <v>0.25993353200000574</v>
          </cell>
          <cell r="D93">
            <v>6.0434181207700055</v>
          </cell>
          <cell r="E93">
            <v>0</v>
          </cell>
          <cell r="F93">
            <v>3.39459713921703</v>
          </cell>
          <cell r="G93">
            <v>0</v>
          </cell>
          <cell r="H93">
            <v>0.1</v>
          </cell>
        </row>
        <row r="94">
          <cell r="C94">
            <v>672.32373305962062</v>
          </cell>
          <cell r="D94">
            <v>221.76563916900903</v>
          </cell>
          <cell r="E94">
            <v>0.03</v>
          </cell>
          <cell r="F94">
            <v>430.27</v>
          </cell>
          <cell r="G94">
            <v>0</v>
          </cell>
          <cell r="H94">
            <v>88.738278947990963</v>
          </cell>
          <cell r="I94">
            <v>1413.1276511766205</v>
          </cell>
        </row>
        <row r="96">
          <cell r="I96">
            <v>0</v>
          </cell>
        </row>
        <row r="97">
          <cell r="I97">
            <v>0</v>
          </cell>
        </row>
        <row r="98">
          <cell r="I98">
            <v>0</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37.821456656999999</v>
          </cell>
          <cell r="D18">
            <v>20.475999999999999</v>
          </cell>
          <cell r="E18">
            <v>0.45100000000000001</v>
          </cell>
          <cell r="F18">
            <v>404.20992638880136</v>
          </cell>
          <cell r="G18">
            <v>0</v>
          </cell>
          <cell r="H18">
            <v>26.580000000000002</v>
          </cell>
        </row>
        <row r="22">
          <cell r="E22">
            <v>0</v>
          </cell>
          <cell r="F22">
            <v>226.91200000000001</v>
          </cell>
          <cell r="G22">
            <v>0</v>
          </cell>
          <cell r="H22">
            <v>0.39900000000000002</v>
          </cell>
        </row>
        <row r="23">
          <cell r="C23">
            <v>217.60184858048268</v>
          </cell>
          <cell r="D23">
            <v>0</v>
          </cell>
        </row>
        <row r="24">
          <cell r="C24">
            <v>0</v>
          </cell>
          <cell r="D24">
            <v>0</v>
          </cell>
        </row>
        <row r="25">
          <cell r="C25">
            <v>6.1760000000000002</v>
          </cell>
          <cell r="D25">
            <v>2.6819999999999999</v>
          </cell>
        </row>
        <row r="26">
          <cell r="C26">
            <v>0</v>
          </cell>
          <cell r="D26">
            <v>0</v>
          </cell>
        </row>
        <row r="27">
          <cell r="C27">
            <v>22.184999999999999</v>
          </cell>
          <cell r="D27">
            <v>3.13</v>
          </cell>
        </row>
        <row r="28">
          <cell r="C28">
            <v>16.347999999999999</v>
          </cell>
          <cell r="D28">
            <v>0.33400000000000002</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130.92251670482452</v>
          </cell>
          <cell r="D33">
            <v>26.92009107168704</v>
          </cell>
          <cell r="E33">
            <v>0</v>
          </cell>
          <cell r="F33">
            <v>0</v>
          </cell>
          <cell r="G33">
            <v>0</v>
          </cell>
          <cell r="H33">
            <v>0</v>
          </cell>
        </row>
        <row r="34">
          <cell r="C34">
            <v>0</v>
          </cell>
          <cell r="D34">
            <v>45.24</v>
          </cell>
          <cell r="E34">
            <v>0</v>
          </cell>
          <cell r="F34">
            <v>0</v>
          </cell>
          <cell r="G34">
            <v>0</v>
          </cell>
          <cell r="H34">
            <v>0</v>
          </cell>
        </row>
        <row r="36">
          <cell r="C36">
            <v>0.6</v>
          </cell>
          <cell r="D36">
            <v>71.267758835580793</v>
          </cell>
          <cell r="E36">
            <v>0</v>
          </cell>
          <cell r="F36">
            <v>0</v>
          </cell>
          <cell r="G36">
            <v>2.4609999999999999</v>
          </cell>
          <cell r="H36">
            <v>0</v>
          </cell>
        </row>
        <row r="37">
          <cell r="C37">
            <v>3.1265367500000001</v>
          </cell>
          <cell r="D37">
            <v>24.495861239592273</v>
          </cell>
          <cell r="E37">
            <v>0</v>
          </cell>
          <cell r="F37">
            <v>5.380073611198668</v>
          </cell>
          <cell r="G37">
            <v>0</v>
          </cell>
          <cell r="H37">
            <v>0</v>
          </cell>
        </row>
        <row r="38">
          <cell r="C38">
            <v>434.78135869230721</v>
          </cell>
          <cell r="D38">
            <v>194.5457111468601</v>
          </cell>
          <cell r="E38">
            <v>0.45100000000000001</v>
          </cell>
          <cell r="F38">
            <v>636.50200000000007</v>
          </cell>
          <cell r="G38">
            <v>2.4609999999999999</v>
          </cell>
          <cell r="H38">
            <v>26.979000000000003</v>
          </cell>
          <cell r="I38">
            <v>1295.7200698391673</v>
          </cell>
        </row>
        <row r="40">
          <cell r="I40">
            <v>0</v>
          </cell>
        </row>
        <row r="41">
          <cell r="I41">
            <v>0</v>
          </cell>
        </row>
        <row r="42">
          <cell r="I42">
            <v>0</v>
          </cell>
        </row>
        <row r="64">
          <cell r="C64">
            <v>0.8</v>
          </cell>
          <cell r="D64">
            <v>0</v>
          </cell>
        </row>
        <row r="65">
          <cell r="C65">
            <v>3.4062385559999999</v>
          </cell>
          <cell r="D65">
            <v>0</v>
          </cell>
          <cell r="E65">
            <v>0</v>
          </cell>
          <cell r="F65">
            <v>0</v>
          </cell>
          <cell r="G65">
            <v>0</v>
          </cell>
          <cell r="H65">
            <v>0</v>
          </cell>
        </row>
        <row r="68">
          <cell r="C68">
            <v>12.301527779000001</v>
          </cell>
          <cell r="D68">
            <v>67.589999999999989</v>
          </cell>
          <cell r="E68">
            <v>0</v>
          </cell>
          <cell r="F68">
            <v>48.704169835782963</v>
          </cell>
          <cell r="G68">
            <v>0</v>
          </cell>
          <cell r="H68">
            <v>0</v>
          </cell>
        </row>
        <row r="72">
          <cell r="E72">
            <v>0.03</v>
          </cell>
          <cell r="F72">
            <v>302.89</v>
          </cell>
          <cell r="G72">
            <v>0</v>
          </cell>
          <cell r="H72">
            <v>77.930875295958302</v>
          </cell>
        </row>
        <row r="73">
          <cell r="C73">
            <v>0</v>
          </cell>
          <cell r="D73">
            <v>0</v>
          </cell>
        </row>
        <row r="74">
          <cell r="C74">
            <v>0</v>
          </cell>
          <cell r="D74">
            <v>0</v>
          </cell>
        </row>
        <row r="75">
          <cell r="C75">
            <v>0</v>
          </cell>
          <cell r="D75">
            <v>1.6</v>
          </cell>
        </row>
        <row r="76">
          <cell r="C76">
            <v>0</v>
          </cell>
          <cell r="D76">
            <v>60.957538211829998</v>
          </cell>
        </row>
        <row r="77">
          <cell r="C77">
            <v>247.87100000000004</v>
          </cell>
          <cell r="D77">
            <v>39.023124704041699</v>
          </cell>
        </row>
        <row r="78">
          <cell r="C78">
            <v>374.20508700448266</v>
          </cell>
          <cell r="D78">
            <v>0.2</v>
          </cell>
        </row>
        <row r="79">
          <cell r="C79">
            <v>0</v>
          </cell>
          <cell r="D79">
            <v>0</v>
          </cell>
        </row>
        <row r="80">
          <cell r="E80">
            <v>0</v>
          </cell>
          <cell r="F80">
            <v>75.19</v>
          </cell>
          <cell r="G80">
            <v>0</v>
          </cell>
          <cell r="H80">
            <v>0</v>
          </cell>
        </row>
        <row r="82">
          <cell r="C82">
            <v>31.46</v>
          </cell>
          <cell r="D82">
            <v>5.4931037368799931</v>
          </cell>
        </row>
        <row r="85">
          <cell r="C85">
            <v>0</v>
          </cell>
          <cell r="D85">
            <v>0</v>
          </cell>
        </row>
        <row r="88">
          <cell r="C88">
            <v>0</v>
          </cell>
          <cell r="D88">
            <v>0.49</v>
          </cell>
        </row>
        <row r="89">
          <cell r="C89">
            <v>0</v>
          </cell>
          <cell r="D89">
            <v>2.02</v>
          </cell>
          <cell r="E89">
            <v>0</v>
          </cell>
          <cell r="F89">
            <v>6.26</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0.207163344</v>
          </cell>
          <cell r="D92">
            <v>0</v>
          </cell>
        </row>
        <row r="93">
          <cell r="C93">
            <v>0.45543674199999928</v>
          </cell>
          <cell r="D93">
            <v>4.7283417981700113</v>
          </cell>
          <cell r="E93">
            <v>0</v>
          </cell>
          <cell r="F93">
            <v>3.3458301642170376</v>
          </cell>
          <cell r="G93">
            <v>0</v>
          </cell>
          <cell r="H93">
            <v>0</v>
          </cell>
        </row>
        <row r="94">
          <cell r="C94">
            <v>670.70645342548278</v>
          </cell>
          <cell r="D94">
            <v>182.10210845092172</v>
          </cell>
          <cell r="E94">
            <v>0.03</v>
          </cell>
          <cell r="F94">
            <v>436.39</v>
          </cell>
          <cell r="G94">
            <v>0</v>
          </cell>
          <cell r="H94">
            <v>77.930875295958302</v>
          </cell>
          <cell r="I94">
            <v>1367.1594371723627</v>
          </cell>
        </row>
        <row r="96">
          <cell r="I96">
            <v>0</v>
          </cell>
        </row>
        <row r="97">
          <cell r="I97">
            <v>0</v>
          </cell>
        </row>
        <row r="98">
          <cell r="I98">
            <v>0</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47.090962499999996</v>
          </cell>
          <cell r="D18">
            <v>17.647000000000002</v>
          </cell>
          <cell r="E18">
            <v>0.46800000000000003</v>
          </cell>
          <cell r="F18">
            <v>388.89231670700002</v>
          </cell>
          <cell r="G18">
            <v>0</v>
          </cell>
          <cell r="H18">
            <v>21.67</v>
          </cell>
        </row>
        <row r="22">
          <cell r="E22">
            <v>0</v>
          </cell>
          <cell r="F22">
            <v>176.822</v>
          </cell>
          <cell r="G22">
            <v>0</v>
          </cell>
          <cell r="H22">
            <v>0.38</v>
          </cell>
        </row>
        <row r="23">
          <cell r="C23">
            <v>216.96027649726653</v>
          </cell>
          <cell r="D23">
            <v>0</v>
          </cell>
        </row>
        <row r="24">
          <cell r="C24">
            <v>0</v>
          </cell>
          <cell r="D24">
            <v>0</v>
          </cell>
        </row>
        <row r="25">
          <cell r="C25">
            <v>7.2160000000000002</v>
          </cell>
          <cell r="D25">
            <v>2.56</v>
          </cell>
        </row>
        <row r="26">
          <cell r="C26">
            <v>0</v>
          </cell>
          <cell r="D26">
            <v>0</v>
          </cell>
        </row>
        <row r="27">
          <cell r="C27">
            <v>18.465</v>
          </cell>
          <cell r="D27">
            <v>2.71</v>
          </cell>
        </row>
        <row r="28">
          <cell r="C28">
            <v>16.376999999999999</v>
          </cell>
          <cell r="D28">
            <v>0.33200000000000002</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113.33985409105529</v>
          </cell>
          <cell r="D33">
            <v>154.48789200998871</v>
          </cell>
          <cell r="E33">
            <v>0</v>
          </cell>
          <cell r="F33">
            <v>0</v>
          </cell>
          <cell r="G33">
            <v>0</v>
          </cell>
          <cell r="H33">
            <v>0</v>
          </cell>
        </row>
        <row r="34">
          <cell r="C34">
            <v>0</v>
          </cell>
          <cell r="D34">
            <v>45.24</v>
          </cell>
          <cell r="E34">
            <v>0</v>
          </cell>
          <cell r="F34">
            <v>0</v>
          </cell>
          <cell r="G34">
            <v>0</v>
          </cell>
          <cell r="H34">
            <v>0</v>
          </cell>
        </row>
        <row r="36">
          <cell r="C36">
            <v>0.7</v>
          </cell>
          <cell r="D36">
            <v>75.407183539170788</v>
          </cell>
          <cell r="E36">
            <v>0</v>
          </cell>
          <cell r="F36">
            <v>0</v>
          </cell>
          <cell r="G36">
            <v>2.9079999999999999</v>
          </cell>
          <cell r="H36">
            <v>0</v>
          </cell>
        </row>
        <row r="37">
          <cell r="C37">
            <v>3.1745305879999997</v>
          </cell>
          <cell r="D37">
            <v>24.553454113003632</v>
          </cell>
          <cell r="E37">
            <v>0</v>
          </cell>
          <cell r="F37">
            <v>3.9576832929999455</v>
          </cell>
          <cell r="G37">
            <v>0</v>
          </cell>
          <cell r="H37">
            <v>0</v>
          </cell>
        </row>
        <row r="38">
          <cell r="C38">
            <v>423.32362367632186</v>
          </cell>
          <cell r="D38">
            <v>322.93752966216317</v>
          </cell>
          <cell r="E38">
            <v>0.46800000000000003</v>
          </cell>
          <cell r="F38">
            <v>569.67200000000003</v>
          </cell>
          <cell r="G38">
            <v>2.9079999999999999</v>
          </cell>
          <cell r="H38">
            <v>22.05</v>
          </cell>
          <cell r="I38">
            <v>1341.3591533384852</v>
          </cell>
        </row>
        <row r="40">
          <cell r="I40">
            <v>0</v>
          </cell>
        </row>
        <row r="41">
          <cell r="I41">
            <v>0</v>
          </cell>
        </row>
        <row r="42">
          <cell r="I42">
            <v>0</v>
          </cell>
        </row>
        <row r="64">
          <cell r="C64">
            <v>0.7</v>
          </cell>
          <cell r="D64">
            <v>0</v>
          </cell>
        </row>
        <row r="65">
          <cell r="C65">
            <v>2.7016183580000002</v>
          </cell>
          <cell r="D65">
            <v>0</v>
          </cell>
          <cell r="E65">
            <v>0</v>
          </cell>
          <cell r="F65">
            <v>0</v>
          </cell>
          <cell r="G65">
            <v>0</v>
          </cell>
          <cell r="H65">
            <v>0</v>
          </cell>
        </row>
        <row r="68">
          <cell r="C68">
            <v>8.3000000000000007</v>
          </cell>
          <cell r="D68">
            <v>65.58</v>
          </cell>
          <cell r="E68">
            <v>0</v>
          </cell>
          <cell r="F68">
            <v>26.444478160782964</v>
          </cell>
          <cell r="G68">
            <v>0</v>
          </cell>
          <cell r="H68">
            <v>0</v>
          </cell>
        </row>
        <row r="72">
          <cell r="E72">
            <v>0.03</v>
          </cell>
          <cell r="F72">
            <v>303.97999999999996</v>
          </cell>
          <cell r="G72">
            <v>0</v>
          </cell>
          <cell r="H72">
            <v>76.401956752158725</v>
          </cell>
        </row>
        <row r="73">
          <cell r="C73">
            <v>0</v>
          </cell>
          <cell r="D73">
            <v>0</v>
          </cell>
        </row>
        <row r="74">
          <cell r="C74">
            <v>0</v>
          </cell>
          <cell r="D74">
            <v>0</v>
          </cell>
        </row>
        <row r="75">
          <cell r="C75">
            <v>0</v>
          </cell>
          <cell r="D75">
            <v>1.54</v>
          </cell>
        </row>
        <row r="76">
          <cell r="C76">
            <v>0</v>
          </cell>
          <cell r="D76">
            <v>66.87753821183</v>
          </cell>
        </row>
        <row r="77">
          <cell r="C77">
            <v>249.649</v>
          </cell>
          <cell r="D77">
            <v>38.826043247841284</v>
          </cell>
        </row>
        <row r="78">
          <cell r="C78">
            <v>375.7613420432665</v>
          </cell>
          <cell r="D78">
            <v>0.2</v>
          </cell>
        </row>
        <row r="79">
          <cell r="C79">
            <v>0</v>
          </cell>
          <cell r="D79">
            <v>0</v>
          </cell>
        </row>
        <row r="80">
          <cell r="E80">
            <v>0</v>
          </cell>
          <cell r="F80">
            <v>117.68054435281377</v>
          </cell>
          <cell r="G80">
            <v>0</v>
          </cell>
          <cell r="H80">
            <v>0</v>
          </cell>
        </row>
        <row r="82">
          <cell r="C82">
            <v>29.84</v>
          </cell>
          <cell r="D82">
            <v>27.01928677646</v>
          </cell>
        </row>
        <row r="85">
          <cell r="C85">
            <v>0</v>
          </cell>
          <cell r="D85">
            <v>0</v>
          </cell>
        </row>
        <row r="88">
          <cell r="C88">
            <v>0</v>
          </cell>
          <cell r="D88">
            <v>0.49</v>
          </cell>
        </row>
        <row r="89">
          <cell r="C89">
            <v>0</v>
          </cell>
          <cell r="D89">
            <v>1.97</v>
          </cell>
          <cell r="E89">
            <v>0</v>
          </cell>
          <cell r="F89">
            <v>5.81</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0.20745334400000001</v>
          </cell>
          <cell r="D92">
            <v>0</v>
          </cell>
        </row>
        <row r="93">
          <cell r="C93">
            <v>0.22527601399997629</v>
          </cell>
          <cell r="D93">
            <v>5.3072001851700019</v>
          </cell>
          <cell r="E93">
            <v>0</v>
          </cell>
          <cell r="F93">
            <v>4.7555218392170353</v>
          </cell>
          <cell r="G93">
            <v>0</v>
          </cell>
          <cell r="H93">
            <v>0</v>
          </cell>
        </row>
        <row r="94">
          <cell r="C94">
            <v>667.38468975926628</v>
          </cell>
          <cell r="D94">
            <v>207.81006842130128</v>
          </cell>
          <cell r="E94">
            <v>0.03</v>
          </cell>
          <cell r="F94">
            <v>458.67054435281375</v>
          </cell>
          <cell r="G94">
            <v>0</v>
          </cell>
          <cell r="H94">
            <v>76.401956752158725</v>
          </cell>
          <cell r="I94">
            <v>1410.2972592855401</v>
          </cell>
        </row>
        <row r="96">
          <cell r="I96">
            <v>0</v>
          </cell>
        </row>
        <row r="97">
          <cell r="I97">
            <v>0</v>
          </cell>
        </row>
        <row r="98">
          <cell r="I98">
            <v>0</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81.132855555999996</v>
          </cell>
          <cell r="D18">
            <v>5.0170000000000003</v>
          </cell>
          <cell r="E18">
            <v>3.9620000000000002</v>
          </cell>
          <cell r="F18">
            <v>388.26607680426685</v>
          </cell>
          <cell r="G18">
            <v>0</v>
          </cell>
          <cell r="H18">
            <v>32.229999999999997</v>
          </cell>
        </row>
        <row r="22">
          <cell r="E22">
            <v>0</v>
          </cell>
          <cell r="F22">
            <v>176.48400000000001</v>
          </cell>
          <cell r="G22">
            <v>0</v>
          </cell>
          <cell r="H22">
            <v>0.44700000000000001</v>
          </cell>
        </row>
        <row r="23">
          <cell r="C23">
            <v>210.81417847162874</v>
          </cell>
          <cell r="D23">
            <v>0</v>
          </cell>
        </row>
        <row r="24">
          <cell r="C24">
            <v>0</v>
          </cell>
          <cell r="D24">
            <v>0</v>
          </cell>
        </row>
        <row r="25">
          <cell r="C25">
            <v>6.9380000000000006</v>
          </cell>
          <cell r="D25">
            <v>2.593</v>
          </cell>
        </row>
        <row r="26">
          <cell r="C26">
            <v>0</v>
          </cell>
          <cell r="D26">
            <v>0</v>
          </cell>
        </row>
        <row r="27">
          <cell r="C27">
            <v>19.704999999999998</v>
          </cell>
          <cell r="D27">
            <v>2.34</v>
          </cell>
        </row>
        <row r="28">
          <cell r="C28">
            <v>16.068999999999999</v>
          </cell>
          <cell r="D28">
            <v>0.33700000000000002</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124.38146844082877</v>
          </cell>
          <cell r="D33">
            <v>150.82209710639043</v>
          </cell>
          <cell r="E33">
            <v>0</v>
          </cell>
          <cell r="F33">
            <v>0</v>
          </cell>
          <cell r="G33">
            <v>0</v>
          </cell>
          <cell r="H33">
            <v>0</v>
          </cell>
        </row>
        <row r="34">
          <cell r="C34">
            <v>0</v>
          </cell>
          <cell r="D34">
            <v>45.24</v>
          </cell>
          <cell r="E34">
            <v>0</v>
          </cell>
          <cell r="F34">
            <v>0</v>
          </cell>
          <cell r="G34">
            <v>0</v>
          </cell>
          <cell r="H34">
            <v>0</v>
          </cell>
        </row>
        <row r="36">
          <cell r="C36">
            <v>0.6</v>
          </cell>
          <cell r="D36">
            <v>82.872550553325482</v>
          </cell>
          <cell r="E36">
            <v>0</v>
          </cell>
          <cell r="F36">
            <v>0</v>
          </cell>
          <cell r="G36">
            <v>3.3450000000000002</v>
          </cell>
          <cell r="H36">
            <v>0</v>
          </cell>
        </row>
        <row r="37">
          <cell r="C37">
            <v>3.5229734609999999</v>
          </cell>
          <cell r="D37">
            <v>30.296676402495656</v>
          </cell>
          <cell r="E37">
            <v>0</v>
          </cell>
          <cell r="F37">
            <v>4.4689231957331046</v>
          </cell>
          <cell r="G37">
            <v>0</v>
          </cell>
          <cell r="H37">
            <v>0</v>
          </cell>
        </row>
        <row r="38">
          <cell r="C38">
            <v>463.16347592945749</v>
          </cell>
          <cell r="D38">
            <v>319.51832406221155</v>
          </cell>
          <cell r="E38">
            <v>3.9620000000000002</v>
          </cell>
          <cell r="F38">
            <v>569.21899999999994</v>
          </cell>
          <cell r="G38">
            <v>3.3450000000000002</v>
          </cell>
          <cell r="H38">
            <v>32.677</v>
          </cell>
          <cell r="I38">
            <v>1391.8847999916693</v>
          </cell>
        </row>
        <row r="40">
          <cell r="I40">
            <v>0</v>
          </cell>
        </row>
        <row r="41">
          <cell r="I41">
            <v>0</v>
          </cell>
        </row>
        <row r="42">
          <cell r="I42">
            <v>0</v>
          </cell>
        </row>
        <row r="64">
          <cell r="C64">
            <v>0.70000000000000007</v>
          </cell>
          <cell r="D64">
            <v>0</v>
          </cell>
        </row>
        <row r="65">
          <cell r="C65">
            <v>1.129831947</v>
          </cell>
          <cell r="D65">
            <v>0</v>
          </cell>
          <cell r="E65">
            <v>0</v>
          </cell>
          <cell r="F65">
            <v>0</v>
          </cell>
          <cell r="G65">
            <v>0</v>
          </cell>
          <cell r="H65">
            <v>0</v>
          </cell>
        </row>
        <row r="68">
          <cell r="C68">
            <v>8.3000000000000007</v>
          </cell>
          <cell r="D68">
            <v>76.48</v>
          </cell>
          <cell r="E68">
            <v>0</v>
          </cell>
          <cell r="F68">
            <v>45</v>
          </cell>
          <cell r="G68">
            <v>0</v>
          </cell>
          <cell r="H68">
            <v>0</v>
          </cell>
        </row>
        <row r="72">
          <cell r="E72">
            <v>0.03</v>
          </cell>
          <cell r="F72">
            <v>302.83999999999997</v>
          </cell>
          <cell r="G72">
            <v>0</v>
          </cell>
          <cell r="H72">
            <v>76.759999999999991</v>
          </cell>
        </row>
        <row r="73">
          <cell r="C73">
            <v>0</v>
          </cell>
          <cell r="D73">
            <v>0</v>
          </cell>
        </row>
        <row r="74">
          <cell r="C74">
            <v>0</v>
          </cell>
          <cell r="D74">
            <v>0</v>
          </cell>
        </row>
        <row r="75">
          <cell r="C75">
            <v>0</v>
          </cell>
          <cell r="D75">
            <v>6.54</v>
          </cell>
        </row>
        <row r="76">
          <cell r="C76">
            <v>0</v>
          </cell>
          <cell r="D76">
            <v>101.17</v>
          </cell>
        </row>
        <row r="77">
          <cell r="C77">
            <v>250.04400000000001</v>
          </cell>
          <cell r="D77">
            <v>33.164999999999999</v>
          </cell>
        </row>
        <row r="78">
          <cell r="C78">
            <v>379.68397071762871</v>
          </cell>
          <cell r="D78">
            <v>0.2</v>
          </cell>
        </row>
        <row r="79">
          <cell r="C79">
            <v>0</v>
          </cell>
          <cell r="D79">
            <v>0</v>
          </cell>
        </row>
        <row r="80">
          <cell r="E80">
            <v>0</v>
          </cell>
          <cell r="F80">
            <v>102.91999999999999</v>
          </cell>
          <cell r="G80">
            <v>0</v>
          </cell>
          <cell r="H80">
            <v>0</v>
          </cell>
        </row>
        <row r="82">
          <cell r="C82">
            <v>31.12</v>
          </cell>
          <cell r="D82">
            <v>28.09</v>
          </cell>
        </row>
        <row r="85">
          <cell r="C85">
            <v>0</v>
          </cell>
          <cell r="D85">
            <v>0</v>
          </cell>
        </row>
        <row r="88">
          <cell r="C88">
            <v>0</v>
          </cell>
          <cell r="D88">
            <v>0.49</v>
          </cell>
        </row>
        <row r="89">
          <cell r="C89">
            <v>0</v>
          </cell>
          <cell r="D89">
            <v>1.83</v>
          </cell>
          <cell r="E89">
            <v>0</v>
          </cell>
          <cell r="F89">
            <v>4.51</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0.20972739200000001</v>
          </cell>
          <cell r="D92">
            <v>0</v>
          </cell>
        </row>
        <row r="93">
          <cell r="C93">
            <v>0.68302484900000748</v>
          </cell>
          <cell r="D93">
            <v>5.8376322148842537</v>
          </cell>
          <cell r="E93">
            <v>0</v>
          </cell>
          <cell r="F93">
            <v>4.7999999999999972</v>
          </cell>
          <cell r="G93">
            <v>0</v>
          </cell>
          <cell r="H93">
            <v>0</v>
          </cell>
        </row>
        <row r="94">
          <cell r="C94">
            <v>671.87055490562875</v>
          </cell>
          <cell r="D94">
            <v>253.80263221488423</v>
          </cell>
          <cell r="E94">
            <v>0.03</v>
          </cell>
          <cell r="F94">
            <v>460.06999999999994</v>
          </cell>
          <cell r="G94">
            <v>0</v>
          </cell>
          <cell r="H94">
            <v>76.759999999999991</v>
          </cell>
          <cell r="I94">
            <v>1462.533187120513</v>
          </cell>
        </row>
        <row r="96">
          <cell r="I96">
            <v>0</v>
          </cell>
        </row>
        <row r="97">
          <cell r="I97">
            <v>0</v>
          </cell>
        </row>
        <row r="98">
          <cell r="I98">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34">
          <cell r="I34">
            <v>22095.765368718163</v>
          </cell>
        </row>
        <row r="36">
          <cell r="I36">
            <v>4377.6177070638141</v>
          </cell>
        </row>
      </sheetData>
      <sheetData sheetId="1"/>
      <sheetData sheetId="2"/>
      <sheetData sheetId="3"/>
      <sheetData sheetId="4"/>
      <sheetData sheetId="5"/>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77.180688920999998</v>
          </cell>
          <cell r="D18">
            <v>18.626999999999999</v>
          </cell>
          <cell r="E18">
            <v>3.2280000000000002</v>
          </cell>
          <cell r="F18">
            <v>394.54691924500003</v>
          </cell>
          <cell r="G18">
            <v>0</v>
          </cell>
          <cell r="H18">
            <v>20.92</v>
          </cell>
        </row>
        <row r="22">
          <cell r="E22">
            <v>0</v>
          </cell>
          <cell r="F22">
            <v>141.25400000000002</v>
          </cell>
          <cell r="G22">
            <v>0</v>
          </cell>
          <cell r="H22">
            <v>0.441</v>
          </cell>
        </row>
        <row r="23">
          <cell r="C23">
            <v>211.31852858888487</v>
          </cell>
          <cell r="D23">
            <v>0</v>
          </cell>
        </row>
        <row r="24">
          <cell r="C24">
            <v>0</v>
          </cell>
          <cell r="D24">
            <v>0</v>
          </cell>
        </row>
        <row r="25">
          <cell r="C25">
            <v>7.1989999999999998</v>
          </cell>
          <cell r="D25">
            <v>40.713999999999999</v>
          </cell>
        </row>
        <row r="26">
          <cell r="C26">
            <v>0</v>
          </cell>
          <cell r="D26">
            <v>0</v>
          </cell>
        </row>
        <row r="27">
          <cell r="C27">
            <v>24.532</v>
          </cell>
          <cell r="D27">
            <v>3.7699999999999996</v>
          </cell>
        </row>
        <row r="28">
          <cell r="C28">
            <v>16.064</v>
          </cell>
          <cell r="D28">
            <v>0.44500000000000001</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82.462861648659526</v>
          </cell>
          <cell r="D33">
            <v>200.57684527550325</v>
          </cell>
          <cell r="E33">
            <v>0</v>
          </cell>
          <cell r="F33">
            <v>0</v>
          </cell>
          <cell r="G33">
            <v>0</v>
          </cell>
          <cell r="H33">
            <v>0</v>
          </cell>
        </row>
        <row r="34">
          <cell r="C34">
            <v>0</v>
          </cell>
          <cell r="D34">
            <v>45.24</v>
          </cell>
          <cell r="E34">
            <v>0</v>
          </cell>
          <cell r="F34">
            <v>0</v>
          </cell>
          <cell r="G34">
            <v>0</v>
          </cell>
          <cell r="H34">
            <v>0</v>
          </cell>
        </row>
        <row r="36">
          <cell r="C36">
            <v>0.6</v>
          </cell>
          <cell r="D36">
            <v>84.048688686431049</v>
          </cell>
          <cell r="E36">
            <v>0</v>
          </cell>
          <cell r="F36">
            <v>0</v>
          </cell>
          <cell r="G36">
            <v>3.871</v>
          </cell>
          <cell r="H36">
            <v>0</v>
          </cell>
        </row>
        <row r="37">
          <cell r="C37">
            <v>3.0542907690000001</v>
          </cell>
          <cell r="D37">
            <v>29.481062392275359</v>
          </cell>
          <cell r="E37">
            <v>0</v>
          </cell>
          <cell r="F37">
            <v>5.4079056029999997</v>
          </cell>
          <cell r="G37">
            <v>0</v>
          </cell>
          <cell r="H37">
            <v>0</v>
          </cell>
        </row>
        <row r="38">
          <cell r="C38">
            <v>422.41136992754446</v>
          </cell>
          <cell r="D38">
            <v>422.90259635420966</v>
          </cell>
          <cell r="E38">
            <v>3.2280000000000002</v>
          </cell>
          <cell r="F38">
            <v>541.20882484799995</v>
          </cell>
          <cell r="G38">
            <v>3.871</v>
          </cell>
          <cell r="H38">
            <v>21.361000000000001</v>
          </cell>
          <cell r="I38">
            <v>1414.9827911297541</v>
          </cell>
        </row>
        <row r="40">
          <cell r="I40">
            <v>0</v>
          </cell>
        </row>
        <row r="41">
          <cell r="I41">
            <v>0</v>
          </cell>
        </row>
        <row r="42">
          <cell r="I42">
            <v>0</v>
          </cell>
        </row>
        <row r="64">
          <cell r="C64">
            <v>0.9</v>
          </cell>
          <cell r="D64">
            <v>0</v>
          </cell>
        </row>
        <row r="65">
          <cell r="C65">
            <v>0.29412403100000001</v>
          </cell>
          <cell r="D65">
            <v>0</v>
          </cell>
          <cell r="E65">
            <v>0</v>
          </cell>
          <cell r="F65">
            <v>0</v>
          </cell>
          <cell r="G65">
            <v>0</v>
          </cell>
          <cell r="H65">
            <v>0</v>
          </cell>
        </row>
        <row r="68">
          <cell r="C68">
            <v>10.921944446000001</v>
          </cell>
          <cell r="D68">
            <v>94.940000000000012</v>
          </cell>
          <cell r="E68">
            <v>0</v>
          </cell>
          <cell r="F68">
            <v>43.6</v>
          </cell>
          <cell r="G68">
            <v>0</v>
          </cell>
          <cell r="H68">
            <v>0</v>
          </cell>
        </row>
        <row r="72">
          <cell r="E72">
            <v>0.03</v>
          </cell>
          <cell r="F72">
            <v>311.53999999999996</v>
          </cell>
          <cell r="G72">
            <v>0</v>
          </cell>
          <cell r="H72">
            <v>76.895305787728404</v>
          </cell>
        </row>
        <row r="73">
          <cell r="C73">
            <v>0</v>
          </cell>
          <cell r="D73">
            <v>0</v>
          </cell>
        </row>
        <row r="74">
          <cell r="C74">
            <v>0</v>
          </cell>
          <cell r="D74">
            <v>0</v>
          </cell>
        </row>
        <row r="75">
          <cell r="C75">
            <v>0</v>
          </cell>
          <cell r="D75">
            <v>5.78</v>
          </cell>
        </row>
        <row r="76">
          <cell r="C76">
            <v>0</v>
          </cell>
          <cell r="D76">
            <v>98.92</v>
          </cell>
        </row>
        <row r="77">
          <cell r="C77">
            <v>251.2642181315185</v>
          </cell>
          <cell r="D77">
            <v>34.661694212271598</v>
          </cell>
        </row>
        <row r="78">
          <cell r="C78">
            <v>375.77856028388487</v>
          </cell>
          <cell r="D78">
            <v>0.18</v>
          </cell>
        </row>
        <row r="79">
          <cell r="C79">
            <v>0</v>
          </cell>
          <cell r="D79">
            <v>0</v>
          </cell>
        </row>
        <row r="80">
          <cell r="E80">
            <v>0</v>
          </cell>
          <cell r="F80">
            <v>101.77</v>
          </cell>
          <cell r="G80">
            <v>0</v>
          </cell>
          <cell r="H80">
            <v>0</v>
          </cell>
        </row>
        <row r="82">
          <cell r="C82">
            <v>26.22</v>
          </cell>
          <cell r="D82">
            <v>27.88</v>
          </cell>
        </row>
        <row r="85">
          <cell r="C85">
            <v>0</v>
          </cell>
          <cell r="D85">
            <v>0</v>
          </cell>
        </row>
        <row r="88">
          <cell r="C88">
            <v>0</v>
          </cell>
          <cell r="D88">
            <v>0.49</v>
          </cell>
        </row>
        <row r="89">
          <cell r="C89">
            <v>0</v>
          </cell>
          <cell r="D89">
            <v>1.7</v>
          </cell>
          <cell r="E89">
            <v>0</v>
          </cell>
          <cell r="F89">
            <v>4.5999999999999996</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0.20305039200000002</v>
          </cell>
          <cell r="D92">
            <v>0</v>
          </cell>
        </row>
        <row r="93">
          <cell r="C93">
            <v>0.4631174829999915</v>
          </cell>
          <cell r="D93">
            <v>4.8318163479950345</v>
          </cell>
          <cell r="E93">
            <v>0</v>
          </cell>
          <cell r="F93">
            <v>4.6000000000000014</v>
          </cell>
          <cell r="G93">
            <v>0</v>
          </cell>
          <cell r="H93">
            <v>0</v>
          </cell>
        </row>
        <row r="94">
          <cell r="C94">
            <v>666.04501476740336</v>
          </cell>
          <cell r="D94">
            <v>269.38351056026659</v>
          </cell>
          <cell r="E94">
            <v>0.03</v>
          </cell>
          <cell r="F94">
            <v>466.11</v>
          </cell>
          <cell r="G94">
            <v>0</v>
          </cell>
          <cell r="H94">
            <v>76.895305787728404</v>
          </cell>
          <cell r="I94">
            <v>1478.4637997781185</v>
          </cell>
        </row>
        <row r="96">
          <cell r="I96">
            <v>0</v>
          </cell>
        </row>
        <row r="97">
          <cell r="I97">
            <v>0</v>
          </cell>
        </row>
        <row r="98">
          <cell r="I98">
            <v>0</v>
          </cell>
        </row>
      </sheetData>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CONSF"/>
    </sheetNames>
    <sheetDataSet>
      <sheetData sheetId="0">
        <row r="14">
          <cell r="C14">
            <v>0</v>
          </cell>
          <cell r="D14">
            <v>0</v>
          </cell>
          <cell r="E14">
            <v>0</v>
          </cell>
          <cell r="F14">
            <v>0</v>
          </cell>
          <cell r="G14">
            <v>0</v>
          </cell>
          <cell r="H14">
            <v>0</v>
          </cell>
        </row>
        <row r="18">
          <cell r="C18">
            <v>87.826152811</v>
          </cell>
          <cell r="D18">
            <v>21.227</v>
          </cell>
          <cell r="E18">
            <v>2.016</v>
          </cell>
          <cell r="F18">
            <v>370.71064502922667</v>
          </cell>
          <cell r="G18">
            <v>0</v>
          </cell>
          <cell r="H18">
            <v>41.660000000000004</v>
          </cell>
        </row>
        <row r="22">
          <cell r="E22">
            <v>0</v>
          </cell>
          <cell r="F22">
            <v>155.37500000000003</v>
          </cell>
          <cell r="G22">
            <v>0</v>
          </cell>
          <cell r="H22">
            <v>0.441</v>
          </cell>
        </row>
        <row r="23">
          <cell r="C23">
            <v>210.02922776193671</v>
          </cell>
          <cell r="D23">
            <v>0</v>
          </cell>
        </row>
        <row r="24">
          <cell r="C24">
            <v>0</v>
          </cell>
          <cell r="D24">
            <v>0</v>
          </cell>
        </row>
        <row r="25">
          <cell r="C25">
            <v>7.1929999999999996</v>
          </cell>
          <cell r="D25">
            <v>0.33</v>
          </cell>
        </row>
        <row r="26">
          <cell r="C26">
            <v>0</v>
          </cell>
          <cell r="D26">
            <v>0</v>
          </cell>
        </row>
        <row r="27">
          <cell r="C27">
            <v>16.744</v>
          </cell>
          <cell r="D27">
            <v>3.07</v>
          </cell>
        </row>
        <row r="28">
          <cell r="C28">
            <v>16.693000000000001</v>
          </cell>
          <cell r="D28">
            <v>0.46500000000000002</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139.01008660329012</v>
          </cell>
          <cell r="D33">
            <v>172.45510222760225</v>
          </cell>
          <cell r="E33">
            <v>0</v>
          </cell>
          <cell r="F33">
            <v>0</v>
          </cell>
          <cell r="G33">
            <v>0</v>
          </cell>
          <cell r="H33">
            <v>0</v>
          </cell>
        </row>
        <row r="34">
          <cell r="C34">
            <v>0</v>
          </cell>
          <cell r="D34">
            <v>45.24</v>
          </cell>
          <cell r="E34">
            <v>0</v>
          </cell>
          <cell r="F34">
            <v>0</v>
          </cell>
          <cell r="G34">
            <v>0</v>
          </cell>
          <cell r="H34">
            <v>0</v>
          </cell>
        </row>
        <row r="36">
          <cell r="C36">
            <v>0.6</v>
          </cell>
          <cell r="D36">
            <v>80.672571402456015</v>
          </cell>
          <cell r="E36">
            <v>0</v>
          </cell>
          <cell r="F36">
            <v>0</v>
          </cell>
          <cell r="G36">
            <v>4.1829999999999998</v>
          </cell>
          <cell r="H36">
            <v>0</v>
          </cell>
        </row>
        <row r="37">
          <cell r="C37">
            <v>4.0609478440000002</v>
          </cell>
          <cell r="D37">
            <v>38.038405845218527</v>
          </cell>
          <cell r="E37">
            <v>0</v>
          </cell>
          <cell r="F37">
            <v>4.4000000000000004</v>
          </cell>
          <cell r="G37">
            <v>0</v>
          </cell>
          <cell r="H37">
            <v>0</v>
          </cell>
        </row>
        <row r="38">
          <cell r="C38">
            <v>482.1564150202268</v>
          </cell>
          <cell r="D38">
            <v>361.49807947527677</v>
          </cell>
          <cell r="E38">
            <v>2.016</v>
          </cell>
          <cell r="F38">
            <v>530.4856450292267</v>
          </cell>
          <cell r="G38">
            <v>4.1829999999999998</v>
          </cell>
          <cell r="H38">
            <v>42.101000000000006</v>
          </cell>
          <cell r="I38">
            <v>1422.4401395247303</v>
          </cell>
        </row>
        <row r="40">
          <cell r="I40">
            <v>0</v>
          </cell>
        </row>
        <row r="41">
          <cell r="I41">
            <v>0</v>
          </cell>
        </row>
        <row r="42">
          <cell r="I42">
            <v>0</v>
          </cell>
        </row>
        <row r="64">
          <cell r="C64">
            <v>0.6</v>
          </cell>
          <cell r="D64">
            <v>0</v>
          </cell>
        </row>
        <row r="65">
          <cell r="C65">
            <v>0.57864481700000003</v>
          </cell>
          <cell r="D65">
            <v>0</v>
          </cell>
          <cell r="E65">
            <v>0</v>
          </cell>
          <cell r="F65">
            <v>0</v>
          </cell>
          <cell r="G65">
            <v>0</v>
          </cell>
          <cell r="H65">
            <v>0</v>
          </cell>
        </row>
        <row r="68">
          <cell r="C68">
            <v>6.92</v>
          </cell>
          <cell r="D68">
            <v>85.91</v>
          </cell>
          <cell r="E68">
            <v>0</v>
          </cell>
          <cell r="F68">
            <v>49.69</v>
          </cell>
          <cell r="G68">
            <v>0</v>
          </cell>
          <cell r="H68">
            <v>0</v>
          </cell>
        </row>
        <row r="72">
          <cell r="E72">
            <v>0.03</v>
          </cell>
          <cell r="F72">
            <v>310.42999999999995</v>
          </cell>
          <cell r="G72">
            <v>0</v>
          </cell>
          <cell r="H72">
            <v>76.501524837832847</v>
          </cell>
        </row>
        <row r="73">
          <cell r="C73">
            <v>0</v>
          </cell>
          <cell r="D73">
            <v>0</v>
          </cell>
        </row>
        <row r="74">
          <cell r="C74">
            <v>0</v>
          </cell>
          <cell r="D74">
            <v>0</v>
          </cell>
        </row>
        <row r="75">
          <cell r="C75">
            <v>0</v>
          </cell>
          <cell r="D75">
            <v>5.73</v>
          </cell>
        </row>
        <row r="76">
          <cell r="C76">
            <v>0</v>
          </cell>
          <cell r="D76">
            <v>98.92</v>
          </cell>
        </row>
        <row r="77">
          <cell r="C77">
            <v>250.23000000000002</v>
          </cell>
          <cell r="D77">
            <v>37.36909277534248</v>
          </cell>
        </row>
        <row r="78">
          <cell r="C78">
            <v>377.52823044493675</v>
          </cell>
          <cell r="D78">
            <v>0.18</v>
          </cell>
        </row>
        <row r="79">
          <cell r="C79">
            <v>0</v>
          </cell>
          <cell r="D79">
            <v>0</v>
          </cell>
        </row>
        <row r="80">
          <cell r="E80">
            <v>0</v>
          </cell>
          <cell r="F80">
            <v>110.1982835112</v>
          </cell>
          <cell r="G80">
            <v>0</v>
          </cell>
          <cell r="H80">
            <v>0</v>
          </cell>
        </row>
        <row r="82">
          <cell r="C82">
            <v>26.24</v>
          </cell>
          <cell r="D82">
            <v>28.45</v>
          </cell>
        </row>
        <row r="85">
          <cell r="C85">
            <v>0</v>
          </cell>
          <cell r="D85">
            <v>0.59</v>
          </cell>
        </row>
        <row r="88">
          <cell r="C88">
            <v>0</v>
          </cell>
          <cell r="D88">
            <v>0.35</v>
          </cell>
        </row>
        <row r="89">
          <cell r="C89">
            <v>0</v>
          </cell>
          <cell r="D89">
            <v>2.25</v>
          </cell>
          <cell r="E89">
            <v>0</v>
          </cell>
          <cell r="F89">
            <v>8.42</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0.20171039200000002</v>
          </cell>
          <cell r="D92">
            <v>0</v>
          </cell>
        </row>
        <row r="93">
          <cell r="C93">
            <v>0.64854419199999691</v>
          </cell>
          <cell r="D93">
            <v>2.9073136092901275</v>
          </cell>
          <cell r="E93">
            <v>0</v>
          </cell>
          <cell r="F93">
            <v>4.1999999999999993</v>
          </cell>
          <cell r="G93">
            <v>0</v>
          </cell>
          <cell r="H93">
            <v>0</v>
          </cell>
        </row>
        <row r="94">
          <cell r="C94">
            <v>662.94712984593673</v>
          </cell>
          <cell r="D94">
            <v>262.65640638463265</v>
          </cell>
          <cell r="E94">
            <v>0.03</v>
          </cell>
          <cell r="F94">
            <v>482.93828351119998</v>
          </cell>
          <cell r="G94">
            <v>0</v>
          </cell>
          <cell r="H94">
            <v>76.501524837832847</v>
          </cell>
          <cell r="I94">
            <v>1485.073344579602</v>
          </cell>
        </row>
        <row r="96">
          <cell r="I96">
            <v>0</v>
          </cell>
        </row>
        <row r="97">
          <cell r="I97">
            <v>0</v>
          </cell>
        </row>
        <row r="98">
          <cell r="I98">
            <v>0</v>
          </cell>
        </row>
      </sheetData>
      <sheetData sheetId="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14">
          <cell r="C14">
            <v>0</v>
          </cell>
          <cell r="D14">
            <v>0</v>
          </cell>
          <cell r="E14">
            <v>0</v>
          </cell>
          <cell r="F14">
            <v>0</v>
          </cell>
          <cell r="G14">
            <v>0</v>
          </cell>
          <cell r="H14">
            <v>0</v>
          </cell>
        </row>
        <row r="18">
          <cell r="C18">
            <v>82.866326293</v>
          </cell>
          <cell r="D18">
            <v>37.006999999999998</v>
          </cell>
          <cell r="E18">
            <v>1.266</v>
          </cell>
          <cell r="F18">
            <v>398.29</v>
          </cell>
          <cell r="G18">
            <v>0</v>
          </cell>
          <cell r="H18">
            <v>43.77</v>
          </cell>
        </row>
        <row r="22">
          <cell r="E22">
            <v>0</v>
          </cell>
          <cell r="F22">
            <v>154.89599999999999</v>
          </cell>
          <cell r="G22">
            <v>0</v>
          </cell>
          <cell r="H22">
            <v>0.436</v>
          </cell>
        </row>
        <row r="23">
          <cell r="C23">
            <v>215.78912421400972</v>
          </cell>
          <cell r="D23">
            <v>0</v>
          </cell>
        </row>
        <row r="24">
          <cell r="C24">
            <v>0</v>
          </cell>
          <cell r="D24">
            <v>0</v>
          </cell>
        </row>
        <row r="25">
          <cell r="C25">
            <v>8.1959999999999997</v>
          </cell>
          <cell r="D25">
            <v>0.32</v>
          </cell>
        </row>
        <row r="26">
          <cell r="C26">
            <v>0</v>
          </cell>
          <cell r="D26">
            <v>0</v>
          </cell>
        </row>
        <row r="27">
          <cell r="C27">
            <v>19.355</v>
          </cell>
          <cell r="D27">
            <v>3.2699999999999996</v>
          </cell>
        </row>
        <row r="28">
          <cell r="C28">
            <v>16.215</v>
          </cell>
          <cell r="D28">
            <v>0.47100000000000003</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146.49437511831084</v>
          </cell>
          <cell r="D33">
            <v>122.26811558081869</v>
          </cell>
          <cell r="E33">
            <v>0</v>
          </cell>
          <cell r="F33">
            <v>0</v>
          </cell>
          <cell r="G33">
            <v>0</v>
          </cell>
          <cell r="H33">
            <v>0</v>
          </cell>
        </row>
        <row r="34">
          <cell r="C34">
            <v>0</v>
          </cell>
          <cell r="D34">
            <v>45.24</v>
          </cell>
          <cell r="E34">
            <v>0</v>
          </cell>
          <cell r="F34">
            <v>0</v>
          </cell>
          <cell r="G34">
            <v>0</v>
          </cell>
          <cell r="H34">
            <v>0</v>
          </cell>
        </row>
        <row r="36">
          <cell r="C36">
            <v>0.6</v>
          </cell>
          <cell r="D36">
            <v>83.734729522534025</v>
          </cell>
          <cell r="E36">
            <v>0</v>
          </cell>
          <cell r="F36">
            <v>0</v>
          </cell>
          <cell r="G36">
            <v>4.5350000000000001</v>
          </cell>
          <cell r="H36">
            <v>0</v>
          </cell>
        </row>
        <row r="37">
          <cell r="C37">
            <v>3.2054026410000001</v>
          </cell>
          <cell r="D37">
            <v>38.512900082834364</v>
          </cell>
          <cell r="E37">
            <v>0</v>
          </cell>
          <cell r="F37">
            <v>5.0871754989999998</v>
          </cell>
          <cell r="G37">
            <v>0</v>
          </cell>
          <cell r="H37">
            <v>0</v>
          </cell>
        </row>
        <row r="38">
          <cell r="C38">
            <v>492.72122826632057</v>
          </cell>
          <cell r="D38">
            <v>330.82374518618713</v>
          </cell>
          <cell r="E38">
            <v>1.266</v>
          </cell>
          <cell r="F38">
            <v>558.2731754990001</v>
          </cell>
          <cell r="G38">
            <v>4.5350000000000001</v>
          </cell>
          <cell r="H38">
            <v>44.206000000000003</v>
          </cell>
          <cell r="I38">
            <v>1431.8251489515078</v>
          </cell>
        </row>
        <row r="40">
          <cell r="I40">
            <v>0</v>
          </cell>
        </row>
        <row r="41">
          <cell r="I41">
            <v>0</v>
          </cell>
        </row>
        <row r="42">
          <cell r="I42">
            <v>0</v>
          </cell>
        </row>
        <row r="64">
          <cell r="C64">
            <v>0.7</v>
          </cell>
          <cell r="D64">
            <v>0</v>
          </cell>
        </row>
        <row r="65">
          <cell r="C65">
            <v>1.429263218</v>
          </cell>
          <cell r="D65">
            <v>0</v>
          </cell>
          <cell r="E65">
            <v>0</v>
          </cell>
          <cell r="F65">
            <v>0</v>
          </cell>
          <cell r="G65">
            <v>0</v>
          </cell>
          <cell r="H65">
            <v>0</v>
          </cell>
        </row>
        <row r="68">
          <cell r="C68">
            <v>6.92</v>
          </cell>
          <cell r="D68">
            <v>79.040000000000006</v>
          </cell>
          <cell r="E68">
            <v>0</v>
          </cell>
          <cell r="F68">
            <v>51.2</v>
          </cell>
          <cell r="G68">
            <v>0</v>
          </cell>
          <cell r="H68">
            <v>0</v>
          </cell>
        </row>
        <row r="72">
          <cell r="E72">
            <v>0.02</v>
          </cell>
          <cell r="F72">
            <v>296.36999999999995</v>
          </cell>
          <cell r="G72">
            <v>0</v>
          </cell>
          <cell r="H72">
            <v>70.850841778011002</v>
          </cell>
        </row>
        <row r="73">
          <cell r="C73">
            <v>0</v>
          </cell>
          <cell r="D73">
            <v>0</v>
          </cell>
        </row>
        <row r="74">
          <cell r="C74">
            <v>0</v>
          </cell>
          <cell r="D74">
            <v>0</v>
          </cell>
        </row>
        <row r="75">
          <cell r="C75">
            <v>0</v>
          </cell>
          <cell r="D75">
            <v>5.73</v>
          </cell>
        </row>
        <row r="76">
          <cell r="C76">
            <v>0</v>
          </cell>
          <cell r="D76">
            <v>98.63</v>
          </cell>
        </row>
        <row r="77">
          <cell r="C77">
            <v>251.58799999999999</v>
          </cell>
          <cell r="D77">
            <v>35.804775835164314</v>
          </cell>
        </row>
        <row r="78">
          <cell r="C78">
            <v>386.66841291600974</v>
          </cell>
          <cell r="D78">
            <v>4.2</v>
          </cell>
        </row>
        <row r="79">
          <cell r="C79">
            <v>0</v>
          </cell>
          <cell r="D79">
            <v>0</v>
          </cell>
        </row>
        <row r="80">
          <cell r="E80">
            <v>0</v>
          </cell>
          <cell r="F80">
            <v>122.03309663662</v>
          </cell>
          <cell r="G80">
            <v>0</v>
          </cell>
          <cell r="H80">
            <v>0</v>
          </cell>
        </row>
        <row r="82">
          <cell r="C82">
            <v>26.24</v>
          </cell>
          <cell r="D82">
            <v>29.04</v>
          </cell>
        </row>
        <row r="85">
          <cell r="C85">
            <v>0</v>
          </cell>
          <cell r="D85">
            <v>0</v>
          </cell>
        </row>
        <row r="88">
          <cell r="C88">
            <v>0</v>
          </cell>
          <cell r="D88">
            <v>0.35</v>
          </cell>
        </row>
        <row r="89">
          <cell r="C89">
            <v>0</v>
          </cell>
          <cell r="D89">
            <v>2.64</v>
          </cell>
          <cell r="E89">
            <v>0</v>
          </cell>
          <cell r="F89">
            <v>14.09</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0.20171039200000002</v>
          </cell>
          <cell r="D92">
            <v>0</v>
          </cell>
        </row>
        <row r="93">
          <cell r="C93">
            <v>1.8635611119999829</v>
          </cell>
          <cell r="D93">
            <v>3.9438412723108387</v>
          </cell>
          <cell r="E93">
            <v>0</v>
          </cell>
          <cell r="F93">
            <v>4.2</v>
          </cell>
          <cell r="G93">
            <v>0</v>
          </cell>
          <cell r="H93">
            <v>0</v>
          </cell>
        </row>
        <row r="94">
          <cell r="C94">
            <v>675.61094763800963</v>
          </cell>
          <cell r="D94">
            <v>259.37861710747512</v>
          </cell>
          <cell r="E94">
            <v>0.02</v>
          </cell>
          <cell r="F94">
            <v>487.89309663661993</v>
          </cell>
          <cell r="G94">
            <v>0</v>
          </cell>
          <cell r="H94">
            <v>70.850841778011002</v>
          </cell>
          <cell r="I94">
            <v>1493.753503160116</v>
          </cell>
        </row>
        <row r="96">
          <cell r="I96">
            <v>0</v>
          </cell>
        </row>
        <row r="97">
          <cell r="I97">
            <v>0</v>
          </cell>
        </row>
        <row r="98">
          <cell r="I98">
            <v>0</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14">
          <cell r="C14">
            <v>0</v>
          </cell>
          <cell r="D14">
            <v>0</v>
          </cell>
          <cell r="E14">
            <v>0</v>
          </cell>
          <cell r="F14">
            <v>0</v>
          </cell>
          <cell r="G14">
            <v>0</v>
          </cell>
          <cell r="H14">
            <v>0</v>
          </cell>
        </row>
        <row r="18">
          <cell r="C18">
            <v>52.913056185000002</v>
          </cell>
          <cell r="D18">
            <v>18.815999999999999</v>
          </cell>
          <cell r="E18">
            <v>0.77300000000000002</v>
          </cell>
          <cell r="F18">
            <v>453.5002851693489</v>
          </cell>
          <cell r="G18">
            <v>0</v>
          </cell>
          <cell r="H18">
            <v>21.68</v>
          </cell>
        </row>
        <row r="22">
          <cell r="E22">
            <v>4.3</v>
          </cell>
          <cell r="F22">
            <v>337.649</v>
          </cell>
          <cell r="G22">
            <v>0</v>
          </cell>
          <cell r="H22">
            <v>0.442</v>
          </cell>
        </row>
        <row r="23">
          <cell r="C23">
            <v>216.47369457704193</v>
          </cell>
          <cell r="D23">
            <v>0</v>
          </cell>
        </row>
        <row r="24">
          <cell r="C24">
            <v>0</v>
          </cell>
          <cell r="D24">
            <v>0</v>
          </cell>
        </row>
        <row r="25">
          <cell r="C25">
            <v>8.41</v>
          </cell>
          <cell r="D25">
            <v>0.56399999999999995</v>
          </cell>
        </row>
        <row r="26">
          <cell r="C26">
            <v>0</v>
          </cell>
          <cell r="D26">
            <v>0</v>
          </cell>
        </row>
        <row r="27">
          <cell r="C27">
            <v>17.204999999999998</v>
          </cell>
          <cell r="D27">
            <v>3.5449999999999999</v>
          </cell>
        </row>
        <row r="28">
          <cell r="C28">
            <v>16.861000000000001</v>
          </cell>
          <cell r="D28">
            <v>0.47100000000000003</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169.1763654880327</v>
          </cell>
          <cell r="D33">
            <v>21.856101296484212</v>
          </cell>
          <cell r="E33">
            <v>0</v>
          </cell>
          <cell r="F33">
            <v>0</v>
          </cell>
          <cell r="G33">
            <v>0</v>
          </cell>
          <cell r="H33">
            <v>0</v>
          </cell>
        </row>
        <row r="34">
          <cell r="C34">
            <v>0</v>
          </cell>
          <cell r="D34">
            <v>45.24</v>
          </cell>
          <cell r="E34">
            <v>0</v>
          </cell>
          <cell r="F34">
            <v>0</v>
          </cell>
          <cell r="G34">
            <v>0</v>
          </cell>
          <cell r="H34">
            <v>0</v>
          </cell>
        </row>
        <row r="36">
          <cell r="C36">
            <v>0.6</v>
          </cell>
          <cell r="D36">
            <v>86.760981091331061</v>
          </cell>
          <cell r="E36">
            <v>0</v>
          </cell>
          <cell r="F36">
            <v>0</v>
          </cell>
          <cell r="G36">
            <v>4.9672960000000002</v>
          </cell>
          <cell r="H36">
            <v>0</v>
          </cell>
        </row>
        <row r="37">
          <cell r="C37">
            <v>3.5640000000000001</v>
          </cell>
          <cell r="D37">
            <v>15.201960863034657</v>
          </cell>
          <cell r="E37">
            <v>0</v>
          </cell>
          <cell r="F37">
            <v>5.5392355183078505</v>
          </cell>
          <cell r="G37">
            <v>0</v>
          </cell>
          <cell r="H37">
            <v>0</v>
          </cell>
        </row>
        <row r="38">
          <cell r="C38">
            <v>485.20311625007457</v>
          </cell>
          <cell r="D38">
            <v>192.45504325084994</v>
          </cell>
          <cell r="E38">
            <v>5.0729999999999995</v>
          </cell>
          <cell r="F38">
            <v>796.68852068765671</v>
          </cell>
          <cell r="G38">
            <v>4.9672960000000002</v>
          </cell>
          <cell r="H38">
            <v>22.122</v>
          </cell>
          <cell r="I38">
            <v>1506.5089761885813</v>
          </cell>
        </row>
        <row r="40">
          <cell r="I40">
            <v>0</v>
          </cell>
        </row>
        <row r="41">
          <cell r="I41">
            <v>0</v>
          </cell>
        </row>
        <row r="42">
          <cell r="I42">
            <v>0</v>
          </cell>
        </row>
        <row r="64">
          <cell r="C64">
            <v>0.8</v>
          </cell>
          <cell r="D64">
            <v>0</v>
          </cell>
        </row>
        <row r="65">
          <cell r="C65">
            <v>1.7721330209999999</v>
          </cell>
          <cell r="D65">
            <v>0</v>
          </cell>
          <cell r="E65">
            <v>0</v>
          </cell>
          <cell r="F65">
            <v>0</v>
          </cell>
          <cell r="G65">
            <v>0</v>
          </cell>
          <cell r="H65">
            <v>0</v>
          </cell>
        </row>
        <row r="68">
          <cell r="C68">
            <v>0</v>
          </cell>
          <cell r="D68">
            <v>78.570000000000007</v>
          </cell>
          <cell r="E68">
            <v>0</v>
          </cell>
          <cell r="F68">
            <v>93.820000000000007</v>
          </cell>
          <cell r="G68">
            <v>0</v>
          </cell>
          <cell r="H68">
            <v>0</v>
          </cell>
        </row>
        <row r="72">
          <cell r="E72">
            <v>0.02</v>
          </cell>
          <cell r="F72">
            <v>292.03999999999996</v>
          </cell>
          <cell r="G72">
            <v>0</v>
          </cell>
          <cell r="H72">
            <v>62.161306484625307</v>
          </cell>
        </row>
        <row r="73">
          <cell r="C73">
            <v>0</v>
          </cell>
          <cell r="D73">
            <v>0</v>
          </cell>
        </row>
        <row r="74">
          <cell r="C74">
            <v>0</v>
          </cell>
          <cell r="D74">
            <v>0</v>
          </cell>
        </row>
        <row r="75">
          <cell r="C75">
            <v>0</v>
          </cell>
          <cell r="D75">
            <v>5.73</v>
          </cell>
        </row>
        <row r="76">
          <cell r="C76">
            <v>0</v>
          </cell>
          <cell r="D76">
            <v>115</v>
          </cell>
        </row>
        <row r="77">
          <cell r="C77">
            <v>256.49400000000003</v>
          </cell>
          <cell r="D77">
            <v>35.943311128550022</v>
          </cell>
        </row>
        <row r="78">
          <cell r="C78">
            <v>389.89961976604195</v>
          </cell>
          <cell r="D78">
            <v>4.22</v>
          </cell>
        </row>
        <row r="79">
          <cell r="C79">
            <v>0</v>
          </cell>
          <cell r="D79">
            <v>0</v>
          </cell>
        </row>
        <row r="80">
          <cell r="E80">
            <v>0</v>
          </cell>
          <cell r="F80">
            <v>147.44999999999999</v>
          </cell>
          <cell r="G80">
            <v>0</v>
          </cell>
          <cell r="H80">
            <v>0</v>
          </cell>
        </row>
        <row r="82">
          <cell r="C82">
            <v>24.69</v>
          </cell>
          <cell r="D82">
            <v>29.09</v>
          </cell>
        </row>
        <row r="85">
          <cell r="C85">
            <v>0</v>
          </cell>
          <cell r="D85">
            <v>0</v>
          </cell>
        </row>
        <row r="88">
          <cell r="C88">
            <v>0</v>
          </cell>
          <cell r="D88">
            <v>0.35</v>
          </cell>
        </row>
        <row r="89">
          <cell r="C89">
            <v>0</v>
          </cell>
          <cell r="D89">
            <v>2.77</v>
          </cell>
          <cell r="E89">
            <v>0</v>
          </cell>
          <cell r="F89">
            <v>21.12</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0.20407039200000002</v>
          </cell>
          <cell r="D92">
            <v>0</v>
          </cell>
        </row>
        <row r="93">
          <cell r="C93">
            <v>0.75944901700000056</v>
          </cell>
          <cell r="D93">
            <v>5.8789288310327006</v>
          </cell>
          <cell r="E93">
            <v>0</v>
          </cell>
          <cell r="F93">
            <v>3.9</v>
          </cell>
          <cell r="G93">
            <v>0</v>
          </cell>
          <cell r="H93">
            <v>0</v>
          </cell>
        </row>
        <row r="94">
          <cell r="C94">
            <v>674.61927219604195</v>
          </cell>
          <cell r="D94">
            <v>277.55223995958272</v>
          </cell>
          <cell r="E94">
            <v>0.02</v>
          </cell>
          <cell r="F94">
            <v>558.33000000000004</v>
          </cell>
          <cell r="G94">
            <v>0</v>
          </cell>
          <cell r="H94">
            <v>62.161306484625307</v>
          </cell>
          <cell r="I94">
            <v>1572.6828186402497</v>
          </cell>
        </row>
        <row r="96">
          <cell r="I96">
            <v>0</v>
          </cell>
        </row>
        <row r="97">
          <cell r="I97">
            <v>0</v>
          </cell>
        </row>
        <row r="98">
          <cell r="I98">
            <v>0</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14">
          <cell r="C14">
            <v>0</v>
          </cell>
          <cell r="D14">
            <v>0</v>
          </cell>
          <cell r="E14">
            <v>0</v>
          </cell>
          <cell r="F14">
            <v>0</v>
          </cell>
          <cell r="G14">
            <v>0</v>
          </cell>
          <cell r="H14">
            <v>0</v>
          </cell>
        </row>
        <row r="18">
          <cell r="C18">
            <v>78.521448898666662</v>
          </cell>
          <cell r="D18">
            <v>2.5569999999999999</v>
          </cell>
          <cell r="E18">
            <v>2.5019999999999998</v>
          </cell>
          <cell r="F18">
            <v>417.71813748386825</v>
          </cell>
          <cell r="G18">
            <v>0</v>
          </cell>
          <cell r="H18">
            <v>11.88</v>
          </cell>
        </row>
        <row r="22">
          <cell r="E22">
            <v>6.56</v>
          </cell>
          <cell r="F22">
            <v>402.24507295401071</v>
          </cell>
          <cell r="G22">
            <v>0</v>
          </cell>
          <cell r="H22">
            <v>0.437</v>
          </cell>
        </row>
        <row r="23">
          <cell r="C23">
            <v>216.4516040613247</v>
          </cell>
          <cell r="D23">
            <v>0</v>
          </cell>
        </row>
        <row r="24">
          <cell r="C24">
            <v>0</v>
          </cell>
          <cell r="D24">
            <v>0</v>
          </cell>
        </row>
        <row r="25">
          <cell r="C25">
            <v>8.9760000000000009</v>
          </cell>
          <cell r="D25">
            <v>0.55800000000000005</v>
          </cell>
        </row>
        <row r="26">
          <cell r="C26">
            <v>0</v>
          </cell>
          <cell r="D26">
            <v>0</v>
          </cell>
        </row>
        <row r="27">
          <cell r="C27">
            <v>20.605</v>
          </cell>
          <cell r="D27">
            <v>3.9450000000000003</v>
          </cell>
        </row>
        <row r="28">
          <cell r="C28">
            <v>17.73</v>
          </cell>
          <cell r="D28">
            <v>0.34499999999999997</v>
          </cell>
        </row>
        <row r="29">
          <cell r="C29">
            <v>0</v>
          </cell>
          <cell r="D29">
            <v>0</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138.85570128873385</v>
          </cell>
          <cell r="D33">
            <v>42.543885937126952</v>
          </cell>
          <cell r="E33">
            <v>0</v>
          </cell>
          <cell r="F33">
            <v>0</v>
          </cell>
          <cell r="G33">
            <v>0</v>
          </cell>
          <cell r="H33">
            <v>0</v>
          </cell>
        </row>
        <row r="34">
          <cell r="C34">
            <v>0</v>
          </cell>
          <cell r="D34">
            <v>45.24</v>
          </cell>
          <cell r="E34">
            <v>0</v>
          </cell>
          <cell r="F34">
            <v>0</v>
          </cell>
          <cell r="G34">
            <v>0</v>
          </cell>
          <cell r="H34">
            <v>0</v>
          </cell>
        </row>
        <row r="36">
          <cell r="C36">
            <v>0.7</v>
          </cell>
          <cell r="D36">
            <v>88.336404215668054</v>
          </cell>
          <cell r="E36">
            <v>0</v>
          </cell>
          <cell r="F36">
            <v>0</v>
          </cell>
          <cell r="G36">
            <v>3.9854850210000001</v>
          </cell>
          <cell r="H36">
            <v>0</v>
          </cell>
        </row>
        <row r="37">
          <cell r="C37">
            <v>3.126369161</v>
          </cell>
          <cell r="D37">
            <v>17.718541724598545</v>
          </cell>
          <cell r="E37">
            <v>0</v>
          </cell>
          <cell r="F37">
            <v>3.4</v>
          </cell>
          <cell r="G37">
            <v>0</v>
          </cell>
          <cell r="H37">
            <v>0</v>
          </cell>
        </row>
        <row r="38">
          <cell r="C38">
            <v>484.96612340972524</v>
          </cell>
          <cell r="D38">
            <v>201.24383187739355</v>
          </cell>
          <cell r="E38">
            <v>9.0619999999999994</v>
          </cell>
          <cell r="F38">
            <v>823.36321043787882</v>
          </cell>
          <cell r="G38">
            <v>3.9854850210000001</v>
          </cell>
          <cell r="H38">
            <v>12.317</v>
          </cell>
          <cell r="I38">
            <v>1534.9376507459979</v>
          </cell>
        </row>
        <row r="40">
          <cell r="I40">
            <v>0</v>
          </cell>
        </row>
        <row r="41">
          <cell r="I41">
            <v>0</v>
          </cell>
        </row>
        <row r="42">
          <cell r="I42">
            <v>0</v>
          </cell>
        </row>
        <row r="64">
          <cell r="C64">
            <v>0.8</v>
          </cell>
          <cell r="D64">
            <v>0</v>
          </cell>
        </row>
        <row r="65">
          <cell r="C65">
            <v>1.83462207</v>
          </cell>
          <cell r="D65">
            <v>0</v>
          </cell>
          <cell r="E65">
            <v>0</v>
          </cell>
          <cell r="F65">
            <v>0</v>
          </cell>
          <cell r="G65">
            <v>0</v>
          </cell>
          <cell r="H65">
            <v>0</v>
          </cell>
        </row>
        <row r="68">
          <cell r="C68">
            <v>0</v>
          </cell>
          <cell r="D68">
            <v>77.89</v>
          </cell>
          <cell r="E68">
            <v>0</v>
          </cell>
          <cell r="F68">
            <v>44.277872586357063</v>
          </cell>
          <cell r="G68">
            <v>0</v>
          </cell>
          <cell r="H68">
            <v>0</v>
          </cell>
        </row>
        <row r="72">
          <cell r="E72">
            <v>0.02</v>
          </cell>
          <cell r="F72">
            <v>295.22999999999996</v>
          </cell>
          <cell r="G72">
            <v>0</v>
          </cell>
          <cell r="H72">
            <v>63.130722874828429</v>
          </cell>
        </row>
        <row r="73">
          <cell r="C73">
            <v>0</v>
          </cell>
          <cell r="D73">
            <v>0</v>
          </cell>
        </row>
        <row r="74">
          <cell r="C74">
            <v>0</v>
          </cell>
          <cell r="D74">
            <v>0</v>
          </cell>
        </row>
        <row r="75">
          <cell r="C75">
            <v>0</v>
          </cell>
          <cell r="D75">
            <v>5.73</v>
          </cell>
        </row>
        <row r="76">
          <cell r="C76">
            <v>0</v>
          </cell>
          <cell r="D76">
            <v>186.69659440385999</v>
          </cell>
        </row>
        <row r="77">
          <cell r="C77">
            <v>261.71614193600004</v>
          </cell>
          <cell r="D77">
            <v>41.927894738346893</v>
          </cell>
        </row>
        <row r="78">
          <cell r="C78">
            <v>388.58449895899133</v>
          </cell>
          <cell r="D78">
            <v>4.22</v>
          </cell>
        </row>
        <row r="79">
          <cell r="C79">
            <v>0</v>
          </cell>
          <cell r="D79">
            <v>0</v>
          </cell>
        </row>
        <row r="80">
          <cell r="E80">
            <v>0</v>
          </cell>
          <cell r="F80">
            <v>148.32999999999998</v>
          </cell>
          <cell r="G80">
            <v>0</v>
          </cell>
          <cell r="H80">
            <v>0</v>
          </cell>
        </row>
        <row r="82">
          <cell r="C82">
            <v>24.69</v>
          </cell>
          <cell r="D82">
            <v>29.22</v>
          </cell>
        </row>
        <row r="85">
          <cell r="C85">
            <v>0</v>
          </cell>
          <cell r="D85">
            <v>0</v>
          </cell>
        </row>
        <row r="88">
          <cell r="C88">
            <v>0</v>
          </cell>
          <cell r="D88">
            <v>0.35</v>
          </cell>
        </row>
        <row r="89">
          <cell r="C89">
            <v>0</v>
          </cell>
          <cell r="D89">
            <v>2.76</v>
          </cell>
          <cell r="E89">
            <v>0</v>
          </cell>
          <cell r="F89">
            <v>22.85</v>
          </cell>
          <cell r="G89">
            <v>0</v>
          </cell>
          <cell r="H89">
            <v>0</v>
          </cell>
        </row>
        <row r="90">
          <cell r="E90">
            <v>0</v>
          </cell>
          <cell r="F90">
            <v>0</v>
          </cell>
          <cell r="G90">
            <v>0</v>
          </cell>
          <cell r="H90">
            <v>0</v>
          </cell>
        </row>
        <row r="91">
          <cell r="C91">
            <v>0</v>
          </cell>
          <cell r="D91">
            <v>0</v>
          </cell>
          <cell r="E91">
            <v>0</v>
          </cell>
          <cell r="F91">
            <v>0</v>
          </cell>
          <cell r="G91">
            <v>0</v>
          </cell>
          <cell r="H91">
            <v>0</v>
          </cell>
        </row>
        <row r="92">
          <cell r="C92">
            <v>0.21372339200000001</v>
          </cell>
          <cell r="D92">
            <v>0</v>
          </cell>
        </row>
        <row r="93">
          <cell r="C93">
            <v>0.96736303300000881</v>
          </cell>
          <cell r="D93">
            <v>5.1475620239999973</v>
          </cell>
          <cell r="E93">
            <v>0</v>
          </cell>
          <cell r="F93">
            <v>4.5999999999999996</v>
          </cell>
          <cell r="G93">
            <v>0</v>
          </cell>
          <cell r="H93">
            <v>0.2</v>
          </cell>
        </row>
        <row r="94">
          <cell r="C94">
            <v>678.80634938999128</v>
          </cell>
          <cell r="D94">
            <v>353.94202431494074</v>
          </cell>
          <cell r="E94">
            <v>0.02</v>
          </cell>
          <cell r="F94">
            <v>515.28787258635703</v>
          </cell>
          <cell r="G94">
            <v>0</v>
          </cell>
          <cell r="H94">
            <v>63.330722874828432</v>
          </cell>
          <cell r="I94">
            <v>1611.3869691661173</v>
          </cell>
        </row>
        <row r="96">
          <cell r="I96">
            <v>0</v>
          </cell>
        </row>
        <row r="97">
          <cell r="I97">
            <v>0</v>
          </cell>
        </row>
        <row r="98">
          <cell r="I98">
            <v>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71.743704344829993</v>
          </cell>
          <cell r="E14">
            <v>0</v>
          </cell>
          <cell r="F14">
            <v>1657.2017084943823</v>
          </cell>
          <cell r="G14">
            <v>0</v>
          </cell>
          <cell r="H14">
            <v>3352.0305429975006</v>
          </cell>
        </row>
        <row r="18">
          <cell r="C18">
            <v>67.897247254218001</v>
          </cell>
          <cell r="D18">
            <v>2522.5717845094</v>
          </cell>
          <cell r="E18">
            <v>64.950400000000002</v>
          </cell>
          <cell r="F18">
            <v>5657.9841748688978</v>
          </cell>
          <cell r="G18">
            <v>0.2</v>
          </cell>
          <cell r="H18">
            <v>18336.537676431264</v>
          </cell>
        </row>
        <row r="22">
          <cell r="E22">
            <v>66.353799293349994</v>
          </cell>
          <cell r="F22">
            <v>12954.002255652062</v>
          </cell>
          <cell r="G22">
            <v>1.7</v>
          </cell>
          <cell r="H22">
            <v>9417.5405658231739</v>
          </cell>
        </row>
        <row r="23">
          <cell r="C23">
            <v>0.4</v>
          </cell>
          <cell r="D23">
            <v>177.36649664600202</v>
          </cell>
        </row>
        <row r="24">
          <cell r="C24">
            <v>8.5186643060477447</v>
          </cell>
          <cell r="D24">
            <v>78.934384083030011</v>
          </cell>
        </row>
        <row r="25">
          <cell r="C25">
            <v>6.4829951343359999</v>
          </cell>
          <cell r="D25">
            <v>155.56268298579496</v>
          </cell>
        </row>
        <row r="26">
          <cell r="C26">
            <v>2.8899470846289996</v>
          </cell>
          <cell r="D26">
            <v>864.02097603876405</v>
          </cell>
        </row>
        <row r="27">
          <cell r="C27">
            <v>18.487865757745919</v>
          </cell>
          <cell r="D27">
            <v>632.891158785176</v>
          </cell>
        </row>
        <row r="28">
          <cell r="C28">
            <v>64.797831823498669</v>
          </cell>
          <cell r="D28">
            <v>89.342481711999994</v>
          </cell>
        </row>
        <row r="29">
          <cell r="C29">
            <v>46.22764050666666</v>
          </cell>
          <cell r="D29">
            <v>290.47980595125</v>
          </cell>
        </row>
        <row r="30">
          <cell r="C30">
            <v>0</v>
          </cell>
          <cell r="D30">
            <v>525.79701135185803</v>
          </cell>
          <cell r="E30">
            <v>0</v>
          </cell>
          <cell r="F30">
            <v>1069.3287595825491</v>
          </cell>
          <cell r="G30">
            <v>0</v>
          </cell>
          <cell r="H30">
            <v>0.56695096998999994</v>
          </cell>
        </row>
        <row r="31">
          <cell r="C31">
            <v>4.2074000000000001E-4</v>
          </cell>
          <cell r="D31">
            <v>114.62140297017798</v>
          </cell>
          <cell r="E31">
            <v>4.2080499999999996E-3</v>
          </cell>
          <cell r="F31">
            <v>102.59628220593599</v>
          </cell>
          <cell r="G31">
            <v>8.4001806900000009</v>
          </cell>
          <cell r="H31">
            <v>2536.9174830175607</v>
          </cell>
        </row>
        <row r="32">
          <cell r="E32">
            <v>0</v>
          </cell>
          <cell r="F32">
            <v>628.32023425</v>
          </cell>
          <cell r="G32">
            <v>0</v>
          </cell>
          <cell r="H32">
            <v>241.36312525999</v>
          </cell>
        </row>
        <row r="33">
          <cell r="C33">
            <v>77.286526443379003</v>
          </cell>
          <cell r="D33">
            <v>1776.2944751270052</v>
          </cell>
          <cell r="E33">
            <v>2.9270027518378656</v>
          </cell>
          <cell r="F33">
            <v>8724.318427136961</v>
          </cell>
          <cell r="G33">
            <v>3.3670896841725648</v>
          </cell>
          <cell r="H33">
            <v>21383.773827098812</v>
          </cell>
        </row>
        <row r="34">
          <cell r="C34">
            <v>99.5</v>
          </cell>
          <cell r="D34">
            <v>3032.9153935672621</v>
          </cell>
          <cell r="E34">
            <v>8.8000000000000007</v>
          </cell>
          <cell r="F34">
            <v>6416.641255547127</v>
          </cell>
          <cell r="G34">
            <v>5.4</v>
          </cell>
          <cell r="H34">
            <v>5804.8395232492749</v>
          </cell>
        </row>
        <row r="36">
          <cell r="C36">
            <v>32.887317434000003</v>
          </cell>
          <cell r="D36">
            <v>600.10106871994526</v>
          </cell>
          <cell r="E36">
            <v>3.0275407294300001</v>
          </cell>
          <cell r="F36">
            <v>157.70061848579786</v>
          </cell>
          <cell r="G36">
            <v>-0.69613148010610071</v>
          </cell>
          <cell r="H36">
            <v>343.18457168474151</v>
          </cell>
        </row>
        <row r="37">
          <cell r="C37">
            <v>85.483613697110869</v>
          </cell>
          <cell r="D37">
            <v>453.66703925086154</v>
          </cell>
          <cell r="E37">
            <v>-3.0609293800000006E-2</v>
          </cell>
          <cell r="F37">
            <v>80.342946551335331</v>
          </cell>
          <cell r="G37">
            <v>37.4064507322</v>
          </cell>
          <cell r="H37">
            <v>440.95502717354907</v>
          </cell>
        </row>
        <row r="38">
          <cell r="C38">
            <v>510.86007018163184</v>
          </cell>
          <cell r="D38">
            <v>11386.309866043357</v>
          </cell>
          <cell r="E38">
            <v>146.03234153081786</v>
          </cell>
          <cell r="F38">
            <v>37448.43666277505</v>
          </cell>
          <cell r="G38">
            <v>55.777589626266462</v>
          </cell>
          <cell r="H38">
            <v>61857.750063411848</v>
          </cell>
          <cell r="I38">
            <v>111405.16659356898</v>
          </cell>
        </row>
        <row r="40">
          <cell r="I40">
            <v>25852.060536729754</v>
          </cell>
        </row>
        <row r="68">
          <cell r="C68">
            <v>0.71985675513841074</v>
          </cell>
          <cell r="D68">
            <v>0.44895380210758917</v>
          </cell>
        </row>
        <row r="69">
          <cell r="C69">
            <v>12.2468578133</v>
          </cell>
          <cell r="D69">
            <v>116.11485387997</v>
          </cell>
          <cell r="E69">
            <v>0</v>
          </cell>
          <cell r="F69">
            <v>2.1160539353999998E-2</v>
          </cell>
          <cell r="G69">
            <v>0</v>
          </cell>
          <cell r="H69">
            <v>7.9976724137931035</v>
          </cell>
        </row>
        <row r="72">
          <cell r="C72">
            <v>155.29176848597984</v>
          </cell>
          <cell r="D72">
            <v>3227.728718608565</v>
          </cell>
          <cell r="E72">
            <v>2.000536387585</v>
          </cell>
          <cell r="F72">
            <v>3447.504603394927</v>
          </cell>
          <cell r="G72">
            <v>1E-8</v>
          </cell>
          <cell r="H72">
            <v>5860.4379921784775</v>
          </cell>
        </row>
        <row r="76">
          <cell r="E76">
            <v>9.4600200000000001</v>
          </cell>
          <cell r="F76">
            <v>16041.036051351732</v>
          </cell>
          <cell r="G76">
            <v>0</v>
          </cell>
          <cell r="H76">
            <v>23439.383507132243</v>
          </cell>
        </row>
        <row r="77">
          <cell r="C77">
            <v>5.3050397999999999E-2</v>
          </cell>
          <cell r="D77">
            <v>0</v>
          </cell>
        </row>
        <row r="78">
          <cell r="C78">
            <v>0</v>
          </cell>
          <cell r="D78">
            <v>0</v>
          </cell>
        </row>
        <row r="79">
          <cell r="C79">
            <v>0</v>
          </cell>
          <cell r="D79">
            <v>393.67973491904991</v>
          </cell>
        </row>
        <row r="80">
          <cell r="C80">
            <v>0</v>
          </cell>
          <cell r="D80">
            <v>568.46013276864699</v>
          </cell>
        </row>
        <row r="81">
          <cell r="C81">
            <v>9.5639842672430007</v>
          </cell>
          <cell r="D81">
            <v>1276.0251810209029</v>
          </cell>
        </row>
        <row r="82">
          <cell r="C82">
            <v>9.5820609086750004</v>
          </cell>
          <cell r="D82">
            <v>14.468167386410999</v>
          </cell>
        </row>
        <row r="83">
          <cell r="C83">
            <v>0</v>
          </cell>
          <cell r="D83">
            <v>1.7707902100000001</v>
          </cell>
        </row>
        <row r="84">
          <cell r="E84">
            <v>2.6525199999999998E-3</v>
          </cell>
          <cell r="F84">
            <v>5377.5746870573957</v>
          </cell>
          <cell r="G84">
            <v>0</v>
          </cell>
          <cell r="H84">
            <v>13319.536105595245</v>
          </cell>
        </row>
        <row r="86">
          <cell r="C86">
            <v>606.37821538999992</v>
          </cell>
          <cell r="D86">
            <v>1415.4314984559785</v>
          </cell>
        </row>
        <row r="89">
          <cell r="C89">
            <v>11.25</v>
          </cell>
          <cell r="D89">
            <v>612.19462023292397</v>
          </cell>
        </row>
        <row r="92">
          <cell r="C92">
            <v>291.85659218884706</v>
          </cell>
          <cell r="D92">
            <v>929.55007811636131</v>
          </cell>
        </row>
        <row r="93">
          <cell r="C93">
            <v>6.5664483962999995E-2</v>
          </cell>
          <cell r="D93">
            <v>116.185777182574</v>
          </cell>
          <cell r="E93">
            <v>4.5270000000000005E-2</v>
          </cell>
          <cell r="F93">
            <v>60.726724083349993</v>
          </cell>
          <cell r="G93">
            <v>8.4</v>
          </cell>
          <cell r="H93">
            <v>3823.8386479072647</v>
          </cell>
        </row>
        <row r="94">
          <cell r="E94">
            <v>0</v>
          </cell>
          <cell r="F94">
            <v>20.11338612994</v>
          </cell>
          <cell r="G94">
            <v>0</v>
          </cell>
          <cell r="H94">
            <v>209.93901294995999</v>
          </cell>
        </row>
        <row r="95">
          <cell r="C95">
            <v>452.52074477760198</v>
          </cell>
          <cell r="D95">
            <v>2020.8635783675643</v>
          </cell>
          <cell r="E95">
            <v>0.2</v>
          </cell>
          <cell r="F95">
            <v>4380.5297928024193</v>
          </cell>
          <cell r="G95">
            <v>30.754239999999999</v>
          </cell>
          <cell r="H95">
            <v>17925.678568323041</v>
          </cell>
        </row>
        <row r="96">
          <cell r="C96">
            <v>127.03971988586218</v>
          </cell>
          <cell r="D96">
            <v>155.78418898195372</v>
          </cell>
        </row>
        <row r="97">
          <cell r="C97">
            <v>194.03731958692291</v>
          </cell>
          <cell r="D97">
            <v>980.6784203391004</v>
          </cell>
          <cell r="E97">
            <v>3.1</v>
          </cell>
          <cell r="F97">
            <v>2892.6282543114453</v>
          </cell>
          <cell r="G97">
            <v>-7.7463999999999897E-4</v>
          </cell>
          <cell r="H97">
            <v>844.34422125248318</v>
          </cell>
        </row>
        <row r="98">
          <cell r="C98">
            <v>1870.6058349415334</v>
          </cell>
          <cell r="D98">
            <v>11829.38469427211</v>
          </cell>
          <cell r="E98">
            <v>14.808478907585</v>
          </cell>
          <cell r="F98">
            <v>32220.134659670563</v>
          </cell>
          <cell r="G98">
            <v>39.153465369999992</v>
          </cell>
          <cell r="H98">
            <v>65431.155727752506</v>
          </cell>
          <cell r="I98">
            <v>111405.21386091431</v>
          </cell>
        </row>
        <row r="100">
          <cell r="I100">
            <v>26955.695416020437</v>
          </cell>
        </row>
      </sheetData>
      <sheetData sheetId="1"/>
      <sheetData sheetId="2">
        <row r="16">
          <cell r="N16">
            <v>51629.228519897588</v>
          </cell>
          <cell r="AA16">
            <v>45662.667220305724</v>
          </cell>
        </row>
        <row r="17">
          <cell r="N17">
            <v>11897.305736872444</v>
          </cell>
          <cell r="AA17">
            <v>13699.904284748474</v>
          </cell>
        </row>
        <row r="23">
          <cell r="N23">
            <v>14952.275282021235</v>
          </cell>
          <cell r="AA23">
            <v>5076.7284906784935</v>
          </cell>
        </row>
        <row r="36">
          <cell r="N36">
            <v>7968.5694799750499</v>
          </cell>
          <cell r="AA36">
            <v>10405.523020344976</v>
          </cell>
        </row>
        <row r="76">
          <cell r="N76">
            <v>203.88390074641546</v>
          </cell>
          <cell r="AA76">
            <v>692.77399961100002</v>
          </cell>
        </row>
        <row r="82">
          <cell r="N82">
            <v>30950.805593713136</v>
          </cell>
          <cell r="AA82">
            <v>37439.078882433256</v>
          </cell>
        </row>
        <row r="103">
          <cell r="N103">
            <v>38.961859790000005</v>
          </cell>
          <cell r="AA103">
            <v>314.14444294999998</v>
          </cell>
        </row>
        <row r="131">
          <cell r="N131">
            <v>4322.2804601504213</v>
          </cell>
          <cell r="AA131">
            <v>11387.93740985745</v>
          </cell>
        </row>
        <row r="146">
          <cell r="N146">
            <v>459.60338100999996</v>
          </cell>
          <cell r="AA146">
            <v>92.845212087983995</v>
          </cell>
        </row>
        <row r="149">
          <cell r="N149">
            <v>879.61299893299008</v>
          </cell>
          <cell r="AA149">
            <v>333.44678717090011</v>
          </cell>
        </row>
        <row r="152">
          <cell r="AA152">
            <v>111405.1770546849</v>
          </cell>
        </row>
      </sheetData>
      <sheetData sheetId="3">
        <row r="14">
          <cell r="D14">
            <v>712.64607164532094</v>
          </cell>
          <cell r="G14">
            <v>1924.5174452916167</v>
          </cell>
        </row>
        <row r="16">
          <cell r="D16">
            <v>85920.55027358506</v>
          </cell>
          <cell r="G16">
            <v>77615.657763383613</v>
          </cell>
        </row>
        <row r="17">
          <cell r="D17">
            <v>972.28448120714484</v>
          </cell>
          <cell r="G17">
            <v>2432.3413230164765</v>
          </cell>
        </row>
        <row r="18">
          <cell r="D18">
            <v>170.904456882376</v>
          </cell>
          <cell r="G18">
            <v>292.04069114142902</v>
          </cell>
        </row>
        <row r="19">
          <cell r="D19">
            <v>125.99164147</v>
          </cell>
          <cell r="G19">
            <v>156.126324509754</v>
          </cell>
        </row>
        <row r="20">
          <cell r="D20">
            <v>10192.048002657164</v>
          </cell>
          <cell r="G20">
            <v>11918.067247297575</v>
          </cell>
        </row>
        <row r="21">
          <cell r="D21">
            <v>8157.500754588802</v>
          </cell>
          <cell r="G21">
            <v>9169.991893958635</v>
          </cell>
        </row>
        <row r="22">
          <cell r="D22">
            <v>1067.6297663245125</v>
          </cell>
          <cell r="G22">
            <v>1705.6699233433865</v>
          </cell>
        </row>
        <row r="23">
          <cell r="D23">
            <v>4085.5935223445999</v>
          </cell>
          <cell r="G23">
            <v>6190.7757176868017</v>
          </cell>
        </row>
        <row r="24">
          <cell r="G24">
            <v>111405.17532962927</v>
          </cell>
        </row>
      </sheetData>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199.42560977445999</v>
          </cell>
          <cell r="E14">
            <v>0</v>
          </cell>
          <cell r="F14">
            <v>1715.1407955716072</v>
          </cell>
          <cell r="G14">
            <v>0</v>
          </cell>
          <cell r="H14">
            <v>3335.7254528249769</v>
          </cell>
        </row>
        <row r="18">
          <cell r="C18">
            <v>74.802092265040002</v>
          </cell>
          <cell r="D18">
            <v>2224.2553348331171</v>
          </cell>
          <cell r="E18">
            <v>68.019989999999993</v>
          </cell>
          <cell r="F18">
            <v>8103.0818848176805</v>
          </cell>
          <cell r="G18">
            <v>0.20000001000000001</v>
          </cell>
          <cell r="H18">
            <v>17812.752059200968</v>
          </cell>
        </row>
        <row r="22">
          <cell r="E22">
            <v>17.083493716507</v>
          </cell>
          <cell r="F22">
            <v>10621.195648327335</v>
          </cell>
          <cell r="G22">
            <v>1.7</v>
          </cell>
          <cell r="H22">
            <v>10345.476702102562</v>
          </cell>
        </row>
        <row r="23">
          <cell r="C23">
            <v>0.4</v>
          </cell>
          <cell r="D23">
            <v>151.13533217034299</v>
          </cell>
        </row>
        <row r="24">
          <cell r="C24">
            <v>1.6159923421750669E-2</v>
          </cell>
          <cell r="D24">
            <v>79.161393283029994</v>
          </cell>
        </row>
        <row r="25">
          <cell r="C25">
            <v>5.0515174564930003</v>
          </cell>
          <cell r="D25">
            <v>157.67165406930999</v>
          </cell>
        </row>
        <row r="26">
          <cell r="C26">
            <v>2.2798050072280001</v>
          </cell>
          <cell r="D26">
            <v>249.9782613939135</v>
          </cell>
        </row>
        <row r="27">
          <cell r="C27">
            <v>23.938483672740922</v>
          </cell>
          <cell r="D27">
            <v>195.68866549037634</v>
          </cell>
        </row>
        <row r="28">
          <cell r="C28">
            <v>12.604571667450926</v>
          </cell>
          <cell r="D28">
            <v>95.534857082000002</v>
          </cell>
        </row>
        <row r="29">
          <cell r="C29">
            <v>0.63659050666666683</v>
          </cell>
          <cell r="D29">
            <v>238.2980549636894</v>
          </cell>
        </row>
        <row r="30">
          <cell r="C30">
            <v>0</v>
          </cell>
          <cell r="D30">
            <v>527.39579714367608</v>
          </cell>
          <cell r="E30">
            <v>0</v>
          </cell>
          <cell r="F30">
            <v>536.98867233069495</v>
          </cell>
          <cell r="G30">
            <v>0</v>
          </cell>
          <cell r="H30">
            <v>1.17914822998</v>
          </cell>
        </row>
        <row r="31">
          <cell r="C31">
            <v>1.1134E-4</v>
          </cell>
          <cell r="D31">
            <v>188.909108517325</v>
          </cell>
          <cell r="E31">
            <v>1.01227E-3</v>
          </cell>
          <cell r="F31">
            <v>103.42415557631699</v>
          </cell>
          <cell r="G31">
            <v>8.5000752500000001</v>
          </cell>
          <cell r="H31">
            <v>2139.3519209598762</v>
          </cell>
        </row>
        <row r="32">
          <cell r="E32">
            <v>0</v>
          </cell>
          <cell r="F32">
            <v>623.81126230002008</v>
          </cell>
          <cell r="G32">
            <v>0</v>
          </cell>
          <cell r="H32">
            <v>293.24154898998</v>
          </cell>
        </row>
        <row r="33">
          <cell r="C33">
            <v>64.066880535600006</v>
          </cell>
          <cell r="D33">
            <v>1763.4212443691617</v>
          </cell>
          <cell r="E33">
            <v>2.9270527385378657</v>
          </cell>
          <cell r="F33">
            <v>9359.53651245945</v>
          </cell>
          <cell r="G33">
            <v>3.2770943244765651</v>
          </cell>
          <cell r="H33">
            <v>21795.029632919803</v>
          </cell>
        </row>
        <row r="34">
          <cell r="C34">
            <v>99.5</v>
          </cell>
          <cell r="D34">
            <v>3016.4177872580522</v>
          </cell>
          <cell r="E34">
            <v>8.8000000000000007</v>
          </cell>
          <cell r="F34">
            <v>6415.2972147243981</v>
          </cell>
          <cell r="G34">
            <v>5.4</v>
          </cell>
          <cell r="H34">
            <v>5807.7781864600311</v>
          </cell>
        </row>
        <row r="36">
          <cell r="C36">
            <v>32.060068889</v>
          </cell>
          <cell r="D36">
            <v>876.66674145475758</v>
          </cell>
          <cell r="E36">
            <v>2.9630062694699997</v>
          </cell>
          <cell r="F36">
            <v>72.946613415376419</v>
          </cell>
          <cell r="G36">
            <v>-0.76709674005305062</v>
          </cell>
          <cell r="H36">
            <v>353.44274909364822</v>
          </cell>
        </row>
        <row r="37">
          <cell r="C37">
            <v>44.437549787074573</v>
          </cell>
          <cell r="D37">
            <v>743.36182564245632</v>
          </cell>
          <cell r="E37">
            <v>2.78970451E-2</v>
          </cell>
          <cell r="F37">
            <v>44.629111969002665</v>
          </cell>
          <cell r="G37">
            <v>0.20430795210000002</v>
          </cell>
          <cell r="H37">
            <v>327.11560318477251</v>
          </cell>
        </row>
        <row r="38">
          <cell r="C38">
            <v>359.79383105071582</v>
          </cell>
          <cell r="D38">
            <v>10707.321667445669</v>
          </cell>
          <cell r="E38">
            <v>99.822452039614859</v>
          </cell>
          <cell r="F38">
            <v>37596.05187149188</v>
          </cell>
          <cell r="G38">
            <v>18.514380796523511</v>
          </cell>
          <cell r="H38">
            <v>62211.11608907659</v>
          </cell>
          <cell r="I38">
            <v>110992.61027661701</v>
          </cell>
        </row>
        <row r="40">
          <cell r="I40">
            <v>24114.644031466432</v>
          </cell>
        </row>
        <row r="68">
          <cell r="C68">
            <v>0.86117512477528613</v>
          </cell>
          <cell r="D68">
            <v>0.85394229547066647</v>
          </cell>
        </row>
        <row r="69">
          <cell r="C69">
            <v>38.778482454500001</v>
          </cell>
          <cell r="D69">
            <v>58.040644459989998</v>
          </cell>
          <cell r="E69">
            <v>0</v>
          </cell>
          <cell r="F69">
            <v>1.4813657075E-2</v>
          </cell>
          <cell r="G69">
            <v>0</v>
          </cell>
          <cell r="H69">
            <v>8</v>
          </cell>
        </row>
        <row r="72">
          <cell r="C72">
            <v>136.72084848731294</v>
          </cell>
          <cell r="D72">
            <v>3088.9323840590801</v>
          </cell>
          <cell r="E72">
            <v>10.70000001</v>
          </cell>
          <cell r="F72">
            <v>3563.5573348449475</v>
          </cell>
          <cell r="G72">
            <v>1E-8</v>
          </cell>
          <cell r="H72">
            <v>5055.7413326106234</v>
          </cell>
        </row>
        <row r="76">
          <cell r="E76">
            <v>9.4586699999999997</v>
          </cell>
          <cell r="F76">
            <v>15821.749586583544</v>
          </cell>
          <cell r="G76">
            <v>0</v>
          </cell>
          <cell r="H76">
            <v>23698.077170471308</v>
          </cell>
        </row>
        <row r="77">
          <cell r="C77">
            <v>5.3050397999999999E-2</v>
          </cell>
          <cell r="D77">
            <v>0</v>
          </cell>
        </row>
        <row r="78">
          <cell r="C78">
            <v>0</v>
          </cell>
          <cell r="D78">
            <v>0</v>
          </cell>
        </row>
        <row r="79">
          <cell r="C79">
            <v>0</v>
          </cell>
          <cell r="D79">
            <v>378.59657180894004</v>
          </cell>
        </row>
        <row r="80">
          <cell r="C80">
            <v>0</v>
          </cell>
          <cell r="D80">
            <v>529.41360119762612</v>
          </cell>
        </row>
        <row r="81">
          <cell r="C81">
            <v>9.1398091911640016</v>
          </cell>
          <cell r="D81">
            <v>1146.6129538411637</v>
          </cell>
        </row>
        <row r="82">
          <cell r="C82">
            <v>9.669007361608001</v>
          </cell>
          <cell r="D82">
            <v>14.337176197383</v>
          </cell>
        </row>
        <row r="83">
          <cell r="C83">
            <v>0</v>
          </cell>
          <cell r="D83">
            <v>1.69204819</v>
          </cell>
        </row>
        <row r="84">
          <cell r="E84">
            <v>2.6525199999999998E-3</v>
          </cell>
          <cell r="F84">
            <v>5349.6516394435002</v>
          </cell>
          <cell r="G84">
            <v>0</v>
          </cell>
          <cell r="H84">
            <v>14120.98019661983</v>
          </cell>
        </row>
        <row r="86">
          <cell r="C86">
            <v>559.27182951000009</v>
          </cell>
          <cell r="D86">
            <v>1382.5264506687026</v>
          </cell>
        </row>
        <row r="89">
          <cell r="C89">
            <v>3</v>
          </cell>
          <cell r="D89">
            <v>639.2990270040566</v>
          </cell>
        </row>
        <row r="92">
          <cell r="C92">
            <v>293.59363099384433</v>
          </cell>
          <cell r="D92">
            <v>1131.7832026963613</v>
          </cell>
        </row>
        <row r="93">
          <cell r="C93">
            <v>5.1652259999999998E-2</v>
          </cell>
          <cell r="D93">
            <v>173.64911286918502</v>
          </cell>
          <cell r="E93">
            <v>5.5662980000000001E-2</v>
          </cell>
          <cell r="F93">
            <v>88.957630877149001</v>
          </cell>
          <cell r="G93">
            <v>8.4</v>
          </cell>
          <cell r="H93">
            <v>3383.7798048307559</v>
          </cell>
        </row>
        <row r="94">
          <cell r="E94">
            <v>0</v>
          </cell>
          <cell r="F94">
            <v>30.07345334995</v>
          </cell>
          <cell r="G94">
            <v>0</v>
          </cell>
          <cell r="H94">
            <v>198.19074047995002</v>
          </cell>
        </row>
        <row r="95">
          <cell r="C95">
            <v>626.16107568668406</v>
          </cell>
          <cell r="D95">
            <v>2193.6399377166777</v>
          </cell>
          <cell r="E95">
            <v>1.1000000000000001</v>
          </cell>
          <cell r="F95">
            <v>5475.0004245885439</v>
          </cell>
          <cell r="G95">
            <v>26.96799</v>
          </cell>
          <cell r="H95">
            <v>16503.989172189988</v>
          </cell>
        </row>
        <row r="96">
          <cell r="C96">
            <v>126.64573725656427</v>
          </cell>
          <cell r="D96">
            <v>148.4182528254567</v>
          </cell>
        </row>
        <row r="97">
          <cell r="C97">
            <v>189.20474809759278</v>
          </cell>
          <cell r="D97">
            <v>1030.9607095880224</v>
          </cell>
          <cell r="E97">
            <v>3.3</v>
          </cell>
          <cell r="F97">
            <v>2894.4079009856387</v>
          </cell>
          <cell r="G97">
            <v>2.1603979999999998E-2</v>
          </cell>
          <cell r="H97">
            <v>828.54898284559204</v>
          </cell>
        </row>
        <row r="98">
          <cell r="C98">
            <v>1993.1510468220458</v>
          </cell>
          <cell r="D98">
            <v>11918.756015418116</v>
          </cell>
          <cell r="E98">
            <v>24.616985509999999</v>
          </cell>
          <cell r="F98">
            <v>33223.41278433035</v>
          </cell>
          <cell r="G98">
            <v>35.389593990000009</v>
          </cell>
          <cell r="H98">
            <v>63797.307400048056</v>
          </cell>
          <cell r="I98">
            <v>110992.63382611857</v>
          </cell>
        </row>
        <row r="100">
          <cell r="I100">
            <v>25354.945420757489</v>
          </cell>
        </row>
      </sheetData>
      <sheetData sheetId="1"/>
      <sheetData sheetId="2">
        <row r="16">
          <cell r="N16">
            <v>49668.440066863222</v>
          </cell>
          <cell r="AA16">
            <v>46973.957598766145</v>
          </cell>
        </row>
        <row r="17">
          <cell r="N17">
            <v>11067.124525030422</v>
          </cell>
          <cell r="AA17">
            <v>13911.893814742803</v>
          </cell>
        </row>
        <row r="23">
          <cell r="N23">
            <v>15270.336542683566</v>
          </cell>
          <cell r="AA23">
            <v>5076.3671026622796</v>
          </cell>
        </row>
        <row r="36">
          <cell r="N36">
            <v>8120.5668512291531</v>
          </cell>
          <cell r="AA36">
            <v>8981.0230173813288</v>
          </cell>
        </row>
        <row r="76">
          <cell r="N76">
            <v>233.48409525182706</v>
          </cell>
          <cell r="AA76">
            <v>609.14031177600009</v>
          </cell>
        </row>
        <row r="82">
          <cell r="N82">
            <v>32411.126660250702</v>
          </cell>
          <cell r="AA82">
            <v>37172.945248722725</v>
          </cell>
        </row>
        <row r="103">
          <cell r="N103">
            <v>37.338898169999993</v>
          </cell>
          <cell r="AA103">
            <v>287.71917778</v>
          </cell>
        </row>
        <row r="131">
          <cell r="N131">
            <v>3872.3550166207087</v>
          </cell>
          <cell r="AA131">
            <v>11457.771287600339</v>
          </cell>
        </row>
        <row r="146">
          <cell r="N146">
            <v>452.75338101</v>
          </cell>
          <cell r="AA146">
            <v>102.526355123453</v>
          </cell>
        </row>
        <row r="149">
          <cell r="N149">
            <v>926.26058297000009</v>
          </cell>
          <cell r="AA149">
            <v>331.25428526090002</v>
          </cell>
        </row>
        <row r="152">
          <cell r="AA152">
            <v>110992.74316700178</v>
          </cell>
        </row>
      </sheetData>
      <sheetData sheetId="3">
        <row r="14">
          <cell r="D14">
            <v>478.12648665608504</v>
          </cell>
          <cell r="G14">
            <v>2053.1868643477055</v>
          </cell>
        </row>
        <row r="16">
          <cell r="D16">
            <v>84630.549004897315</v>
          </cell>
          <cell r="G16">
            <v>78063.418050624707</v>
          </cell>
        </row>
        <row r="17">
          <cell r="D17">
            <v>829.81121632177201</v>
          </cell>
          <cell r="G17">
            <v>2077.4806935673801</v>
          </cell>
        </row>
        <row r="18">
          <cell r="D18">
            <v>171.39923697439798</v>
          </cell>
          <cell r="G18">
            <v>402.73474673876706</v>
          </cell>
        </row>
        <row r="19">
          <cell r="D19">
            <v>128.02960332999999</v>
          </cell>
          <cell r="G19">
            <v>158.671850776669</v>
          </cell>
        </row>
        <row r="20">
          <cell r="D20">
            <v>10396.63481208255</v>
          </cell>
          <cell r="G20">
            <v>11932.403274391909</v>
          </cell>
        </row>
        <row r="21">
          <cell r="D21">
            <v>7052.9638068292825</v>
          </cell>
          <cell r="G21">
            <v>8469.9895277775177</v>
          </cell>
        </row>
        <row r="22">
          <cell r="D22">
            <v>3484.9204951890324</v>
          </cell>
          <cell r="G22">
            <v>1718.3053469911479</v>
          </cell>
        </row>
        <row r="23">
          <cell r="D23">
            <v>3819.9961001967995</v>
          </cell>
          <cell r="G23">
            <v>6116.357405460858</v>
          </cell>
        </row>
        <row r="24">
          <cell r="G24">
            <v>110992.53676067668</v>
          </cell>
        </row>
      </sheetData>
      <sheetData sheetId="4"/>
      <sheetData sheetId="5"/>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281.17734584396999</v>
          </cell>
          <cell r="E14">
            <v>0</v>
          </cell>
          <cell r="F14">
            <v>1476.438826689284</v>
          </cell>
          <cell r="G14">
            <v>0</v>
          </cell>
          <cell r="H14">
            <v>3490.2824471846984</v>
          </cell>
        </row>
        <row r="18">
          <cell r="C18">
            <v>75.089684011455006</v>
          </cell>
          <cell r="D18">
            <v>2536.4661544284104</v>
          </cell>
          <cell r="E18">
            <v>3.2</v>
          </cell>
          <cell r="F18">
            <v>8605.984741576096</v>
          </cell>
          <cell r="G18">
            <v>0.22235013000000001</v>
          </cell>
          <cell r="H18">
            <v>17674.667496446098</v>
          </cell>
        </row>
        <row r="22">
          <cell r="E22">
            <v>12.387588632943999</v>
          </cell>
          <cell r="F22">
            <v>9341.5714206797948</v>
          </cell>
          <cell r="G22">
            <v>1.7999999999999998</v>
          </cell>
          <cell r="H22">
            <v>10093.465318930144</v>
          </cell>
        </row>
        <row r="23">
          <cell r="C23">
            <v>0.3</v>
          </cell>
          <cell r="D23">
            <v>160.64936341594</v>
          </cell>
        </row>
        <row r="24">
          <cell r="C24">
            <v>9.0331707957559734E-3</v>
          </cell>
          <cell r="D24">
            <v>75.10088878901</v>
          </cell>
        </row>
        <row r="25">
          <cell r="C25">
            <v>4.8486177188430002</v>
          </cell>
          <cell r="D25">
            <v>181.168151700263</v>
          </cell>
        </row>
        <row r="26">
          <cell r="C26">
            <v>2.1898123161850003</v>
          </cell>
          <cell r="D26">
            <v>119.20032999549352</v>
          </cell>
        </row>
        <row r="27">
          <cell r="C27">
            <v>32.481711776364392</v>
          </cell>
          <cell r="D27">
            <v>182.14755261654668</v>
          </cell>
        </row>
        <row r="28">
          <cell r="C28">
            <v>12.200281938379309</v>
          </cell>
          <cell r="D28">
            <v>94.517424782000006</v>
          </cell>
        </row>
        <row r="29">
          <cell r="C29">
            <v>0.57948526096374908</v>
          </cell>
          <cell r="D29">
            <v>207.78281029683109</v>
          </cell>
        </row>
        <row r="30">
          <cell r="C30">
            <v>0</v>
          </cell>
          <cell r="D30">
            <v>528.96743735609209</v>
          </cell>
          <cell r="E30">
            <v>0</v>
          </cell>
          <cell r="F30">
            <v>535.81836492086597</v>
          </cell>
          <cell r="G30">
            <v>0</v>
          </cell>
          <cell r="H30">
            <v>1.1809369399799998</v>
          </cell>
        </row>
        <row r="31">
          <cell r="C31">
            <v>2.8214000000000001E-4</v>
          </cell>
          <cell r="D31">
            <v>260.42524093911902</v>
          </cell>
          <cell r="E31">
            <v>2.0311999999999999E-4</v>
          </cell>
          <cell r="F31">
            <v>110.24689288882999</v>
          </cell>
          <cell r="G31">
            <v>8.5003927299999997</v>
          </cell>
          <cell r="H31">
            <v>1350.992660302627</v>
          </cell>
        </row>
        <row r="32">
          <cell r="E32">
            <v>0</v>
          </cell>
          <cell r="F32">
            <v>546.49796731000004</v>
          </cell>
          <cell r="G32">
            <v>0</v>
          </cell>
          <cell r="H32">
            <v>292.83903808998002</v>
          </cell>
        </row>
        <row r="33">
          <cell r="C33">
            <v>64.132070182599989</v>
          </cell>
          <cell r="D33">
            <v>1711.2897212266084</v>
          </cell>
          <cell r="E33">
            <v>2.6259720870620038</v>
          </cell>
          <cell r="F33">
            <v>9811.7636294149361</v>
          </cell>
          <cell r="G33">
            <v>3.2171474635055648</v>
          </cell>
          <cell r="H33">
            <v>23961.719443929313</v>
          </cell>
        </row>
        <row r="34">
          <cell r="C34">
            <v>99.5</v>
          </cell>
          <cell r="D34">
            <v>3023.8208859974193</v>
          </cell>
          <cell r="E34">
            <v>8.8000000000000007</v>
          </cell>
          <cell r="F34">
            <v>6401.6215620939565</v>
          </cell>
          <cell r="G34">
            <v>5.4</v>
          </cell>
          <cell r="H34">
            <v>5890.1167565605319</v>
          </cell>
        </row>
        <row r="36">
          <cell r="C36">
            <v>34.143339490000002</v>
          </cell>
          <cell r="D36">
            <v>897.85705069842015</v>
          </cell>
          <cell r="E36">
            <v>3.18051888941</v>
          </cell>
          <cell r="F36">
            <v>-213.0944874897373</v>
          </cell>
          <cell r="G36">
            <v>-0.70202145623342149</v>
          </cell>
          <cell r="H36">
            <v>351.98742936226944</v>
          </cell>
        </row>
        <row r="37">
          <cell r="C37">
            <v>49.30961905591149</v>
          </cell>
          <cell r="D37">
            <v>768.95057492303567</v>
          </cell>
          <cell r="E37">
            <v>2.1244358200000001E-2</v>
          </cell>
          <cell r="F37">
            <v>49.163241399728335</v>
          </cell>
          <cell r="G37">
            <v>0.2319520545</v>
          </cell>
          <cell r="H37">
            <v>323.93044831410072</v>
          </cell>
        </row>
        <row r="38">
          <cell r="C38">
            <v>374.78393706149768</v>
          </cell>
          <cell r="D38">
            <v>11029.520933009158</v>
          </cell>
          <cell r="E38">
            <v>30.215527087616003</v>
          </cell>
          <cell r="F38">
            <v>36666.03494729977</v>
          </cell>
          <cell r="G38">
            <v>18.669820921772143</v>
          </cell>
          <cell r="H38">
            <v>63431.209492159745</v>
          </cell>
          <cell r="I38">
            <v>111550.42465753957</v>
          </cell>
        </row>
        <row r="40">
          <cell r="I40">
            <v>23010.274594912327</v>
          </cell>
        </row>
        <row r="68">
          <cell r="C68">
            <v>0.82126715661794725</v>
          </cell>
          <cell r="D68">
            <v>0.5706915573650716</v>
          </cell>
        </row>
        <row r="69">
          <cell r="C69">
            <v>5.6624247735999997</v>
          </cell>
          <cell r="D69">
            <v>101.83355637998</v>
          </cell>
          <cell r="E69">
            <v>0</v>
          </cell>
          <cell r="F69">
            <v>9.3959994979999992E-3</v>
          </cell>
          <cell r="G69">
            <v>0</v>
          </cell>
          <cell r="H69">
            <v>7.9984517241379303</v>
          </cell>
        </row>
        <row r="72">
          <cell r="C72">
            <v>243.58617127082971</v>
          </cell>
          <cell r="D72">
            <v>2883.2638560510982</v>
          </cell>
          <cell r="E72">
            <v>4.1015351125199997</v>
          </cell>
          <cell r="F72">
            <v>3729.9922215216629</v>
          </cell>
          <cell r="G72">
            <v>1E-8</v>
          </cell>
          <cell r="H72">
            <v>4370.0636422165298</v>
          </cell>
        </row>
        <row r="76">
          <cell r="E76">
            <v>9.4545400000000015</v>
          </cell>
          <cell r="F76">
            <v>15720.962906722782</v>
          </cell>
          <cell r="G76">
            <v>0</v>
          </cell>
          <cell r="H76">
            <v>24204.250032441145</v>
          </cell>
        </row>
        <row r="77">
          <cell r="C77">
            <v>5.3050397999999999E-2</v>
          </cell>
          <cell r="D77">
            <v>37.097029999999997</v>
          </cell>
        </row>
        <row r="78">
          <cell r="C78">
            <v>0</v>
          </cell>
          <cell r="D78">
            <v>0</v>
          </cell>
        </row>
        <row r="79">
          <cell r="C79">
            <v>0</v>
          </cell>
          <cell r="D79">
            <v>366.70957089309996</v>
          </cell>
        </row>
        <row r="80">
          <cell r="C80">
            <v>0</v>
          </cell>
          <cell r="D80">
            <v>519.94878386183302</v>
          </cell>
        </row>
        <row r="81">
          <cell r="C81">
            <v>4.76970662012</v>
          </cell>
          <cell r="D81">
            <v>1187.028603430492</v>
          </cell>
        </row>
        <row r="82">
          <cell r="C82">
            <v>9.6623307872919995</v>
          </cell>
          <cell r="D82">
            <v>14.496248131949001</v>
          </cell>
        </row>
        <row r="83">
          <cell r="C83">
            <v>0</v>
          </cell>
          <cell r="D83">
            <v>1.61231327</v>
          </cell>
        </row>
        <row r="84">
          <cell r="E84">
            <v>2.6525199999999998E-3</v>
          </cell>
          <cell r="F84">
            <v>5352.177994685454</v>
          </cell>
          <cell r="G84">
            <v>0</v>
          </cell>
          <cell r="H84">
            <v>14346.323916710364</v>
          </cell>
        </row>
        <row r="86">
          <cell r="C86">
            <v>647.47277282000005</v>
          </cell>
          <cell r="D86">
            <v>1444.8518314061027</v>
          </cell>
        </row>
        <row r="89">
          <cell r="C89">
            <v>7.01</v>
          </cell>
          <cell r="D89">
            <v>628.24264405102167</v>
          </cell>
        </row>
        <row r="92">
          <cell r="C92">
            <v>292.99378338298106</v>
          </cell>
          <cell r="D92">
            <v>1126.5237826963614</v>
          </cell>
        </row>
        <row r="93">
          <cell r="C93">
            <v>2.4671909999999998E-2</v>
          </cell>
          <cell r="D93">
            <v>240.69138777464897</v>
          </cell>
          <cell r="E93">
            <v>8.9694300000000005E-3</v>
          </cell>
          <cell r="F93">
            <v>107.627758103357</v>
          </cell>
          <cell r="G93">
            <v>8.5</v>
          </cell>
          <cell r="H93">
            <v>2581.9653352566547</v>
          </cell>
        </row>
        <row r="94">
          <cell r="E94">
            <v>0</v>
          </cell>
          <cell r="F94">
            <v>0.10412501994999999</v>
          </cell>
          <cell r="G94">
            <v>0</v>
          </cell>
          <cell r="H94">
            <v>199.28323533996002</v>
          </cell>
        </row>
        <row r="95">
          <cell r="C95">
            <v>619.40311943924007</v>
          </cell>
          <cell r="D95">
            <v>2068.1867518657828</v>
          </cell>
          <cell r="E95">
            <v>1.2</v>
          </cell>
          <cell r="F95">
            <v>6125.4569188560909</v>
          </cell>
          <cell r="G95">
            <v>20.90222</v>
          </cell>
          <cell r="H95">
            <v>16531.326592175508</v>
          </cell>
        </row>
        <row r="96">
          <cell r="C96">
            <v>134.46639157166703</v>
          </cell>
          <cell r="D96">
            <v>143.8288471705107</v>
          </cell>
        </row>
        <row r="97">
          <cell r="C97">
            <v>197.27491298981599</v>
          </cell>
          <cell r="D97">
            <v>1452.0794954673004</v>
          </cell>
          <cell r="E97">
            <v>3</v>
          </cell>
          <cell r="F97">
            <v>2938.8870734127217</v>
          </cell>
          <cell r="G97">
            <v>0</v>
          </cell>
          <cell r="H97">
            <v>906.6187374332219</v>
          </cell>
        </row>
        <row r="98">
          <cell r="C98">
            <v>2163.2006031201636</v>
          </cell>
          <cell r="D98">
            <v>12216.965394007546</v>
          </cell>
          <cell r="E98">
            <v>17.76769706252</v>
          </cell>
          <cell r="F98">
            <v>33975.21839432152</v>
          </cell>
          <cell r="G98">
            <v>29.402220010000001</v>
          </cell>
          <cell r="H98">
            <v>63147.829943297511</v>
          </cell>
          <cell r="I98">
            <v>111550.33527235928</v>
          </cell>
        </row>
        <row r="100">
          <cell r="I100">
            <v>24329.326314203121</v>
          </cell>
        </row>
      </sheetData>
      <sheetData sheetId="1"/>
      <sheetData sheetId="2">
        <row r="16">
          <cell r="N16">
            <v>49027.158354052575</v>
          </cell>
          <cell r="AA16">
            <v>48069.351463045117</v>
          </cell>
        </row>
        <row r="17">
          <cell r="N17">
            <v>11404.375990491986</v>
          </cell>
          <cell r="AA17">
            <v>14380.035444135779</v>
          </cell>
        </row>
        <row r="23">
          <cell r="N23">
            <v>15529.108490167173</v>
          </cell>
          <cell r="AA23">
            <v>5171.5204248911887</v>
          </cell>
        </row>
        <row r="36">
          <cell r="N36">
            <v>8406.8523629079136</v>
          </cell>
          <cell r="AA36">
            <v>9667.7384149395402</v>
          </cell>
        </row>
        <row r="76">
          <cell r="N76">
            <v>240.48574932770256</v>
          </cell>
          <cell r="AA76">
            <v>614.62201189900009</v>
          </cell>
        </row>
        <row r="82">
          <cell r="N82">
            <v>32912.188380172222</v>
          </cell>
          <cell r="AA82">
            <v>35654.200654049564</v>
          </cell>
        </row>
        <row r="103">
          <cell r="N103">
            <v>37.784418380000005</v>
          </cell>
          <cell r="AA103">
            <v>286.86538193999996</v>
          </cell>
        </row>
        <row r="131">
          <cell r="N131">
            <v>4098.2636827138303</v>
          </cell>
          <cell r="AA131">
            <v>11675.633314317321</v>
          </cell>
        </row>
        <row r="146">
          <cell r="N146">
            <v>452.63400480000001</v>
          </cell>
          <cell r="AA146">
            <v>113.288737787388</v>
          </cell>
        </row>
        <row r="149">
          <cell r="N149">
            <v>845.9805613459805</v>
          </cell>
          <cell r="AA149">
            <v>297.16099016791014</v>
          </cell>
        </row>
        <row r="152">
          <cell r="AA152">
            <v>111550.39417585565</v>
          </cell>
        </row>
      </sheetData>
      <sheetData sheetId="3">
        <row r="14">
          <cell r="D14">
            <v>423.70791581274256</v>
          </cell>
          <cell r="G14">
            <v>2210.352670868564</v>
          </cell>
        </row>
        <row r="16">
          <cell r="D16">
            <v>85161.415733902511</v>
          </cell>
          <cell r="G16">
            <v>78025.397466382972</v>
          </cell>
        </row>
        <row r="17">
          <cell r="D17">
            <v>916.58616966626869</v>
          </cell>
          <cell r="G17">
            <v>2274.8526703629659</v>
          </cell>
        </row>
        <row r="18">
          <cell r="D18">
            <v>224.86040185182102</v>
          </cell>
          <cell r="G18">
            <v>522.3479079517009</v>
          </cell>
        </row>
        <row r="19">
          <cell r="D19">
            <v>131.87628024</v>
          </cell>
          <cell r="G19">
            <v>168.73854002473502</v>
          </cell>
        </row>
        <row r="20">
          <cell r="D20">
            <v>10403.088612059086</v>
          </cell>
          <cell r="G20">
            <v>12285.837675696219</v>
          </cell>
        </row>
        <row r="21">
          <cell r="D21">
            <v>6876.2796580932172</v>
          </cell>
          <cell r="G21">
            <v>8608.9818405876158</v>
          </cell>
        </row>
        <row r="22">
          <cell r="D22">
            <v>3412.7404571981851</v>
          </cell>
          <cell r="G22">
            <v>1718.2644183682091</v>
          </cell>
        </row>
        <row r="23">
          <cell r="D23">
            <v>3999.8453803679258</v>
          </cell>
          <cell r="G23">
            <v>5735.6093681251441</v>
          </cell>
        </row>
        <row r="24">
          <cell r="G24">
            <v>111550.34353904813</v>
          </cell>
        </row>
      </sheetData>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147.01816771349002</v>
          </cell>
          <cell r="E14">
            <v>0</v>
          </cell>
          <cell r="F14">
            <v>1509.89323754476</v>
          </cell>
          <cell r="G14">
            <v>0</v>
          </cell>
          <cell r="H14">
            <v>3483.252411405846</v>
          </cell>
        </row>
        <row r="18">
          <cell r="C18">
            <v>90.793642587769511</v>
          </cell>
          <cell r="D18">
            <v>2286.7885662635454</v>
          </cell>
          <cell r="E18">
            <v>0.4</v>
          </cell>
          <cell r="F18">
            <v>8016.5448692798363</v>
          </cell>
          <cell r="G18">
            <v>0.20010611</v>
          </cell>
          <cell r="H18">
            <v>17222.025537207777</v>
          </cell>
        </row>
        <row r="22">
          <cell r="E22">
            <v>11.226986195373629</v>
          </cell>
          <cell r="F22">
            <v>10320.311759384866</v>
          </cell>
          <cell r="G22">
            <v>0.80011333000000118</v>
          </cell>
          <cell r="H22">
            <v>9475.9516713893281</v>
          </cell>
        </row>
        <row r="23">
          <cell r="C23">
            <v>36.799999999999997</v>
          </cell>
          <cell r="D23">
            <v>167.06952887110003</v>
          </cell>
        </row>
        <row r="24">
          <cell r="C24">
            <v>6.719203318169761</v>
          </cell>
          <cell r="D24">
            <v>77.879392068979996</v>
          </cell>
        </row>
        <row r="25">
          <cell r="C25">
            <v>3.9527616747529999</v>
          </cell>
          <cell r="D25">
            <v>180.352039747509</v>
          </cell>
        </row>
        <row r="26">
          <cell r="C26">
            <v>4.2714390136130005</v>
          </cell>
          <cell r="D26">
            <v>113.82374581131315</v>
          </cell>
        </row>
        <row r="27">
          <cell r="C27">
            <v>27.161338341952622</v>
          </cell>
          <cell r="D27">
            <v>221.30950167251103</v>
          </cell>
        </row>
        <row r="28">
          <cell r="C28">
            <v>12.468515429413793</v>
          </cell>
          <cell r="D28">
            <v>36.953541782000002</v>
          </cell>
        </row>
        <row r="29">
          <cell r="C29">
            <v>0.57860854947833784</v>
          </cell>
          <cell r="D29">
            <v>195.04416763999998</v>
          </cell>
        </row>
        <row r="30">
          <cell r="C30">
            <v>0</v>
          </cell>
          <cell r="D30">
            <v>530.33939819733303</v>
          </cell>
          <cell r="E30">
            <v>0</v>
          </cell>
          <cell r="F30">
            <v>533.37502411278194</v>
          </cell>
          <cell r="G30">
            <v>0</v>
          </cell>
          <cell r="H30">
            <v>0.45068488997</v>
          </cell>
        </row>
        <row r="31">
          <cell r="C31">
            <v>6.8999999999999996E-7</v>
          </cell>
          <cell r="D31">
            <v>337.36200533131301</v>
          </cell>
          <cell r="E31">
            <v>6.9159699999999996E-3</v>
          </cell>
          <cell r="F31">
            <v>102.593703616719</v>
          </cell>
          <cell r="G31">
            <v>8.5000526599999997</v>
          </cell>
          <cell r="H31">
            <v>1321.2727172614709</v>
          </cell>
        </row>
        <row r="32">
          <cell r="E32">
            <v>0</v>
          </cell>
          <cell r="F32">
            <v>694.33307396999999</v>
          </cell>
          <cell r="G32">
            <v>0</v>
          </cell>
          <cell r="H32">
            <v>331.55553000996997</v>
          </cell>
        </row>
        <row r="33">
          <cell r="C33">
            <v>103.6487974946</v>
          </cell>
          <cell r="D33">
            <v>1636.31117099631</v>
          </cell>
          <cell r="E33">
            <v>2.6290250370620036</v>
          </cell>
          <cell r="F33">
            <v>10073.388168594129</v>
          </cell>
          <cell r="G33">
            <v>3.3274361225555649</v>
          </cell>
          <cell r="H33">
            <v>21456.476083384798</v>
          </cell>
        </row>
        <row r="34">
          <cell r="C34">
            <v>99.5</v>
          </cell>
          <cell r="D34">
            <v>3055.7446836243284</v>
          </cell>
          <cell r="E34">
            <v>8.8000000000000007</v>
          </cell>
          <cell r="F34">
            <v>6449.3447919231385</v>
          </cell>
          <cell r="G34">
            <v>5.4</v>
          </cell>
          <cell r="H34">
            <v>6007.1047427043641</v>
          </cell>
        </row>
        <row r="36">
          <cell r="C36">
            <v>36.157443878000002</v>
          </cell>
          <cell r="D36">
            <v>773.08038764230105</v>
          </cell>
          <cell r="E36">
            <v>3.4207442254643343</v>
          </cell>
          <cell r="F36">
            <v>-224.99670441737007</v>
          </cell>
          <cell r="G36">
            <v>-0.70207242175066309</v>
          </cell>
          <cell r="H36">
            <v>409.26422093161739</v>
          </cell>
        </row>
        <row r="37">
          <cell r="C37">
            <v>49.894715551586131</v>
          </cell>
          <cell r="D37">
            <v>696.59092919643956</v>
          </cell>
          <cell r="E37">
            <v>1.43909708E-2</v>
          </cell>
          <cell r="F37">
            <v>52.280443488675012</v>
          </cell>
          <cell r="G37">
            <v>0.2004128567</v>
          </cell>
          <cell r="H37">
            <v>339.03936830696915</v>
          </cell>
        </row>
        <row r="38">
          <cell r="C38">
            <v>471.94646652933613</v>
          </cell>
          <cell r="D38">
            <v>10455.667226558473</v>
          </cell>
          <cell r="E38">
            <v>26.498062398699965</v>
          </cell>
          <cell r="F38">
            <v>37527.06836749753</v>
          </cell>
          <cell r="G38">
            <v>17.726048657504904</v>
          </cell>
          <cell r="H38">
            <v>60046.394967492117</v>
          </cell>
          <cell r="I38">
            <v>108545.30113913365</v>
          </cell>
        </row>
        <row r="40">
          <cell r="I40">
            <v>21154.929709442789</v>
          </cell>
        </row>
        <row r="68">
          <cell r="C68">
            <v>0.75407568354102417</v>
          </cell>
          <cell r="D68">
            <v>0.33463331302642579</v>
          </cell>
        </row>
        <row r="69">
          <cell r="C69">
            <v>18.883833176700001</v>
          </cell>
          <cell r="D69">
            <v>102.14849014998001</v>
          </cell>
          <cell r="E69">
            <v>0</v>
          </cell>
          <cell r="F69">
            <v>4.0317147094999999E-2</v>
          </cell>
          <cell r="G69">
            <v>0</v>
          </cell>
          <cell r="H69">
            <v>7.9992307692307696</v>
          </cell>
        </row>
        <row r="72">
          <cell r="C72">
            <v>286.12669768438542</v>
          </cell>
          <cell r="D72">
            <v>2804.9490708874973</v>
          </cell>
          <cell r="E72">
            <v>16.000736110891999</v>
          </cell>
          <cell r="F72">
            <v>4225.7292221009538</v>
          </cell>
          <cell r="G72">
            <v>1.0477657219999999E-3</v>
          </cell>
          <cell r="H72">
            <v>4147.3138503754844</v>
          </cell>
        </row>
        <row r="76">
          <cell r="E76">
            <v>9.4553600000000007</v>
          </cell>
          <cell r="F76">
            <v>15751.066849640352</v>
          </cell>
          <cell r="G76">
            <v>0</v>
          </cell>
          <cell r="H76">
            <v>23625.820023580116</v>
          </cell>
        </row>
        <row r="77">
          <cell r="C77">
            <v>5.3050397999999999E-2</v>
          </cell>
          <cell r="D77">
            <v>0</v>
          </cell>
        </row>
        <row r="78">
          <cell r="C78">
            <v>0</v>
          </cell>
          <cell r="D78">
            <v>0</v>
          </cell>
        </row>
        <row r="79">
          <cell r="C79">
            <v>0</v>
          </cell>
          <cell r="D79">
            <v>344.61122333226001</v>
          </cell>
        </row>
        <row r="80">
          <cell r="C80">
            <v>0</v>
          </cell>
          <cell r="D80">
            <v>564.53553643885198</v>
          </cell>
        </row>
        <row r="81">
          <cell r="C81">
            <v>5.2051412720079995</v>
          </cell>
          <cell r="D81">
            <v>1205.4344157779869</v>
          </cell>
        </row>
        <row r="82">
          <cell r="C82">
            <v>9.2206620052794968</v>
          </cell>
          <cell r="D82">
            <v>15.088855492027998</v>
          </cell>
        </row>
        <row r="83">
          <cell r="C83">
            <v>0</v>
          </cell>
          <cell r="D83">
            <v>1.35779435</v>
          </cell>
        </row>
        <row r="84">
          <cell r="E84">
            <v>2.6525199999999998E-3</v>
          </cell>
          <cell r="F84">
            <v>5130.4569359545294</v>
          </cell>
          <cell r="G84">
            <v>0</v>
          </cell>
          <cell r="H84">
            <v>14308.751490859329</v>
          </cell>
        </row>
        <row r="86">
          <cell r="C86">
            <v>658.08494055663118</v>
          </cell>
          <cell r="D86">
            <v>1501.1986325617038</v>
          </cell>
        </row>
        <row r="89">
          <cell r="C89">
            <v>10</v>
          </cell>
          <cell r="D89">
            <v>700.63955975763622</v>
          </cell>
        </row>
        <row r="92">
          <cell r="C92">
            <v>288.74549186875919</v>
          </cell>
          <cell r="D92">
            <v>1072.5637826963614</v>
          </cell>
        </row>
        <row r="93">
          <cell r="C93">
            <v>6.1999999999999999E-7</v>
          </cell>
          <cell r="D93">
            <v>314.409498102795</v>
          </cell>
          <cell r="E93">
            <v>5.2138E-4</v>
          </cell>
          <cell r="F93">
            <v>95.953033819904007</v>
          </cell>
          <cell r="G93">
            <v>8.5000338299999996</v>
          </cell>
          <cell r="H93">
            <v>2326.3615045113229</v>
          </cell>
        </row>
        <row r="94">
          <cell r="E94">
            <v>0</v>
          </cell>
          <cell r="F94">
            <v>55.084273349940005</v>
          </cell>
          <cell r="G94">
            <v>0</v>
          </cell>
          <cell r="H94">
            <v>198.55096269996</v>
          </cell>
        </row>
        <row r="95">
          <cell r="C95">
            <v>643.51581181561619</v>
          </cell>
          <cell r="D95">
            <v>1998.2010766382004</v>
          </cell>
          <cell r="E95">
            <v>1</v>
          </cell>
          <cell r="F95">
            <v>5290.1899304801709</v>
          </cell>
          <cell r="G95">
            <v>26.6329204</v>
          </cell>
          <cell r="H95">
            <v>15150.366028713597</v>
          </cell>
        </row>
        <row r="96">
          <cell r="C96">
            <v>134.351594217306</v>
          </cell>
          <cell r="D96">
            <v>147.88221052950567</v>
          </cell>
        </row>
        <row r="97">
          <cell r="C97">
            <v>184.60783626985574</v>
          </cell>
          <cell r="D97">
            <v>1343.2377291706766</v>
          </cell>
          <cell r="E97">
            <v>3.2999993699999997</v>
          </cell>
          <cell r="F97">
            <v>2889.4485451860737</v>
          </cell>
          <cell r="G97">
            <v>-3.7241399999999999E-3</v>
          </cell>
          <cell r="H97">
            <v>921.17756672894961</v>
          </cell>
        </row>
        <row r="98">
          <cell r="C98">
            <v>2239.5041355680823</v>
          </cell>
          <cell r="D98">
            <v>12116.59250919851</v>
          </cell>
          <cell r="E98">
            <v>29.759269380892004</v>
          </cell>
          <cell r="F98">
            <v>33437.969107679011</v>
          </cell>
          <cell r="G98">
            <v>35.130277855721999</v>
          </cell>
          <cell r="H98">
            <v>60686.383658237995</v>
          </cell>
          <cell r="I98">
            <v>108545.3389579202</v>
          </cell>
        </row>
        <row r="100">
          <cell r="I100">
            <v>22317.481268559059</v>
          </cell>
        </row>
      </sheetData>
      <sheetData sheetId="1"/>
      <sheetData sheetId="2">
        <row r="16">
          <cell r="N16">
            <v>48999.119128606486</v>
          </cell>
          <cell r="AA16">
            <v>47240.984507840563</v>
          </cell>
        </row>
        <row r="17">
          <cell r="N17">
            <v>10927.618499051261</v>
          </cell>
          <cell r="AA17">
            <v>14355.98580696934</v>
          </cell>
        </row>
        <row r="23">
          <cell r="N23">
            <v>15646.872112215602</v>
          </cell>
          <cell r="AA23">
            <v>5219.150273930346</v>
          </cell>
        </row>
        <row r="36">
          <cell r="N36">
            <v>8540.0241942999055</v>
          </cell>
          <cell r="AA36">
            <v>9024.4938887643875</v>
          </cell>
        </row>
        <row r="76">
          <cell r="N76">
            <v>173.11996623371579</v>
          </cell>
          <cell r="AA76">
            <v>672.98314779899999</v>
          </cell>
        </row>
        <row r="82">
          <cell r="N82">
            <v>29411.966095104759</v>
          </cell>
          <cell r="AA82">
            <v>34624.166274787218</v>
          </cell>
        </row>
        <row r="103">
          <cell r="N103">
            <v>41.016027383156498</v>
          </cell>
          <cell r="AA103">
            <v>288.24585229094333</v>
          </cell>
        </row>
        <row r="131">
          <cell r="N131">
            <v>4247.4382176396666</v>
          </cell>
          <cell r="AA131">
            <v>10531.3915398553</v>
          </cell>
        </row>
        <row r="146">
          <cell r="N146">
            <v>452.72338100999997</v>
          </cell>
          <cell r="AA146">
            <v>114.15309953840199</v>
          </cell>
        </row>
        <row r="149">
          <cell r="N149">
            <v>1032.9392310619696</v>
          </cell>
          <cell r="AA149">
            <v>829.81510858590013</v>
          </cell>
        </row>
        <row r="152">
          <cell r="AA152">
            <v>108545.38342112416</v>
          </cell>
        </row>
      </sheetData>
      <sheetData sheetId="3">
        <row r="14">
          <cell r="D14">
            <v>516.2001735797453</v>
          </cell>
          <cell r="G14">
            <v>2304.5080496742112</v>
          </cell>
        </row>
        <row r="16">
          <cell r="D16">
            <v>82888.025896755324</v>
          </cell>
          <cell r="G16">
            <v>76198.796712108568</v>
          </cell>
        </row>
        <row r="17">
          <cell r="D17">
            <v>786.25807518175782</v>
          </cell>
          <cell r="G17">
            <v>2061.230465568784</v>
          </cell>
        </row>
        <row r="18">
          <cell r="D18">
            <v>191.56869361758103</v>
          </cell>
          <cell r="G18">
            <v>394.90794819106651</v>
          </cell>
        </row>
        <row r="19">
          <cell r="D19">
            <v>129.698567</v>
          </cell>
          <cell r="G19">
            <v>161.45053884519444</v>
          </cell>
        </row>
        <row r="20">
          <cell r="D20">
            <v>10472.185438133911</v>
          </cell>
          <cell r="G20">
            <v>12104.248947379199</v>
          </cell>
        </row>
        <row r="21">
          <cell r="D21">
            <v>6659.9605451586376</v>
          </cell>
          <cell r="G21">
            <v>8437.8806019473413</v>
          </cell>
        </row>
        <row r="22">
          <cell r="D22">
            <v>3683.4481352896014</v>
          </cell>
          <cell r="G22">
            <v>1650.9977225886803</v>
          </cell>
        </row>
        <row r="23">
          <cell r="D23">
            <v>3217.8777489653003</v>
          </cell>
          <cell r="G23">
            <v>5231.5564747568533</v>
          </cell>
        </row>
        <row r="24">
          <cell r="G24">
            <v>108545.45238007448</v>
          </cell>
        </row>
      </sheetData>
      <sheetData sheetId="4"/>
      <sheetData sheetId="5"/>
      <sheetData sheetId="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169.55247123296999</v>
          </cell>
          <cell r="E14">
            <v>0</v>
          </cell>
          <cell r="F14">
            <v>1379.497332574445</v>
          </cell>
          <cell r="G14">
            <v>0</v>
          </cell>
          <cell r="H14">
            <v>3490.2589351189304</v>
          </cell>
        </row>
        <row r="18">
          <cell r="C18">
            <v>114.58088322666001</v>
          </cell>
          <cell r="D18">
            <v>2536.3019957021124</v>
          </cell>
          <cell r="E18">
            <v>21.540000000000003</v>
          </cell>
          <cell r="F18">
            <v>8958.4936692425727</v>
          </cell>
          <cell r="G18">
            <v>0.20000001000000001</v>
          </cell>
          <cell r="H18">
            <v>17331.149401041279</v>
          </cell>
        </row>
        <row r="22">
          <cell r="E22">
            <v>8.2928757113320017</v>
          </cell>
          <cell r="F22">
            <v>8993.6409959293087</v>
          </cell>
          <cell r="G22">
            <v>0.70000000000000007</v>
          </cell>
          <cell r="H22">
            <v>9544.8484187204431</v>
          </cell>
        </row>
        <row r="23">
          <cell r="C23">
            <v>44.5</v>
          </cell>
          <cell r="D23">
            <v>168.452975377786</v>
          </cell>
        </row>
        <row r="24">
          <cell r="C24">
            <v>8.3427055437665845E-3</v>
          </cell>
          <cell r="D24">
            <v>84.074816578980005</v>
          </cell>
        </row>
        <row r="25">
          <cell r="C25">
            <v>8.4478735878590001</v>
          </cell>
          <cell r="D25">
            <v>168.526255749028</v>
          </cell>
        </row>
        <row r="26">
          <cell r="C26">
            <v>3.9714309874749998</v>
          </cell>
          <cell r="D26">
            <v>115.04338430310315</v>
          </cell>
        </row>
        <row r="27">
          <cell r="C27">
            <v>51.388079401784182</v>
          </cell>
          <cell r="D27">
            <v>169.64776886238437</v>
          </cell>
        </row>
        <row r="28">
          <cell r="C28">
            <v>8.9520398872387261</v>
          </cell>
          <cell r="D28">
            <v>32.552543221999997</v>
          </cell>
        </row>
        <row r="29">
          <cell r="C29">
            <v>0.52612085947833787</v>
          </cell>
          <cell r="D29">
            <v>194.8776465246483</v>
          </cell>
        </row>
        <row r="30">
          <cell r="C30">
            <v>0</v>
          </cell>
          <cell r="D30">
            <v>531.94540675230701</v>
          </cell>
          <cell r="E30">
            <v>0</v>
          </cell>
          <cell r="F30">
            <v>537.69340185025794</v>
          </cell>
          <cell r="G30">
            <v>0</v>
          </cell>
          <cell r="H30">
            <v>0.83079497998999996</v>
          </cell>
        </row>
        <row r="31">
          <cell r="C31">
            <v>1.33E-6</v>
          </cell>
          <cell r="D31">
            <v>530.51515916336007</v>
          </cell>
          <cell r="E31">
            <v>3.9167E-4</v>
          </cell>
          <cell r="F31">
            <v>118.98763395406201</v>
          </cell>
          <cell r="G31">
            <v>6.4220000000000005E-5</v>
          </cell>
          <cell r="H31">
            <v>1590.7434748588721</v>
          </cell>
        </row>
        <row r="32">
          <cell r="E32">
            <v>0</v>
          </cell>
          <cell r="F32">
            <v>684.98910841999009</v>
          </cell>
          <cell r="G32">
            <v>0</v>
          </cell>
          <cell r="H32">
            <v>331.71349248998001</v>
          </cell>
        </row>
        <row r="33">
          <cell r="C33">
            <v>62.953443291999996</v>
          </cell>
          <cell r="D33">
            <v>1639.59874154507</v>
          </cell>
          <cell r="E33">
            <v>2.626132097662004</v>
          </cell>
          <cell r="F33">
            <v>10204.23273772699</v>
          </cell>
          <cell r="G33">
            <v>3.2974605658425644</v>
          </cell>
          <cell r="H33">
            <v>21256.625583573688</v>
          </cell>
        </row>
        <row r="34">
          <cell r="C34">
            <v>99.5</v>
          </cell>
          <cell r="D34">
            <v>2900.9171043807796</v>
          </cell>
          <cell r="E34">
            <v>8.8000000000000007</v>
          </cell>
          <cell r="F34">
            <v>5831.2137472234917</v>
          </cell>
          <cell r="G34">
            <v>5.4</v>
          </cell>
          <cell r="H34">
            <v>5639.6356681001716</v>
          </cell>
        </row>
        <row r="36">
          <cell r="C36">
            <v>35.222052650999998</v>
          </cell>
          <cell r="D36">
            <v>801.79720730377926</v>
          </cell>
          <cell r="E36">
            <v>3.3454568793199999</v>
          </cell>
          <cell r="F36">
            <v>-43.303000795654569</v>
          </cell>
          <cell r="G36">
            <v>-0.74913753050397913</v>
          </cell>
          <cell r="H36">
            <v>361.96521812445621</v>
          </cell>
        </row>
        <row r="37">
          <cell r="C37">
            <v>51.361186365853442</v>
          </cell>
          <cell r="D37">
            <v>716.47368985436242</v>
          </cell>
          <cell r="E37">
            <v>8.5012518999999995E-3</v>
          </cell>
          <cell r="F37">
            <v>54.247287743301676</v>
          </cell>
          <cell r="G37">
            <v>3.4240198000000002E-3</v>
          </cell>
          <cell r="H37">
            <v>394.38229656976938</v>
          </cell>
        </row>
        <row r="38">
          <cell r="C38">
            <v>481.41144748319243</v>
          </cell>
          <cell r="D38">
            <v>10760.277166552671</v>
          </cell>
          <cell r="E38">
            <v>44.613357610214003</v>
          </cell>
          <cell r="F38">
            <v>36719.692913868763</v>
          </cell>
          <cell r="G38">
            <v>8.8518112851385844</v>
          </cell>
          <cell r="H38">
            <v>59942.153283577587</v>
          </cell>
          <cell r="I38">
            <v>107956.99998037757</v>
          </cell>
        </row>
        <row r="40">
          <cell r="I40">
            <v>20032.882954674671</v>
          </cell>
        </row>
        <row r="68">
          <cell r="C68">
            <v>0.71514361328538167</v>
          </cell>
          <cell r="D68">
            <v>0.57304986951992931</v>
          </cell>
        </row>
        <row r="69">
          <cell r="C69">
            <v>4.2847890734999998</v>
          </cell>
          <cell r="D69">
            <v>102.46578622997001</v>
          </cell>
          <cell r="E69">
            <v>0</v>
          </cell>
          <cell r="F69">
            <v>3.4658499762E-2</v>
          </cell>
          <cell r="G69">
            <v>0</v>
          </cell>
          <cell r="H69">
            <v>7.9992310344827589</v>
          </cell>
        </row>
        <row r="72">
          <cell r="C72">
            <v>199.31787068196479</v>
          </cell>
          <cell r="D72">
            <v>2946.395022724505</v>
          </cell>
          <cell r="E72">
            <v>15.900000010000001</v>
          </cell>
          <cell r="F72">
            <v>3903.8357727869929</v>
          </cell>
          <cell r="G72">
            <v>1.0476401119999998E-3</v>
          </cell>
          <cell r="H72">
            <v>4333.5334624019388</v>
          </cell>
        </row>
        <row r="76">
          <cell r="E76">
            <v>9.4513400000000001</v>
          </cell>
          <cell r="F76">
            <v>15716.56388257994</v>
          </cell>
          <cell r="G76">
            <v>0</v>
          </cell>
          <cell r="H76">
            <v>24062.095934797348</v>
          </cell>
        </row>
        <row r="77">
          <cell r="C77">
            <v>5.3050397999999999E-2</v>
          </cell>
          <cell r="D77">
            <v>9.8559999999999999</v>
          </cell>
        </row>
        <row r="78">
          <cell r="C78">
            <v>0</v>
          </cell>
          <cell r="D78">
            <v>0</v>
          </cell>
        </row>
        <row r="79">
          <cell r="C79">
            <v>0</v>
          </cell>
          <cell r="D79">
            <v>385.83290784622699</v>
          </cell>
        </row>
        <row r="80">
          <cell r="C80">
            <v>0</v>
          </cell>
          <cell r="D80">
            <v>558.24126651256995</v>
          </cell>
        </row>
        <row r="81">
          <cell r="C81">
            <v>6.4185691807639991</v>
          </cell>
          <cell r="D81">
            <v>1182.09724249532</v>
          </cell>
        </row>
        <row r="82">
          <cell r="C82">
            <v>9.3471345678670001</v>
          </cell>
          <cell r="D82">
            <v>15.103628019672001</v>
          </cell>
        </row>
        <row r="83">
          <cell r="C83">
            <v>0</v>
          </cell>
          <cell r="D83">
            <v>1.2965100000000001</v>
          </cell>
        </row>
        <row r="84">
          <cell r="E84">
            <v>2.6525199999999998E-3</v>
          </cell>
          <cell r="F84">
            <v>5698.6795001203809</v>
          </cell>
          <cell r="G84">
            <v>0</v>
          </cell>
          <cell r="H84">
            <v>12946.174277364826</v>
          </cell>
        </row>
        <row r="86">
          <cell r="C86">
            <v>629.78363381000008</v>
          </cell>
          <cell r="D86">
            <v>1641.6815161763432</v>
          </cell>
        </row>
        <row r="89">
          <cell r="C89">
            <v>10</v>
          </cell>
          <cell r="D89">
            <v>755.52233645568867</v>
          </cell>
        </row>
        <row r="92">
          <cell r="C92">
            <v>269.99615112315115</v>
          </cell>
          <cell r="D92">
            <v>601.62388157999999</v>
          </cell>
        </row>
        <row r="93">
          <cell r="C93">
            <v>7.1999999999999999E-7</v>
          </cell>
          <cell r="D93">
            <v>963.79865152711398</v>
          </cell>
          <cell r="E93">
            <v>3.2897600000000001E-3</v>
          </cell>
          <cell r="F93">
            <v>207.147305696356</v>
          </cell>
          <cell r="G93">
            <v>0</v>
          </cell>
          <cell r="H93">
            <v>2511.0238758855908</v>
          </cell>
        </row>
        <row r="94">
          <cell r="E94">
            <v>0</v>
          </cell>
          <cell r="F94">
            <v>30.058049999999998</v>
          </cell>
          <cell r="G94">
            <v>0</v>
          </cell>
          <cell r="H94">
            <v>198.15750777996001</v>
          </cell>
        </row>
        <row r="95">
          <cell r="C95">
            <v>616.95687437324398</v>
          </cell>
          <cell r="D95">
            <v>2024.0900151948247</v>
          </cell>
          <cell r="E95">
            <v>1</v>
          </cell>
          <cell r="F95">
            <v>5549.5906686787021</v>
          </cell>
          <cell r="G95">
            <v>33.054279999999999</v>
          </cell>
          <cell r="H95">
            <v>14087.050953772812</v>
          </cell>
        </row>
        <row r="96">
          <cell r="C96">
            <v>126.37948029124993</v>
          </cell>
          <cell r="D96">
            <v>129.6885397752597</v>
          </cell>
        </row>
        <row r="97">
          <cell r="C97">
            <v>162.26168413723656</v>
          </cell>
          <cell r="D97">
            <v>1391.2638346046206</v>
          </cell>
          <cell r="E97">
            <v>11.599999369999999</v>
          </cell>
          <cell r="F97">
            <v>2904.1375346231598</v>
          </cell>
          <cell r="G97">
            <v>-4.4342899999999996E-3</v>
          </cell>
          <cell r="H97">
            <v>984.84413198386596</v>
          </cell>
        </row>
        <row r="98">
          <cell r="C98">
            <v>2035.4693819702625</v>
          </cell>
          <cell r="D98">
            <v>12709.492643901636</v>
          </cell>
          <cell r="E98">
            <v>37.95728166</v>
          </cell>
          <cell r="F98">
            <v>34010.047372985289</v>
          </cell>
          <cell r="G98">
            <v>33.050893350111998</v>
          </cell>
          <cell r="H98">
            <v>59130.879375016622</v>
          </cell>
          <cell r="I98">
            <v>107956.88561887394</v>
          </cell>
        </row>
        <row r="100">
          <cell r="I100">
            <v>21095.863053789904</v>
          </cell>
        </row>
      </sheetData>
      <sheetData sheetId="1"/>
      <sheetData sheetId="2">
        <row r="16">
          <cell r="N16">
            <v>48658.915953939046</v>
          </cell>
          <cell r="AA16">
            <v>47611.771604576206</v>
          </cell>
        </row>
        <row r="17">
          <cell r="N17">
            <v>11241.64477335041</v>
          </cell>
          <cell r="AA17">
            <v>14744.917183161282</v>
          </cell>
        </row>
        <row r="23">
          <cell r="N23">
            <v>15729.076554907457</v>
          </cell>
          <cell r="AA23">
            <v>5575.9585508490609</v>
          </cell>
        </row>
        <row r="36">
          <cell r="N36">
            <v>8238.9809549901747</v>
          </cell>
          <cell r="AA36">
            <v>9004.5003967481862</v>
          </cell>
        </row>
        <row r="76">
          <cell r="N76">
            <v>236.21426074307539</v>
          </cell>
          <cell r="AA76">
            <v>858.42836167600012</v>
          </cell>
        </row>
        <row r="82">
          <cell r="N82">
            <v>29878.122995133392</v>
          </cell>
          <cell r="AA82">
            <v>34388.989832888052</v>
          </cell>
        </row>
        <row r="103">
          <cell r="N103">
            <v>40.834409210822287</v>
          </cell>
          <cell r="AA103">
            <v>284.46807361007961</v>
          </cell>
        </row>
        <row r="131">
          <cell r="N131">
            <v>3697.4363231250704</v>
          </cell>
          <cell r="AA131">
            <v>9787.8628594731508</v>
          </cell>
        </row>
        <row r="146">
          <cell r="N146">
            <v>452.94338101</v>
          </cell>
          <cell r="AA146">
            <v>121.207636308508</v>
          </cell>
        </row>
        <row r="149">
          <cell r="N149">
            <v>1024.1555768649696</v>
          </cell>
          <cell r="AA149">
            <v>323.66002350595988</v>
          </cell>
        </row>
        <row r="152">
          <cell r="AA152">
            <v>107956.8303706873</v>
          </cell>
        </row>
      </sheetData>
      <sheetData sheetId="3">
        <row r="14">
          <cell r="D14">
            <v>534.86832770565377</v>
          </cell>
          <cell r="G14">
            <v>2106.6336307812157</v>
          </cell>
        </row>
        <row r="16">
          <cell r="D16">
            <v>82053.277187220534</v>
          </cell>
          <cell r="G16">
            <v>75729.488068776496</v>
          </cell>
        </row>
        <row r="17">
          <cell r="D17">
            <v>785.82781259205615</v>
          </cell>
          <cell r="G17">
            <v>2016.0612220463829</v>
          </cell>
        </row>
        <row r="18">
          <cell r="D18">
            <v>200.10710610689401</v>
          </cell>
          <cell r="G18">
            <v>515.06004527073196</v>
          </cell>
        </row>
        <row r="19">
          <cell r="D19">
            <v>185.13847115999999</v>
          </cell>
          <cell r="G19">
            <v>222.47170499542898</v>
          </cell>
        </row>
        <row r="20">
          <cell r="D20">
            <v>10327.456854115064</v>
          </cell>
          <cell r="G20">
            <v>11974.612475610173</v>
          </cell>
        </row>
        <row r="21">
          <cell r="D21">
            <v>7003.0739333385636</v>
          </cell>
          <cell r="G21">
            <v>8449.2243247135848</v>
          </cell>
        </row>
        <row r="22">
          <cell r="D22">
            <v>3685.4455189053278</v>
          </cell>
          <cell r="G22">
            <v>1676.4410886394694</v>
          </cell>
        </row>
        <row r="23">
          <cell r="D23">
            <v>3181.5870447328007</v>
          </cell>
          <cell r="G23">
            <v>5267.0580069893749</v>
          </cell>
        </row>
        <row r="24">
          <cell r="G24">
            <v>107957.00416782287</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12.272715182999983</v>
          </cell>
          <cell r="D14">
            <v>69.748000000000005</v>
          </cell>
        </row>
        <row r="18">
          <cell r="C18">
            <v>284.93096344445223</v>
          </cell>
          <cell r="D18">
            <v>736.68418509499998</v>
          </cell>
        </row>
        <row r="23">
          <cell r="C23">
            <v>1171.3276284884514</v>
          </cell>
          <cell r="D23">
            <v>235.31510466099999</v>
          </cell>
        </row>
        <row r="24">
          <cell r="C24">
            <v>875.89309740900001</v>
          </cell>
          <cell r="D24">
            <v>97.903620216999997</v>
          </cell>
        </row>
        <row r="25">
          <cell r="C25">
            <v>149.6741242873</v>
          </cell>
          <cell r="D25">
            <v>408.7333751092288</v>
          </cell>
        </row>
        <row r="26">
          <cell r="C26">
            <v>181.03705771000003</v>
          </cell>
          <cell r="D26">
            <v>216.36618151224002</v>
          </cell>
        </row>
        <row r="27">
          <cell r="C27">
            <v>2440.9653363069997</v>
          </cell>
          <cell r="D27">
            <v>1228.7849342533023</v>
          </cell>
        </row>
        <row r="28">
          <cell r="C28">
            <v>5077.2861459276155</v>
          </cell>
          <cell r="D28">
            <v>1042.320123121144</v>
          </cell>
        </row>
        <row r="29">
          <cell r="C29">
            <v>222.56341761800002</v>
          </cell>
          <cell r="D29">
            <v>32.153999999999996</v>
          </cell>
        </row>
        <row r="30">
          <cell r="C30">
            <v>0</v>
          </cell>
          <cell r="D30">
            <v>6.8</v>
          </cell>
        </row>
        <row r="31">
          <cell r="C31">
            <v>2.1000000000000001E-2</v>
          </cell>
          <cell r="D31">
            <v>7.3950449999999996</v>
          </cell>
        </row>
        <row r="33">
          <cell r="C33">
            <v>165.8586473499399</v>
          </cell>
          <cell r="D33">
            <v>45.25202494528164</v>
          </cell>
        </row>
        <row r="34">
          <cell r="C34">
            <v>1600.875144535999</v>
          </cell>
          <cell r="D34">
            <v>406.92469363752514</v>
          </cell>
        </row>
        <row r="36">
          <cell r="C36">
            <v>976.04939548309665</v>
          </cell>
          <cell r="D36">
            <v>104.75084427532134</v>
          </cell>
        </row>
        <row r="37">
          <cell r="C37">
            <v>358.65263656752001</v>
          </cell>
          <cell r="D37">
            <v>358.14583954234797</v>
          </cell>
        </row>
        <row r="38">
          <cell r="C38">
            <v>13517.421327076219</v>
          </cell>
          <cell r="D38">
            <v>4997.2779713693917</v>
          </cell>
          <cell r="E38">
            <v>707.37797718134152</v>
          </cell>
          <cell r="F38">
            <v>8980.2323548954955</v>
          </cell>
          <cell r="G38">
            <v>569.66627608612077</v>
          </cell>
          <cell r="H38">
            <v>4974.1619299351951</v>
          </cell>
          <cell r="I38">
            <v>33746.137836543763</v>
          </cell>
        </row>
        <row r="40">
          <cell r="I40">
            <v>6339.0958296623794</v>
          </cell>
        </row>
        <row r="68">
          <cell r="C68">
            <v>144.17908968060229</v>
          </cell>
          <cell r="D68">
            <v>4.5032157280650624</v>
          </cell>
        </row>
        <row r="69">
          <cell r="C69">
            <v>1326.7925016732613</v>
          </cell>
          <cell r="D69">
            <v>0.220000001</v>
          </cell>
        </row>
        <row r="72">
          <cell r="C72">
            <v>483.65753105924739</v>
          </cell>
          <cell r="D72">
            <v>524.87798430360431</v>
          </cell>
        </row>
        <row r="76">
          <cell r="C76">
            <v>7789.7577442276379</v>
          </cell>
          <cell r="D76">
            <v>1929.0798802851109</v>
          </cell>
        </row>
        <row r="77">
          <cell r="C77">
            <v>209.97929667499304</v>
          </cell>
          <cell r="D77">
            <v>98.610441491907608</v>
          </cell>
        </row>
        <row r="78">
          <cell r="C78">
            <v>0</v>
          </cell>
          <cell r="D78">
            <v>0</v>
          </cell>
        </row>
        <row r="79">
          <cell r="C79">
            <v>93.013312869482192</v>
          </cell>
          <cell r="D79">
            <v>124.65858288758636</v>
          </cell>
        </row>
        <row r="80">
          <cell r="C80">
            <v>5.2411036630000005</v>
          </cell>
          <cell r="D80">
            <v>436.13505771835997</v>
          </cell>
        </row>
        <row r="81">
          <cell r="C81">
            <v>2834.0373985139831</v>
          </cell>
          <cell r="D81">
            <v>971.2781126720854</v>
          </cell>
        </row>
        <row r="82">
          <cell r="C82">
            <v>4552.1831723891801</v>
          </cell>
          <cell r="D82">
            <v>275.99768551517161</v>
          </cell>
        </row>
        <row r="83">
          <cell r="C83">
            <v>95.303460117000071</v>
          </cell>
          <cell r="D83">
            <v>22.400000000000002</v>
          </cell>
        </row>
        <row r="84">
          <cell r="E84">
            <v>1.6494660016295146E-7</v>
          </cell>
          <cell r="F84">
            <v>2769.8047103666545</v>
          </cell>
          <cell r="G84">
            <v>0.48251525800000006</v>
          </cell>
          <cell r="H84">
            <v>2200.776759719156</v>
          </cell>
        </row>
        <row r="86">
          <cell r="C86">
            <v>3941.9211045220009</v>
          </cell>
          <cell r="D86">
            <v>1293.7865426753533</v>
          </cell>
        </row>
        <row r="89">
          <cell r="C89">
            <v>4.8774491999999406E-2</v>
          </cell>
          <cell r="D89">
            <v>136.67698405151245</v>
          </cell>
        </row>
        <row r="92">
          <cell r="C92">
            <v>350.46126022300001</v>
          </cell>
          <cell r="D92">
            <v>52.354711411000004</v>
          </cell>
        </row>
        <row r="93">
          <cell r="C93">
            <v>0.123</v>
          </cell>
          <cell r="D93">
            <v>11.587905703999999</v>
          </cell>
        </row>
        <row r="95">
          <cell r="C95">
            <v>117.06586978332057</v>
          </cell>
          <cell r="D95">
            <v>916.44506664940036</v>
          </cell>
        </row>
        <row r="96">
          <cell r="C96">
            <v>134.53340111035951</v>
          </cell>
          <cell r="D96">
            <v>11.38117788358252</v>
          </cell>
        </row>
        <row r="97">
          <cell r="C97">
            <v>519.78863901839895</v>
          </cell>
          <cell r="D97">
            <v>174.5288612315108</v>
          </cell>
        </row>
        <row r="98">
          <cell r="C98">
            <v>14808.339428197607</v>
          </cell>
          <cell r="D98">
            <v>5055.4423299241407</v>
          </cell>
          <cell r="E98">
            <v>323.8735095533554</v>
          </cell>
          <cell r="F98">
            <v>7765.9057543212139</v>
          </cell>
          <cell r="G98">
            <v>66.607946958999989</v>
          </cell>
          <cell r="H98">
            <v>5725.951607566938</v>
          </cell>
          <cell r="I98">
            <v>33746.120576522255</v>
          </cell>
        </row>
        <row r="100">
          <cell r="I100">
            <v>6360.5443679003802</v>
          </cell>
        </row>
      </sheetData>
      <sheetData sheetId="1">
        <row r="15">
          <cell r="C15">
            <v>702.4970959289999</v>
          </cell>
          <cell r="D15">
            <v>851.17217578700013</v>
          </cell>
          <cell r="E15">
            <v>149.66420739229997</v>
          </cell>
          <cell r="F15">
            <v>180.90791328999998</v>
          </cell>
          <cell r="G15">
            <v>2427.0526342910002</v>
          </cell>
          <cell r="H15">
            <v>5288.4294512420784</v>
          </cell>
          <cell r="I15">
            <v>9599.7234779313785</v>
          </cell>
          <cell r="K15">
            <v>191.26960056902999</v>
          </cell>
        </row>
        <row r="16">
          <cell r="E16">
            <v>84.760460883299999</v>
          </cell>
          <cell r="F16">
            <v>50.082214716999999</v>
          </cell>
          <cell r="G16">
            <v>1260.0604764940001</v>
          </cell>
          <cell r="H16">
            <v>763.10493373899999</v>
          </cell>
        </row>
        <row r="17">
          <cell r="E17">
            <v>5.8775748090000004</v>
          </cell>
          <cell r="F17">
            <v>37.45865722700001</v>
          </cell>
          <cell r="G17">
            <v>184.52776213600006</v>
          </cell>
          <cell r="H17">
            <v>2694.7056699469986</v>
          </cell>
        </row>
        <row r="18">
          <cell r="E18">
            <v>59.026171699999999</v>
          </cell>
          <cell r="F18">
            <v>93.367041346000008</v>
          </cell>
          <cell r="G18">
            <v>982.494395661</v>
          </cell>
          <cell r="H18">
            <v>1830.6088475560805</v>
          </cell>
        </row>
        <row r="19">
          <cell r="E19">
            <v>0</v>
          </cell>
          <cell r="F19">
            <v>0</v>
          </cell>
          <cell r="G19">
            <v>0</v>
          </cell>
          <cell r="H19">
            <v>0</v>
          </cell>
        </row>
        <row r="20">
          <cell r="I20">
            <v>0</v>
          </cell>
        </row>
        <row r="21">
          <cell r="I21">
            <v>519.00424465582932</v>
          </cell>
        </row>
        <row r="23">
          <cell r="C23">
            <v>235.31510466099999</v>
          </cell>
          <cell r="D23">
            <v>97.903620216999997</v>
          </cell>
          <cell r="E23">
            <v>408.72145710922882</v>
          </cell>
          <cell r="F23">
            <v>214.58318151224</v>
          </cell>
          <cell r="G23">
            <v>1219.7870782513019</v>
          </cell>
          <cell r="H23">
            <v>1074.3741221211437</v>
          </cell>
          <cell r="I23">
            <v>3250.6845638719142</v>
          </cell>
          <cell r="K23">
            <v>4485.4256162350739</v>
          </cell>
        </row>
        <row r="24">
          <cell r="E24">
            <v>73.476065461310384</v>
          </cell>
          <cell r="F24">
            <v>126.67801979324001</v>
          </cell>
          <cell r="G24">
            <v>537.35366093358959</v>
          </cell>
          <cell r="H24">
            <v>118.34402502958142</v>
          </cell>
        </row>
        <row r="25">
          <cell r="E25">
            <v>1.3864830539999999</v>
          </cell>
          <cell r="F25">
            <v>0.63592861000000001</v>
          </cell>
          <cell r="G25">
            <v>29.069987916999999</v>
          </cell>
          <cell r="H25">
            <v>170.10478615299991</v>
          </cell>
        </row>
        <row r="26">
          <cell r="E26">
            <v>333.85890859391839</v>
          </cell>
          <cell r="F26">
            <v>87.269233108999984</v>
          </cell>
          <cell r="G26">
            <v>653.36342940071256</v>
          </cell>
          <cell r="H26">
            <v>785.92531093856246</v>
          </cell>
        </row>
        <row r="27">
          <cell r="E27">
            <v>0</v>
          </cell>
          <cell r="F27">
            <v>0</v>
          </cell>
          <cell r="G27">
            <v>0</v>
          </cell>
          <cell r="H27">
            <v>0</v>
          </cell>
        </row>
        <row r="28">
          <cell r="I28">
            <v>0</v>
          </cell>
        </row>
        <row r="29">
          <cell r="I29">
            <v>10.882999999999999</v>
          </cell>
        </row>
      </sheetData>
      <sheetData sheetId="2">
        <row r="16">
          <cell r="N16">
            <v>28135.574699785473</v>
          </cell>
          <cell r="AA16">
            <v>28099.306058969098</v>
          </cell>
        </row>
        <row r="17">
          <cell r="B17">
            <v>924.21540991984421</v>
          </cell>
          <cell r="C17">
            <v>49.202415123999998</v>
          </cell>
          <cell r="D17">
            <v>0</v>
          </cell>
          <cell r="E17">
            <v>17.552237617492533</v>
          </cell>
          <cell r="F17">
            <v>0</v>
          </cell>
          <cell r="G17">
            <v>1630.1131340384495</v>
          </cell>
          <cell r="H17">
            <v>4103.567799985427</v>
          </cell>
          <cell r="I17">
            <v>171.65968942844552</v>
          </cell>
          <cell r="J17">
            <v>3.706814209</v>
          </cell>
          <cell r="K17">
            <v>113.79368364122824</v>
          </cell>
          <cell r="L17">
            <v>1.2056371340000001</v>
          </cell>
          <cell r="M17">
            <v>11499.678879755304</v>
          </cell>
          <cell r="N17">
            <v>18514.69570085319</v>
          </cell>
          <cell r="O17">
            <v>896.74177233369687</v>
          </cell>
          <cell r="P17">
            <v>32.098410087949695</v>
          </cell>
          <cell r="Q17">
            <v>2.8510300000000278E-3</v>
          </cell>
          <cell r="R17">
            <v>11.507675666847355</v>
          </cell>
          <cell r="S17">
            <v>0</v>
          </cell>
          <cell r="T17">
            <v>2464.754512773618</v>
          </cell>
          <cell r="U17">
            <v>4331.1211335556427</v>
          </cell>
          <cell r="V17">
            <v>83.369590382971509</v>
          </cell>
          <cell r="W17">
            <v>11.110796520000001</v>
          </cell>
          <cell r="X17">
            <v>38.78216900626267</v>
          </cell>
          <cell r="Y17">
            <v>2.4090924994016683</v>
          </cell>
          <cell r="Z17">
            <v>11992.005144566261</v>
          </cell>
          <cell r="AA17">
            <v>19863.879703637649</v>
          </cell>
        </row>
        <row r="23">
          <cell r="N23">
            <v>1167.2812068821265</v>
          </cell>
          <cell r="AA23">
            <v>1032.391668795824</v>
          </cell>
        </row>
        <row r="36">
          <cell r="N36">
            <v>1813.7446650017328</v>
          </cell>
          <cell r="AA36">
            <v>1663.1580987867865</v>
          </cell>
        </row>
        <row r="76">
          <cell r="N76">
            <v>15.439660849999999</v>
          </cell>
          <cell r="AA76">
            <v>145.40673974798085</v>
          </cell>
        </row>
        <row r="82">
          <cell r="N82">
            <v>1658.9047735212066</v>
          </cell>
          <cell r="AA82">
            <v>1532.8283065701137</v>
          </cell>
        </row>
        <row r="103">
          <cell r="N103">
            <v>3.1552946499999996</v>
          </cell>
          <cell r="AA103">
            <v>106.185</v>
          </cell>
        </row>
        <row r="131">
          <cell r="N131">
            <v>851.52803993466159</v>
          </cell>
          <cell r="AA131">
            <v>1115.1994298198222</v>
          </cell>
        </row>
        <row r="146">
          <cell r="N146">
            <v>2.2331470428999998</v>
          </cell>
          <cell r="AA146">
            <v>51.589004338544257</v>
          </cell>
        </row>
        <row r="149">
          <cell r="N149">
            <v>98.280672983000002</v>
          </cell>
          <cell r="AA149">
            <v>0</v>
          </cell>
        </row>
        <row r="152">
          <cell r="B152">
            <v>6633.2103872838525</v>
          </cell>
          <cell r="C152">
            <v>460.200393152</v>
          </cell>
          <cell r="D152">
            <v>10.097910057</v>
          </cell>
          <cell r="E152">
            <v>393.99905352749249</v>
          </cell>
          <cell r="F152">
            <v>0.50199700000000003</v>
          </cell>
          <cell r="G152">
            <v>4224.3555454021698</v>
          </cell>
          <cell r="H152">
            <v>8677.3060765082391</v>
          </cell>
          <cell r="I152">
            <v>694.60189495260784</v>
          </cell>
          <cell r="J152">
            <v>4.5068142089999998</v>
          </cell>
          <cell r="K152">
            <v>253.66657542252824</v>
          </cell>
          <cell r="L152">
            <v>1.2066371340000002</v>
          </cell>
          <cell r="M152">
            <v>12392.48887600221</v>
          </cell>
          <cell r="O152">
            <v>3350.3001490819843</v>
          </cell>
          <cell r="P152">
            <v>384.31972991328337</v>
          </cell>
          <cell r="Q152">
            <v>4.8213945226734598</v>
          </cell>
          <cell r="R152">
            <v>161.43038041930853</v>
          </cell>
          <cell r="S152">
            <v>0.51336345767272651</v>
          </cell>
          <cell r="T152">
            <v>3739.6554775023369</v>
          </cell>
          <cell r="U152">
            <v>11545.373546735398</v>
          </cell>
          <cell r="V152">
            <v>395.91407603636611</v>
          </cell>
          <cell r="W152">
            <v>12.400170710000001</v>
          </cell>
          <cell r="X152">
            <v>494.12225995853936</v>
          </cell>
          <cell r="Y152">
            <v>31.48830649940167</v>
          </cell>
          <cell r="Z152">
            <v>13625.725296791206</v>
          </cell>
          <cell r="AA152">
            <v>33746.064151628168</v>
          </cell>
        </row>
      </sheetData>
      <sheetData sheetId="3">
        <row r="14">
          <cell r="D14">
            <v>14794.487473951918</v>
          </cell>
          <cell r="G14">
            <v>15198.869098536135</v>
          </cell>
        </row>
        <row r="16">
          <cell r="D16">
            <v>14701.50610774638</v>
          </cell>
          <cell r="G16">
            <v>14377.600693681725</v>
          </cell>
        </row>
        <row r="17">
          <cell r="D17">
            <v>647.66546179372779</v>
          </cell>
          <cell r="G17">
            <v>658.25264037784802</v>
          </cell>
        </row>
        <row r="18">
          <cell r="D18">
            <v>14.605813431000001</v>
          </cell>
          <cell r="G18">
            <v>17.222621494673458</v>
          </cell>
        </row>
        <row r="19">
          <cell r="D19">
            <v>1.708634134</v>
          </cell>
          <cell r="G19">
            <v>31.901669957074393</v>
          </cell>
        </row>
        <row r="20">
          <cell r="D20">
            <v>1154.779578298122</v>
          </cell>
          <cell r="G20">
            <v>780.42616772007489</v>
          </cell>
        </row>
        <row r="21">
          <cell r="D21">
            <v>636.96667854485543</v>
          </cell>
          <cell r="G21">
            <v>175.67047374521417</v>
          </cell>
        </row>
        <row r="22">
          <cell r="D22">
            <v>1719.5053352745999</v>
          </cell>
          <cell r="G22">
            <v>2188.512388130282</v>
          </cell>
        </row>
        <row r="23">
          <cell r="D23">
            <v>74.927758906000079</v>
          </cell>
          <cell r="G23">
            <v>317.63396037566417</v>
          </cell>
        </row>
        <row r="24">
          <cell r="G24">
            <v>33746.089714018686</v>
          </cell>
        </row>
      </sheetData>
      <sheetData sheetId="4">
        <row r="10">
          <cell r="D10">
            <v>5131.090252722699</v>
          </cell>
        </row>
        <row r="11">
          <cell r="D11">
            <v>2.8840065154396139</v>
          </cell>
        </row>
        <row r="12">
          <cell r="D12">
            <v>98.767197233955116</v>
          </cell>
        </row>
        <row r="15">
          <cell r="D15">
            <v>1874.9789533230764</v>
          </cell>
        </row>
        <row r="20">
          <cell r="D20">
            <v>984.27954091301808</v>
          </cell>
        </row>
        <row r="29">
          <cell r="D29">
            <v>1131.1509535315652</v>
          </cell>
        </row>
        <row r="37">
          <cell r="D37">
            <v>217.66618227339751</v>
          </cell>
        </row>
        <row r="42">
          <cell r="D42">
            <v>821.36741893224757</v>
          </cell>
        </row>
        <row r="43">
          <cell r="D43">
            <v>110.14177151227473</v>
          </cell>
        </row>
        <row r="45">
          <cell r="D45">
            <v>160.40059273551964</v>
          </cell>
        </row>
        <row r="48">
          <cell r="D48">
            <v>4279.2802637578779</v>
          </cell>
        </row>
        <row r="49">
          <cell r="D49">
            <v>1858.5120542369057</v>
          </cell>
        </row>
        <row r="50">
          <cell r="D50">
            <v>99.241364333544666</v>
          </cell>
        </row>
        <row r="51">
          <cell r="D51">
            <v>179.05870743741193</v>
          </cell>
        </row>
        <row r="52">
          <cell r="D52">
            <v>1322.2815720026906</v>
          </cell>
        </row>
        <row r="53">
          <cell r="D53">
            <v>71.801882050553104</v>
          </cell>
        </row>
        <row r="54">
          <cell r="D54">
            <v>748.38468369677184</v>
          </cell>
        </row>
        <row r="55">
          <cell r="D55">
            <v>308.57255951816381</v>
          </cell>
        </row>
        <row r="58">
          <cell r="D58">
            <v>9718.9470759987416</v>
          </cell>
        </row>
      </sheetData>
      <sheetData sheetId="5"/>
      <sheetData sheetId="6"/>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637.91840068250008</v>
          </cell>
          <cell r="E14">
            <v>0</v>
          </cell>
          <cell r="F14">
            <v>1503.0318296356561</v>
          </cell>
          <cell r="G14">
            <v>0</v>
          </cell>
          <cell r="H14">
            <v>3496.0866114623041</v>
          </cell>
        </row>
        <row r="18">
          <cell r="C18">
            <v>103.88175409583</v>
          </cell>
          <cell r="D18">
            <v>2503.5842486972811</v>
          </cell>
          <cell r="E18">
            <v>0.3</v>
          </cell>
          <cell r="F18">
            <v>8709.3178206423509</v>
          </cell>
          <cell r="G18">
            <v>0.20132626000000001</v>
          </cell>
          <cell r="H18">
            <v>16762.811255974651</v>
          </cell>
        </row>
        <row r="22">
          <cell r="E22">
            <v>7.2454827789500005</v>
          </cell>
          <cell r="F22">
            <v>11445.405496163776</v>
          </cell>
          <cell r="G22">
            <v>0.70000133000000009</v>
          </cell>
          <cell r="H22">
            <v>9167.0501272598794</v>
          </cell>
        </row>
        <row r="23">
          <cell r="C23">
            <v>30.907999999999998</v>
          </cell>
          <cell r="D23">
            <v>240.13951729929101</v>
          </cell>
        </row>
        <row r="24">
          <cell r="C24">
            <v>1.8512852917771886E-2</v>
          </cell>
          <cell r="D24">
            <v>77.635680339000004</v>
          </cell>
        </row>
        <row r="25">
          <cell r="C25">
            <v>14.551347126188</v>
          </cell>
          <cell r="D25">
            <v>166.32549269786898</v>
          </cell>
        </row>
        <row r="26">
          <cell r="C26">
            <v>3.6714352184210002</v>
          </cell>
          <cell r="D26">
            <v>291.18792888051354</v>
          </cell>
        </row>
        <row r="27">
          <cell r="C27">
            <v>51.830796951995183</v>
          </cell>
          <cell r="D27">
            <v>156.15521894295171</v>
          </cell>
        </row>
        <row r="28">
          <cell r="C28">
            <v>8.8701231713236073</v>
          </cell>
          <cell r="D28">
            <v>34.326440121999994</v>
          </cell>
        </row>
        <row r="29">
          <cell r="C29">
            <v>0.63592051947833794</v>
          </cell>
          <cell r="D29">
            <v>240.51627790038424</v>
          </cell>
        </row>
        <row r="30">
          <cell r="C30">
            <v>0</v>
          </cell>
          <cell r="D30">
            <v>524.74891842560396</v>
          </cell>
          <cell r="E30">
            <v>0</v>
          </cell>
          <cell r="F30">
            <v>535.57558192694785</v>
          </cell>
          <cell r="G30">
            <v>0</v>
          </cell>
          <cell r="H30">
            <v>1.20433813002</v>
          </cell>
        </row>
        <row r="31">
          <cell r="C31">
            <v>1.3200000000000001E-6</v>
          </cell>
          <cell r="D31">
            <v>391.30760030436198</v>
          </cell>
          <cell r="E31">
            <v>4.2267499999999996E-3</v>
          </cell>
          <cell r="F31">
            <v>115.77962266603799</v>
          </cell>
          <cell r="G31">
            <v>9.7139999999999995E-5</v>
          </cell>
          <cell r="H31">
            <v>1381.6491581440778</v>
          </cell>
        </row>
        <row r="32">
          <cell r="E32">
            <v>0</v>
          </cell>
          <cell r="F32">
            <v>733.3485317500099</v>
          </cell>
          <cell r="G32">
            <v>0</v>
          </cell>
          <cell r="H32">
            <v>301.79326000000003</v>
          </cell>
        </row>
        <row r="33">
          <cell r="C33">
            <v>63.731549304600001</v>
          </cell>
          <cell r="D33">
            <v>1883.4645450392741</v>
          </cell>
          <cell r="E33">
            <v>2.6262571188620036</v>
          </cell>
          <cell r="F33">
            <v>10331.928780855958</v>
          </cell>
          <cell r="G33">
            <v>3.4374858762055647</v>
          </cell>
          <cell r="H33">
            <v>21084.401080752275</v>
          </cell>
        </row>
        <row r="34">
          <cell r="C34">
            <v>99.5</v>
          </cell>
          <cell r="D34">
            <v>2900.860616418151</v>
          </cell>
          <cell r="E34">
            <v>8.8000000000000007</v>
          </cell>
          <cell r="F34">
            <v>6030.8277157519688</v>
          </cell>
          <cell r="G34">
            <v>5.4</v>
          </cell>
          <cell r="H34">
            <v>5725.1958313971918</v>
          </cell>
        </row>
        <row r="36">
          <cell r="C36">
            <v>35.760508679000004</v>
          </cell>
          <cell r="D36">
            <v>787.99203072461353</v>
          </cell>
          <cell r="E36">
            <v>3.4686091493900002</v>
          </cell>
          <cell r="F36">
            <v>-208.86198828211548</v>
          </cell>
          <cell r="G36">
            <v>-0.82530148010610072</v>
          </cell>
          <cell r="H36">
            <v>249.33624025177727</v>
          </cell>
        </row>
        <row r="37">
          <cell r="C37">
            <v>62.616812580766194</v>
          </cell>
          <cell r="D37">
            <v>701.09689152925966</v>
          </cell>
          <cell r="E37">
            <v>2.6301300000000001E-3</v>
          </cell>
          <cell r="F37">
            <v>60.566271586448664</v>
          </cell>
          <cell r="G37">
            <v>1.025876439999996E-2</v>
          </cell>
          <cell r="H37">
            <v>382.18981324216946</v>
          </cell>
        </row>
        <row r="38">
          <cell r="C38">
            <v>475.9767618205201</v>
          </cell>
          <cell r="D38">
            <v>11537.259808003057</v>
          </cell>
          <cell r="E38">
            <v>22.447205927202006</v>
          </cell>
          <cell r="F38">
            <v>39256.919662697037</v>
          </cell>
          <cell r="G38">
            <v>8.9238678904994639</v>
          </cell>
          <cell r="H38">
            <v>58551.717716614337</v>
          </cell>
          <cell r="I38">
            <v>109853.23502295266</v>
          </cell>
        </row>
        <row r="40">
          <cell r="I40">
            <v>22386.999625166347</v>
          </cell>
        </row>
        <row r="68">
          <cell r="C68">
            <v>0.58550967928797748</v>
          </cell>
          <cell r="D68">
            <v>0.73218882198097857</v>
          </cell>
        </row>
        <row r="69">
          <cell r="C69">
            <v>37.484009694599997</v>
          </cell>
          <cell r="D69">
            <v>95.53975902997</v>
          </cell>
          <cell r="E69">
            <v>0</v>
          </cell>
          <cell r="F69">
            <v>2.9784406162E-2</v>
          </cell>
          <cell r="G69">
            <v>0</v>
          </cell>
          <cell r="H69">
            <v>7.9984517241379303</v>
          </cell>
        </row>
        <row r="72">
          <cell r="C72">
            <v>122.0291119977371</v>
          </cell>
          <cell r="D72">
            <v>2719.7088783859863</v>
          </cell>
          <cell r="E72">
            <v>1.0107050649999999E-3</v>
          </cell>
          <cell r="F72">
            <v>3413.7220300416207</v>
          </cell>
          <cell r="G72">
            <v>1.5966582840000001E-3</v>
          </cell>
          <cell r="H72">
            <v>4629.7717624832903</v>
          </cell>
        </row>
        <row r="76">
          <cell r="E76">
            <v>9.4745100000000004</v>
          </cell>
          <cell r="F76">
            <v>16176.170504338224</v>
          </cell>
          <cell r="G76">
            <v>0</v>
          </cell>
          <cell r="H76">
            <v>24535.860801605544</v>
          </cell>
        </row>
        <row r="77">
          <cell r="C77">
            <v>5.3050397999999999E-2</v>
          </cell>
          <cell r="D77">
            <v>0</v>
          </cell>
        </row>
        <row r="78">
          <cell r="C78">
            <v>0</v>
          </cell>
          <cell r="D78">
            <v>0</v>
          </cell>
        </row>
        <row r="79">
          <cell r="C79">
            <v>0</v>
          </cell>
          <cell r="D79">
            <v>337.17536693053</v>
          </cell>
        </row>
        <row r="80">
          <cell r="C80">
            <v>0</v>
          </cell>
          <cell r="D80">
            <v>618.64984996265207</v>
          </cell>
        </row>
        <row r="81">
          <cell r="C81">
            <v>6.8112100319939994</v>
          </cell>
          <cell r="D81">
            <v>1212.8457576749861</v>
          </cell>
        </row>
        <row r="82">
          <cell r="C82">
            <v>9.4474385347970014</v>
          </cell>
          <cell r="D82">
            <v>15.391119879291001</v>
          </cell>
        </row>
        <row r="83">
          <cell r="C83">
            <v>0</v>
          </cell>
          <cell r="D83">
            <v>1.6257307600000002</v>
          </cell>
        </row>
        <row r="84">
          <cell r="E84">
            <v>2.6525199999999998E-3</v>
          </cell>
          <cell r="F84">
            <v>5971.3718172662284</v>
          </cell>
          <cell r="G84">
            <v>0</v>
          </cell>
          <cell r="H84">
            <v>12866.66636130026</v>
          </cell>
        </row>
        <row r="86">
          <cell r="C86">
            <v>521.20372219000001</v>
          </cell>
          <cell r="D86">
            <v>1885.5997038391724</v>
          </cell>
        </row>
        <row r="89">
          <cell r="C89">
            <v>20.3</v>
          </cell>
          <cell r="D89">
            <v>883.38658928356926</v>
          </cell>
        </row>
        <row r="92">
          <cell r="C92">
            <v>263.26610554621175</v>
          </cell>
          <cell r="D92">
            <v>661.16388157999995</v>
          </cell>
        </row>
        <row r="93">
          <cell r="C93">
            <v>7.3840230000000007E-2</v>
          </cell>
          <cell r="D93">
            <v>894.12201270104993</v>
          </cell>
          <cell r="E93">
            <v>5.3538600000000002E-3</v>
          </cell>
          <cell r="F93">
            <v>189.44758766259099</v>
          </cell>
          <cell r="G93">
            <v>2.0049999999999999E-5</v>
          </cell>
          <cell r="H93">
            <v>2291.1532393947241</v>
          </cell>
        </row>
        <row r="94">
          <cell r="E94">
            <v>0</v>
          </cell>
          <cell r="F94">
            <v>0</v>
          </cell>
          <cell r="G94">
            <v>0</v>
          </cell>
          <cell r="H94">
            <v>146.39161103996</v>
          </cell>
        </row>
        <row r="95">
          <cell r="C95">
            <v>693.39591344297617</v>
          </cell>
          <cell r="D95">
            <v>2299.7479213065849</v>
          </cell>
          <cell r="E95">
            <v>1</v>
          </cell>
          <cell r="F95">
            <v>5967.1460337489661</v>
          </cell>
          <cell r="G95">
            <v>14.466819999999998</v>
          </cell>
          <cell r="H95">
            <v>14721.534080770232</v>
          </cell>
        </row>
        <row r="96">
          <cell r="C96">
            <v>133.78895680354984</v>
          </cell>
          <cell r="D96">
            <v>129.80513014391471</v>
          </cell>
        </row>
        <row r="97">
          <cell r="C97">
            <v>173.26714052974549</v>
          </cell>
          <cell r="D97">
            <v>1379.376047348607</v>
          </cell>
          <cell r="E97">
            <v>3</v>
          </cell>
          <cell r="F97">
            <v>2910.5009105533318</v>
          </cell>
          <cell r="G97">
            <v>0</v>
          </cell>
          <cell r="H97">
            <v>880.80959162690658</v>
          </cell>
        </row>
        <row r="98">
          <cell r="C98">
            <v>1981.7060090788991</v>
          </cell>
          <cell r="D98">
            <v>13134.879937648293</v>
          </cell>
          <cell r="E98">
            <v>13.483527085065001</v>
          </cell>
          <cell r="F98">
            <v>34628.438668017123</v>
          </cell>
          <cell r="G98">
            <v>14.468436708283999</v>
          </cell>
          <cell r="H98">
            <v>60080.185899945049</v>
          </cell>
          <cell r="I98">
            <v>109853.11247848271</v>
          </cell>
        </row>
        <row r="100">
          <cell r="I100">
            <v>23393.963754284792</v>
          </cell>
        </row>
      </sheetData>
      <sheetData sheetId="1"/>
      <sheetData sheetId="2">
        <row r="16">
          <cell r="N16">
            <v>51477.804481722662</v>
          </cell>
          <cell r="AA16">
            <v>48172.831035138515</v>
          </cell>
        </row>
        <row r="17">
          <cell r="N17">
            <v>12013.189011534996</v>
          </cell>
          <cell r="AA17">
            <v>15116.553417715844</v>
          </cell>
        </row>
        <row r="23">
          <cell r="N23">
            <v>15737.340697732372</v>
          </cell>
          <cell r="AA23">
            <v>5796.355811892272</v>
          </cell>
        </row>
        <row r="36">
          <cell r="N36">
            <v>8148.3169628278401</v>
          </cell>
          <cell r="AA36">
            <v>9205.5556417443968</v>
          </cell>
        </row>
        <row r="76">
          <cell r="N76">
            <v>227.9773099834307</v>
          </cell>
          <cell r="AA76">
            <v>1043.368667272</v>
          </cell>
        </row>
        <row r="82">
          <cell r="N82">
            <v>28737.513620254969</v>
          </cell>
          <cell r="AA82">
            <v>34171.209595188418</v>
          </cell>
        </row>
        <row r="103">
          <cell r="N103">
            <v>26.231547233607422</v>
          </cell>
          <cell r="AA103">
            <v>283.1394508381963</v>
          </cell>
        </row>
        <row r="131">
          <cell r="N131">
            <v>4002.1846093937074</v>
          </cell>
          <cell r="AA131">
            <v>10836.44085583911</v>
          </cell>
        </row>
        <row r="146">
          <cell r="N146">
            <v>453.03398100999999</v>
          </cell>
          <cell r="AA146">
            <v>109.968155873444</v>
          </cell>
        </row>
        <row r="149">
          <cell r="N149">
            <v>1042.85296681301</v>
          </cell>
          <cell r="AA149">
            <v>234.26674429395999</v>
          </cell>
        </row>
        <row r="152">
          <cell r="AA152">
            <v>109853.11340706893</v>
          </cell>
        </row>
      </sheetData>
      <sheetData sheetId="3">
        <row r="14">
          <cell r="D14">
            <v>507.31065193795632</v>
          </cell>
          <cell r="G14">
            <v>2009.7774534210996</v>
          </cell>
        </row>
        <row r="16">
          <cell r="D16">
            <v>83814.923475423173</v>
          </cell>
          <cell r="G16">
            <v>76986.905830617587</v>
          </cell>
        </row>
        <row r="17">
          <cell r="D17">
            <v>939.7718216632079</v>
          </cell>
          <cell r="G17">
            <v>2467.3461130834839</v>
          </cell>
        </row>
        <row r="18">
          <cell r="D18">
            <v>193.75923819982498</v>
          </cell>
          <cell r="G18">
            <v>365.62367357633502</v>
          </cell>
        </row>
        <row r="19">
          <cell r="D19">
            <v>181.88550689000002</v>
          </cell>
          <cell r="G19">
            <v>219.19544811846902</v>
          </cell>
        </row>
        <row r="20">
          <cell r="D20">
            <v>10010.753592729649</v>
          </cell>
          <cell r="G20">
            <v>11996.479706271</v>
          </cell>
        </row>
        <row r="21">
          <cell r="D21">
            <v>7376.8155362281477</v>
          </cell>
          <cell r="G21">
            <v>8801.7397143456892</v>
          </cell>
        </row>
        <row r="22">
          <cell r="D22">
            <v>3489.5342090722738</v>
          </cell>
          <cell r="G22">
            <v>1763.2125634351592</v>
          </cell>
        </row>
        <row r="23">
          <cell r="D23">
            <v>3338.4118182789898</v>
          </cell>
          <cell r="G23">
            <v>5243.0684972758399</v>
          </cell>
        </row>
        <row r="24">
          <cell r="G24">
            <v>109853.27658422466</v>
          </cell>
        </row>
      </sheetData>
      <sheetData sheetId="4"/>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347.47705580191996</v>
          </cell>
          <cell r="E14">
            <v>0</v>
          </cell>
          <cell r="F14">
            <v>1514.5691988668441</v>
          </cell>
          <cell r="G14">
            <v>0</v>
          </cell>
          <cell r="H14">
            <v>3505.6499337433588</v>
          </cell>
        </row>
        <row r="18">
          <cell r="C18">
            <v>181.89567640011899</v>
          </cell>
          <cell r="D18">
            <v>2330.687251613434</v>
          </cell>
          <cell r="E18">
            <v>0.3</v>
          </cell>
          <cell r="F18">
            <v>8022.4636217612897</v>
          </cell>
          <cell r="G18">
            <v>0.20000001000000001</v>
          </cell>
          <cell r="H18">
            <v>18062.277845168097</v>
          </cell>
        </row>
        <row r="22">
          <cell r="E22">
            <v>11.151447527257998</v>
          </cell>
          <cell r="F22">
            <v>10807.662037131548</v>
          </cell>
          <cell r="G22">
            <v>0.8</v>
          </cell>
          <cell r="H22">
            <v>10916.521620258934</v>
          </cell>
        </row>
        <row r="23">
          <cell r="C23">
            <v>2.6080000000000001</v>
          </cell>
          <cell r="D23">
            <v>186.20943110733597</v>
          </cell>
        </row>
        <row r="24">
          <cell r="C24">
            <v>16.618167620291779</v>
          </cell>
          <cell r="D24">
            <v>71.767082149019998</v>
          </cell>
        </row>
        <row r="25">
          <cell r="C25">
            <v>8.1485421792290005</v>
          </cell>
          <cell r="D25">
            <v>178.24211613126801</v>
          </cell>
        </row>
        <row r="26">
          <cell r="C26">
            <v>2.1714367585979999</v>
          </cell>
          <cell r="D26">
            <v>207.50670492018463</v>
          </cell>
        </row>
        <row r="27">
          <cell r="C27">
            <v>49.848387850411598</v>
          </cell>
          <cell r="D27">
            <v>180.05718771840304</v>
          </cell>
        </row>
        <row r="28">
          <cell r="C28">
            <v>8.166499359148542</v>
          </cell>
          <cell r="D28">
            <v>33.509227632000005</v>
          </cell>
        </row>
        <row r="29">
          <cell r="C29">
            <v>0.54273975947833786</v>
          </cell>
          <cell r="D29">
            <v>247.45840068848423</v>
          </cell>
        </row>
        <row r="30">
          <cell r="C30">
            <v>0</v>
          </cell>
          <cell r="D30">
            <v>526.13631361808507</v>
          </cell>
          <cell r="E30">
            <v>0</v>
          </cell>
          <cell r="F30">
            <v>533.59732822914191</v>
          </cell>
          <cell r="G30">
            <v>0</v>
          </cell>
          <cell r="H30">
            <v>0.79632016002000006</v>
          </cell>
        </row>
        <row r="31">
          <cell r="C31">
            <v>3.7479200000000001E-3</v>
          </cell>
          <cell r="D31">
            <v>395.72088177059902</v>
          </cell>
          <cell r="E31">
            <v>8.5402000000000004E-4</v>
          </cell>
          <cell r="F31">
            <v>116.08203705353699</v>
          </cell>
          <cell r="G31">
            <v>3.4560999999999999E-4</v>
          </cell>
          <cell r="H31">
            <v>1344.4675209937768</v>
          </cell>
        </row>
        <row r="32">
          <cell r="E32">
            <v>0</v>
          </cell>
          <cell r="F32">
            <v>646.20898285998999</v>
          </cell>
          <cell r="G32">
            <v>0</v>
          </cell>
          <cell r="H32">
            <v>251.67352</v>
          </cell>
        </row>
        <row r="33">
          <cell r="C33">
            <v>76.613902429600003</v>
          </cell>
          <cell r="D33">
            <v>1782.060277295516</v>
          </cell>
          <cell r="E33">
            <v>2.7263071480620038</v>
          </cell>
          <cell r="F33">
            <v>10151.61055591657</v>
          </cell>
          <cell r="G33">
            <v>3.4445412837735647</v>
          </cell>
          <cell r="H33">
            <v>21051.510114612378</v>
          </cell>
        </row>
        <row r="34">
          <cell r="C34">
            <v>99.5</v>
          </cell>
          <cell r="D34">
            <v>2907.8735003277898</v>
          </cell>
          <cell r="E34">
            <v>8.8000000000000007</v>
          </cell>
          <cell r="F34">
            <v>5944.3991449279674</v>
          </cell>
          <cell r="G34">
            <v>5.4</v>
          </cell>
          <cell r="H34">
            <v>5738.1262059300461</v>
          </cell>
        </row>
        <row r="36">
          <cell r="C36">
            <v>35.723890565000005</v>
          </cell>
          <cell r="D36">
            <v>922.17998252629241</v>
          </cell>
          <cell r="E36">
            <v>3.5015984489400003</v>
          </cell>
          <cell r="F36">
            <v>-143.30885687820975</v>
          </cell>
          <cell r="G36">
            <v>-0.77364071087533182</v>
          </cell>
          <cell r="H36">
            <v>453.51453436331826</v>
          </cell>
        </row>
        <row r="37">
          <cell r="C37">
            <v>59.007041771148742</v>
          </cell>
          <cell r="D37">
            <v>786.98070839760817</v>
          </cell>
          <cell r="E37">
            <v>5.5387214999999997E-3</v>
          </cell>
          <cell r="F37">
            <v>66.773506948421002</v>
          </cell>
          <cell r="G37">
            <v>-2.2017344999999905E-3</v>
          </cell>
          <cell r="H37">
            <v>398.08433167529688</v>
          </cell>
        </row>
        <row r="38">
          <cell r="C38">
            <v>540.848032613025</v>
          </cell>
          <cell r="D38">
            <v>11103.866121697942</v>
          </cell>
          <cell r="E38">
            <v>26.485745865760006</v>
          </cell>
          <cell r="F38">
            <v>37660.057556817097</v>
          </cell>
          <cell r="G38">
            <v>9.0690444583982313</v>
          </cell>
          <cell r="H38">
            <v>61722.561946905225</v>
          </cell>
          <cell r="I38">
            <v>111062.87844835746</v>
          </cell>
        </row>
        <row r="40">
          <cell r="I40">
            <v>23285.162675190175</v>
          </cell>
        </row>
        <row r="68">
          <cell r="C68">
            <v>0.93839148260362737</v>
          </cell>
          <cell r="D68">
            <v>0.33644351496085256</v>
          </cell>
        </row>
        <row r="69">
          <cell r="C69">
            <v>20.205124891900002</v>
          </cell>
          <cell r="D69">
            <v>95.798002159980001</v>
          </cell>
          <cell r="E69">
            <v>0</v>
          </cell>
          <cell r="F69">
            <v>4.0580489485000003E-2</v>
          </cell>
          <cell r="G69">
            <v>0</v>
          </cell>
          <cell r="H69">
            <v>7.9992310344827589</v>
          </cell>
        </row>
        <row r="72">
          <cell r="C72">
            <v>111.04950712437244</v>
          </cell>
          <cell r="D72">
            <v>2701.0972050956252</v>
          </cell>
          <cell r="E72">
            <v>1E-8</v>
          </cell>
          <cell r="F72">
            <v>3640.9096009811956</v>
          </cell>
          <cell r="G72">
            <v>1.5966925900000001E-3</v>
          </cell>
          <cell r="H72">
            <v>4649.8618179268897</v>
          </cell>
        </row>
        <row r="76">
          <cell r="E76">
            <v>9.4758099999999992</v>
          </cell>
          <cell r="F76">
            <v>15942.26343283373</v>
          </cell>
          <cell r="G76">
            <v>7.3647538199999999E-4</v>
          </cell>
          <cell r="H76">
            <v>25347.267807706103</v>
          </cell>
        </row>
        <row r="77">
          <cell r="C77">
            <v>5.8360398000000001E-2</v>
          </cell>
          <cell r="D77">
            <v>0</v>
          </cell>
        </row>
        <row r="78">
          <cell r="C78">
            <v>0</v>
          </cell>
          <cell r="D78">
            <v>0</v>
          </cell>
        </row>
        <row r="79">
          <cell r="C79">
            <v>0</v>
          </cell>
          <cell r="D79">
            <v>343.27483540989999</v>
          </cell>
        </row>
        <row r="80">
          <cell r="C80">
            <v>0</v>
          </cell>
          <cell r="D80">
            <v>706.45292131813505</v>
          </cell>
        </row>
        <row r="81">
          <cell r="C81">
            <v>7.3508115395029989</v>
          </cell>
          <cell r="D81">
            <v>1261.195409805794</v>
          </cell>
        </row>
        <row r="82">
          <cell r="C82">
            <v>9.3397431627889986</v>
          </cell>
          <cell r="D82">
            <v>15.784051302124</v>
          </cell>
        </row>
        <row r="83">
          <cell r="C83">
            <v>0</v>
          </cell>
          <cell r="D83">
            <v>1.4326663900000001</v>
          </cell>
        </row>
        <row r="84">
          <cell r="E84">
            <v>2.6525199999999998E-3</v>
          </cell>
          <cell r="F84">
            <v>5892.2397950630766</v>
          </cell>
          <cell r="G84">
            <v>0</v>
          </cell>
          <cell r="H84">
            <v>13155.363491364036</v>
          </cell>
        </row>
        <row r="86">
          <cell r="C86">
            <v>581.00134264000008</v>
          </cell>
          <cell r="D86">
            <v>2022.753806130946</v>
          </cell>
        </row>
        <row r="89">
          <cell r="C89">
            <v>0</v>
          </cell>
          <cell r="D89">
            <v>788.93883728886931</v>
          </cell>
        </row>
        <row r="92">
          <cell r="C92">
            <v>340.27161856547718</v>
          </cell>
          <cell r="D92">
            <v>576.81961836000005</v>
          </cell>
        </row>
        <row r="93">
          <cell r="C93">
            <v>3.2494990581999998E-2</v>
          </cell>
          <cell r="D93">
            <v>865.45893352040298</v>
          </cell>
          <cell r="E93">
            <v>3.74735E-3</v>
          </cell>
          <cell r="F93">
            <v>189.88197151085799</v>
          </cell>
          <cell r="G93">
            <v>0</v>
          </cell>
          <cell r="H93">
            <v>2179.1442066278209</v>
          </cell>
        </row>
        <row r="94">
          <cell r="E94">
            <v>0</v>
          </cell>
          <cell r="F94">
            <v>0</v>
          </cell>
          <cell r="G94">
            <v>0</v>
          </cell>
          <cell r="H94">
            <v>147.59342607995001</v>
          </cell>
        </row>
        <row r="95">
          <cell r="C95">
            <v>622.60597100274697</v>
          </cell>
          <cell r="D95">
            <v>2239.7131071868475</v>
          </cell>
          <cell r="E95">
            <v>1.1000000000000001</v>
          </cell>
          <cell r="F95">
            <v>5838.7577427567858</v>
          </cell>
          <cell r="G95">
            <v>28.10472</v>
          </cell>
          <cell r="H95">
            <v>15087.164798676999</v>
          </cell>
        </row>
        <row r="96">
          <cell r="C96">
            <v>133.41293545127061</v>
          </cell>
          <cell r="D96">
            <v>130.69185702568063</v>
          </cell>
        </row>
        <row r="97">
          <cell r="C97">
            <v>180.05439741883924</v>
          </cell>
          <cell r="D97">
            <v>1364.1824650697531</v>
          </cell>
          <cell r="E97">
            <v>3</v>
          </cell>
          <cell r="F97">
            <v>2920.2390437088975</v>
          </cell>
          <cell r="G97">
            <v>0</v>
          </cell>
          <cell r="H97">
            <v>902.09832422636964</v>
          </cell>
        </row>
        <row r="98">
          <cell r="C98">
            <v>2006.3206986680839</v>
          </cell>
          <cell r="D98">
            <v>13113.98915957902</v>
          </cell>
          <cell r="E98">
            <v>13.582209879999999</v>
          </cell>
          <cell r="F98">
            <v>34424.33216734403</v>
          </cell>
          <cell r="G98">
            <v>28.107053167971998</v>
          </cell>
          <cell r="H98">
            <v>61476.42927983265</v>
          </cell>
          <cell r="I98">
            <v>111062.78056847175</v>
          </cell>
        </row>
        <row r="100">
          <cell r="I100">
            <v>23967.488144307736</v>
          </cell>
        </row>
      </sheetData>
      <sheetData sheetId="1"/>
      <sheetData sheetId="2">
        <row r="16">
          <cell r="N16">
            <v>49644.057039481551</v>
          </cell>
          <cell r="AA16">
            <v>48123.227207885546</v>
          </cell>
        </row>
        <row r="17">
          <cell r="N17">
            <v>11644.849699944651</v>
          </cell>
          <cell r="AA17">
            <v>15120.320774582249</v>
          </cell>
        </row>
        <row r="23">
          <cell r="N23">
            <v>16182.60730361286</v>
          </cell>
          <cell r="AA23">
            <v>5801.4404116328305</v>
          </cell>
        </row>
        <row r="36">
          <cell r="N36">
            <v>8667.8497607142945</v>
          </cell>
          <cell r="AA36">
            <v>9106.434227499818</v>
          </cell>
        </row>
        <row r="76">
          <cell r="N76">
            <v>220.71888981254924</v>
          </cell>
          <cell r="AA76">
            <v>1129.8012134329999</v>
          </cell>
        </row>
        <row r="82">
          <cell r="N82">
            <v>31234.186395872672</v>
          </cell>
          <cell r="AA82">
            <v>35959.563903371491</v>
          </cell>
        </row>
        <row r="103">
          <cell r="N103">
            <v>22.64</v>
          </cell>
          <cell r="AA103">
            <v>292.52404562599469</v>
          </cell>
        </row>
        <row r="131">
          <cell r="N131">
            <v>3731.7731108555058</v>
          </cell>
          <cell r="AA131">
            <v>10342.431033933215</v>
          </cell>
        </row>
        <row r="146">
          <cell r="N146">
            <v>452.92338100999996</v>
          </cell>
          <cell r="AA146">
            <v>77.127472022184008</v>
          </cell>
        </row>
        <row r="149">
          <cell r="N149">
            <v>906.06878430798952</v>
          </cell>
          <cell r="AA149">
            <v>230.36339327794991</v>
          </cell>
        </row>
        <row r="152">
          <cell r="AA152">
            <v>111062.91263641414</v>
          </cell>
        </row>
      </sheetData>
      <sheetData sheetId="3">
        <row r="14">
          <cell r="D14">
            <v>576.37063003954461</v>
          </cell>
          <cell r="G14">
            <v>2047.9614487429185</v>
          </cell>
        </row>
        <row r="16">
          <cell r="D16">
            <v>84726.052919507521</v>
          </cell>
          <cell r="G16">
            <v>77974.779241521988</v>
          </cell>
        </row>
        <row r="17">
          <cell r="D17">
            <v>868.24958215635024</v>
          </cell>
          <cell r="G17">
            <v>2263.0319855812236</v>
          </cell>
        </row>
        <row r="18">
          <cell r="D18">
            <v>194.33672144597401</v>
          </cell>
          <cell r="G18">
            <v>694.01556195016212</v>
          </cell>
        </row>
        <row r="19">
          <cell r="D19">
            <v>183.158952</v>
          </cell>
          <cell r="G19">
            <v>236.124105572259</v>
          </cell>
        </row>
        <row r="20">
          <cell r="D20">
            <v>10260.465105477695</v>
          </cell>
          <cell r="G20">
            <v>12605.530863549222</v>
          </cell>
        </row>
        <row r="21">
          <cell r="D21">
            <v>7482.8864435127362</v>
          </cell>
          <cell r="G21">
            <v>8404.1447230702852</v>
          </cell>
        </row>
        <row r="22">
          <cell r="D22">
            <v>3603.5384386575574</v>
          </cell>
          <cell r="G22">
            <v>1831.7209150658</v>
          </cell>
        </row>
        <row r="23">
          <cell r="D23">
            <v>3167.6679141766999</v>
          </cell>
          <cell r="G23">
            <v>5005.3734165461037</v>
          </cell>
        </row>
        <row r="24">
          <cell r="G24">
            <v>111062.78091621993</v>
          </cell>
        </row>
      </sheetData>
      <sheetData sheetId="4"/>
      <sheetData sheetId="5"/>
      <sheetData sheetId="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407.10900282149998</v>
          </cell>
          <cell r="E14">
            <v>0</v>
          </cell>
          <cell r="F14">
            <v>1507.9554070997899</v>
          </cell>
          <cell r="G14">
            <v>0</v>
          </cell>
          <cell r="H14">
            <v>3508.2723695184559</v>
          </cell>
        </row>
        <row r="18">
          <cell r="C18">
            <v>49.460449338871001</v>
          </cell>
          <cell r="D18">
            <v>2144.4268331672283</v>
          </cell>
          <cell r="E18">
            <v>0.3</v>
          </cell>
          <cell r="F18">
            <v>8307.966696851543</v>
          </cell>
          <cell r="G18">
            <v>0.20117492000000001</v>
          </cell>
          <cell r="H18">
            <v>17828.137865573248</v>
          </cell>
        </row>
        <row r="22">
          <cell r="E22">
            <v>9.9622781743700006</v>
          </cell>
          <cell r="F22">
            <v>12293.803334703149</v>
          </cell>
          <cell r="G22">
            <v>0.8</v>
          </cell>
          <cell r="H22">
            <v>9987.4822958901968</v>
          </cell>
        </row>
        <row r="23">
          <cell r="C23">
            <v>2.508</v>
          </cell>
          <cell r="D23">
            <v>213.87936522242902</v>
          </cell>
        </row>
        <row r="24">
          <cell r="C24">
            <v>31.219535907665779</v>
          </cell>
          <cell r="D24">
            <v>101.93057650902</v>
          </cell>
        </row>
        <row r="25">
          <cell r="C25">
            <v>10.31855870845</v>
          </cell>
          <cell r="D25">
            <v>185.81948073463801</v>
          </cell>
        </row>
        <row r="26">
          <cell r="C26">
            <v>1.9714286818359998</v>
          </cell>
          <cell r="D26">
            <v>93.116906631689886</v>
          </cell>
        </row>
        <row r="27">
          <cell r="C27">
            <v>52.155810466006599</v>
          </cell>
          <cell r="D27">
            <v>141.33576507948339</v>
          </cell>
        </row>
        <row r="28">
          <cell r="C28">
            <v>8.1849929745596821</v>
          </cell>
          <cell r="D28">
            <v>32.333449351999995</v>
          </cell>
        </row>
        <row r="29">
          <cell r="C29">
            <v>0.49249424088417343</v>
          </cell>
          <cell r="D29">
            <v>257.46889314847868</v>
          </cell>
        </row>
        <row r="30">
          <cell r="C30">
            <v>0</v>
          </cell>
          <cell r="D30">
            <v>527.67142236906705</v>
          </cell>
          <cell r="E30">
            <v>0</v>
          </cell>
          <cell r="F30">
            <v>537.15445927649102</v>
          </cell>
          <cell r="G30">
            <v>0</v>
          </cell>
          <cell r="H30">
            <v>1.6292838999799999</v>
          </cell>
        </row>
        <row r="31">
          <cell r="C31">
            <v>2.6382579999999999E-2</v>
          </cell>
          <cell r="D31">
            <v>376.72572767130106</v>
          </cell>
          <cell r="E31">
            <v>9.7916999999999991E-4</v>
          </cell>
          <cell r="F31">
            <v>113.692490767355</v>
          </cell>
          <cell r="G31">
            <v>0.10016646</v>
          </cell>
          <cell r="H31">
            <v>1311.539823744351</v>
          </cell>
        </row>
        <row r="32">
          <cell r="E32">
            <v>0</v>
          </cell>
          <cell r="F32">
            <v>587.51816064000002</v>
          </cell>
          <cell r="G32">
            <v>0</v>
          </cell>
          <cell r="H32">
            <v>251.83534</v>
          </cell>
        </row>
        <row r="33">
          <cell r="C33">
            <v>75.440027106000002</v>
          </cell>
          <cell r="D33">
            <v>1841.040537867807</v>
          </cell>
          <cell r="E33">
            <v>2.6263070771620036</v>
          </cell>
          <cell r="F33">
            <v>10140.647098708574</v>
          </cell>
          <cell r="G33">
            <v>3.3327676830145649</v>
          </cell>
          <cell r="H33">
            <v>21199.593088989779</v>
          </cell>
        </row>
        <row r="34">
          <cell r="C34">
            <v>99.5</v>
          </cell>
          <cell r="D34">
            <v>2894.7599732909439</v>
          </cell>
          <cell r="E34">
            <v>8.8000000000000007</v>
          </cell>
          <cell r="F34">
            <v>5944.9742857017663</v>
          </cell>
          <cell r="G34">
            <v>5.4</v>
          </cell>
          <cell r="H34">
            <v>5751.317678578409</v>
          </cell>
        </row>
        <row r="36">
          <cell r="C36">
            <v>36.940521978</v>
          </cell>
          <cell r="D36">
            <v>931.39642995976078</v>
          </cell>
          <cell r="E36">
            <v>3.6299478188999998</v>
          </cell>
          <cell r="F36">
            <v>-126.83854179679474</v>
          </cell>
          <cell r="G36">
            <v>-0.82830866312997298</v>
          </cell>
          <cell r="H36">
            <v>488.22508538455691</v>
          </cell>
        </row>
        <row r="37">
          <cell r="C37">
            <v>59.707355749815804</v>
          </cell>
          <cell r="D37">
            <v>804.66104055292271</v>
          </cell>
          <cell r="E37">
            <v>5.5079645000000003E-3</v>
          </cell>
          <cell r="F37">
            <v>66.198256532000002</v>
          </cell>
          <cell r="G37">
            <v>8.9534494000000006E-3</v>
          </cell>
          <cell r="H37">
            <v>359.1069982828385</v>
          </cell>
        </row>
        <row r="38">
          <cell r="C38">
            <v>427.92555092128902</v>
          </cell>
          <cell r="D38">
            <v>10953.675404378269</v>
          </cell>
          <cell r="E38">
            <v>25.325020204932002</v>
          </cell>
          <cell r="F38">
            <v>39373.071648483878</v>
          </cell>
          <cell r="G38">
            <v>9.01475384928459</v>
          </cell>
          <cell r="H38">
            <v>60687.139829861822</v>
          </cell>
          <cell r="I38">
            <v>111476.15220769946</v>
          </cell>
        </row>
        <row r="40">
          <cell r="I40">
            <v>22857.428427859824</v>
          </cell>
        </row>
        <row r="68">
          <cell r="C68">
            <v>0.66039673095383278</v>
          </cell>
          <cell r="D68">
            <v>0.36699499502417754</v>
          </cell>
        </row>
        <row r="69">
          <cell r="C69">
            <v>14.898879768600001</v>
          </cell>
          <cell r="D69">
            <v>147.26927578996001</v>
          </cell>
          <cell r="E69">
            <v>0</v>
          </cell>
          <cell r="F69">
            <v>3.4937853705000001E-2</v>
          </cell>
          <cell r="G69">
            <v>0</v>
          </cell>
          <cell r="H69">
            <v>8.7449996551724158</v>
          </cell>
        </row>
        <row r="72">
          <cell r="C72">
            <v>176.77514202043349</v>
          </cell>
          <cell r="D72">
            <v>2547.9895997402941</v>
          </cell>
          <cell r="E72">
            <v>1.26025751E-3</v>
          </cell>
          <cell r="F72">
            <v>3611.2166904649748</v>
          </cell>
          <cell r="G72">
            <v>1.5965121859999999E-3</v>
          </cell>
          <cell r="H72">
            <v>5249.6686905139959</v>
          </cell>
        </row>
        <row r="76">
          <cell r="E76">
            <v>9.5002900000000015</v>
          </cell>
          <cell r="F76">
            <v>16905.177812427912</v>
          </cell>
          <cell r="G76">
            <v>7.3639216999999996E-4</v>
          </cell>
          <cell r="H76">
            <v>24990.470503459645</v>
          </cell>
        </row>
        <row r="77">
          <cell r="C77">
            <v>0.68642039799999999</v>
          </cell>
          <cell r="D77">
            <v>0</v>
          </cell>
        </row>
        <row r="78">
          <cell r="C78">
            <v>0</v>
          </cell>
          <cell r="D78">
            <v>0</v>
          </cell>
        </row>
        <row r="79">
          <cell r="C79">
            <v>0</v>
          </cell>
          <cell r="D79">
            <v>364.44174389942998</v>
          </cell>
        </row>
        <row r="80">
          <cell r="C80">
            <v>0</v>
          </cell>
          <cell r="D80">
            <v>794.440289941115</v>
          </cell>
        </row>
        <row r="81">
          <cell r="C81">
            <v>7.0430673508200003</v>
          </cell>
          <cell r="D81">
            <v>1197.6709740517517</v>
          </cell>
        </row>
        <row r="82">
          <cell r="C82">
            <v>9.6335600513070005</v>
          </cell>
          <cell r="D82">
            <v>16.011729270549999</v>
          </cell>
        </row>
        <row r="83">
          <cell r="C83">
            <v>0</v>
          </cell>
          <cell r="D83">
            <v>1.6959797700000001</v>
          </cell>
        </row>
        <row r="84">
          <cell r="E84">
            <v>2.6525199999999998E-3</v>
          </cell>
          <cell r="F84">
            <v>5888.2479951254336</v>
          </cell>
          <cell r="G84">
            <v>0</v>
          </cell>
          <cell r="H84">
            <v>12744.158160436176</v>
          </cell>
        </row>
        <row r="86">
          <cell r="C86">
            <v>559.32263135000005</v>
          </cell>
          <cell r="D86">
            <v>2063.4824366794669</v>
          </cell>
        </row>
        <row r="89">
          <cell r="C89">
            <v>0</v>
          </cell>
          <cell r="D89">
            <v>810.74105772026917</v>
          </cell>
        </row>
        <row r="92">
          <cell r="C92">
            <v>344.11726584320866</v>
          </cell>
          <cell r="D92">
            <v>632.40461835999997</v>
          </cell>
        </row>
        <row r="93">
          <cell r="C93">
            <v>6.0959119999999999E-2</v>
          </cell>
          <cell r="D93">
            <v>863.81599129103097</v>
          </cell>
          <cell r="E93">
            <v>2.8071769999999999E-2</v>
          </cell>
          <cell r="F93">
            <v>196.22027822551502</v>
          </cell>
          <cell r="G93">
            <v>0</v>
          </cell>
          <cell r="H93">
            <v>2095.185690097891</v>
          </cell>
        </row>
        <row r="94">
          <cell r="E94">
            <v>0</v>
          </cell>
          <cell r="F94">
            <v>20.012500019939999</v>
          </cell>
          <cell r="G94">
            <v>0</v>
          </cell>
          <cell r="H94">
            <v>96.526997039999998</v>
          </cell>
        </row>
        <row r="95">
          <cell r="C95">
            <v>377.78619465569096</v>
          </cell>
          <cell r="D95">
            <v>2218.6842944255573</v>
          </cell>
          <cell r="E95">
            <v>1.2000000000000002</v>
          </cell>
          <cell r="F95">
            <v>5763.5486687314951</v>
          </cell>
          <cell r="G95">
            <v>25.437010000000001</v>
          </cell>
          <cell r="H95">
            <v>15090.0877154506</v>
          </cell>
        </row>
        <row r="96">
          <cell r="C96">
            <v>133.1249405230175</v>
          </cell>
          <cell r="D96">
            <v>131.29900264751259</v>
          </cell>
        </row>
        <row r="97">
          <cell r="C97">
            <v>180.73397436370217</v>
          </cell>
          <cell r="D97">
            <v>1448.2164097854379</v>
          </cell>
          <cell r="E97">
            <v>3.5199993699999998</v>
          </cell>
          <cell r="F97">
            <v>2939.59652391284</v>
          </cell>
          <cell r="G97">
            <v>0</v>
          </cell>
          <cell r="H97">
            <v>794.26464631981821</v>
          </cell>
        </row>
        <row r="98">
          <cell r="C98">
            <v>1804.8434321757338</v>
          </cell>
          <cell r="D98">
            <v>13238.523398367401</v>
          </cell>
          <cell r="E98">
            <v>14.252273917510001</v>
          </cell>
          <cell r="F98">
            <v>35324.055406761814</v>
          </cell>
          <cell r="G98">
            <v>25.439342904356003</v>
          </cell>
          <cell r="H98">
            <v>61069.109402969094</v>
          </cell>
          <cell r="I98">
            <v>111476.2232570959</v>
          </cell>
        </row>
        <row r="100">
          <cell r="I100">
            <v>23644.51224701765</v>
          </cell>
        </row>
      </sheetData>
      <sheetData sheetId="1"/>
      <sheetData sheetId="2">
        <row r="16">
          <cell r="N16">
            <v>51076.872257473326</v>
          </cell>
          <cell r="AA16">
            <v>49063.247321673756</v>
          </cell>
        </row>
        <row r="17">
          <cell r="N17">
            <v>11381.677853689871</v>
          </cell>
          <cell r="AA17">
            <v>15043.430433789003</v>
          </cell>
        </row>
        <row r="23">
          <cell r="N23">
            <v>16119.024047011742</v>
          </cell>
          <cell r="AA23">
            <v>5849.9100624815619</v>
          </cell>
        </row>
        <row r="36">
          <cell r="N36">
            <v>8972.8899511389063</v>
          </cell>
          <cell r="AA36">
            <v>9170.2590112277812</v>
          </cell>
        </row>
        <row r="76">
          <cell r="N76">
            <v>303.24393989906179</v>
          </cell>
          <cell r="AA76">
            <v>958.48074923699994</v>
          </cell>
        </row>
        <row r="82">
          <cell r="N82">
            <v>29731.698883162233</v>
          </cell>
          <cell r="AA82">
            <v>35126.62575947908</v>
          </cell>
        </row>
        <row r="103">
          <cell r="N103">
            <v>22.720325258965524</v>
          </cell>
          <cell r="AA103">
            <v>291.58877735278514</v>
          </cell>
        </row>
        <row r="131">
          <cell r="N131">
            <v>3949.7988086856203</v>
          </cell>
          <cell r="AA131">
            <v>10765.64727940521</v>
          </cell>
        </row>
        <row r="146">
          <cell r="N146">
            <v>452.53359142999994</v>
          </cell>
          <cell r="AA146">
            <v>55.829435424907999</v>
          </cell>
        </row>
        <row r="149">
          <cell r="N149">
            <v>847.46035447899976</v>
          </cell>
          <cell r="AA149">
            <v>194.51688038894014</v>
          </cell>
        </row>
        <row r="152">
          <cell r="AA152">
            <v>111476.10808635007</v>
          </cell>
        </row>
      </sheetData>
      <sheetData sheetId="3">
        <row r="14">
          <cell r="D14">
            <v>462.24716154049241</v>
          </cell>
          <cell r="G14">
            <v>1844.5690043687855</v>
          </cell>
        </row>
        <row r="16">
          <cell r="D16">
            <v>85406.217188803799</v>
          </cell>
          <cell r="G16">
            <v>78400.895659374131</v>
          </cell>
        </row>
        <row r="17">
          <cell r="D17">
            <v>877.49818704082111</v>
          </cell>
          <cell r="G17">
            <v>2325.9052310862958</v>
          </cell>
        </row>
        <row r="18">
          <cell r="D18">
            <v>195.51585250008398</v>
          </cell>
          <cell r="G18">
            <v>612.16064142319794</v>
          </cell>
        </row>
        <row r="19">
          <cell r="D19">
            <v>126.72793514</v>
          </cell>
          <cell r="G19">
            <v>153.98265136591903</v>
          </cell>
        </row>
        <row r="20">
          <cell r="D20">
            <v>10150.669245073019</v>
          </cell>
          <cell r="G20">
            <v>13146.846514548142</v>
          </cell>
        </row>
        <row r="21">
          <cell r="D21">
            <v>7644.6134622334257</v>
          </cell>
          <cell r="G21">
            <v>8371.6540294209863</v>
          </cell>
        </row>
        <row r="22">
          <cell r="D22">
            <v>3499.9200807595143</v>
          </cell>
          <cell r="G22">
            <v>1806.5292239257869</v>
          </cell>
        </row>
        <row r="23">
          <cell r="D23">
            <v>3112.687501984783</v>
          </cell>
          <cell r="G23">
            <v>4813.8315843504297</v>
          </cell>
        </row>
        <row r="24">
          <cell r="G24">
            <v>111476.36488685367</v>
          </cell>
        </row>
      </sheetData>
      <sheetData sheetId="4"/>
      <sheetData sheetId="5"/>
      <sheetData sheetId="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525.58099923121995</v>
          </cell>
          <cell r="E14">
            <v>0</v>
          </cell>
          <cell r="F14">
            <v>1483.8703085238078</v>
          </cell>
          <cell r="G14">
            <v>0</v>
          </cell>
          <cell r="H14">
            <v>3509.3445976964813</v>
          </cell>
        </row>
        <row r="18">
          <cell r="C18">
            <v>69.234967768225005</v>
          </cell>
          <cell r="D18">
            <v>2354.5100148904971</v>
          </cell>
          <cell r="E18">
            <v>7.0625963693000005E-2</v>
          </cell>
          <cell r="F18">
            <v>7957.5619555007315</v>
          </cell>
          <cell r="G18">
            <v>0.20000531000000002</v>
          </cell>
          <cell r="H18">
            <v>17492.437647367093</v>
          </cell>
        </row>
        <row r="22">
          <cell r="E22">
            <v>22.489055542508002</v>
          </cell>
          <cell r="F22">
            <v>12272.364828394993</v>
          </cell>
          <cell r="G22">
            <v>0.75</v>
          </cell>
          <cell r="H22">
            <v>9887.0957857083267</v>
          </cell>
        </row>
        <row r="23">
          <cell r="C23">
            <v>0.62870000000000004</v>
          </cell>
          <cell r="D23">
            <v>293.77517514080898</v>
          </cell>
        </row>
        <row r="24">
          <cell r="C24">
            <v>9.4293650676657812</v>
          </cell>
          <cell r="D24">
            <v>86.334326369029995</v>
          </cell>
        </row>
        <row r="25">
          <cell r="C25">
            <v>7.8686209563860006</v>
          </cell>
          <cell r="D25">
            <v>152.64268268301296</v>
          </cell>
        </row>
        <row r="26">
          <cell r="C26">
            <v>1.8914673936070001</v>
          </cell>
          <cell r="D26">
            <v>141.94637517874713</v>
          </cell>
        </row>
        <row r="27">
          <cell r="C27">
            <v>56.436394525222575</v>
          </cell>
          <cell r="D27">
            <v>141.55479738716076</v>
          </cell>
        </row>
        <row r="28">
          <cell r="C28">
            <v>8.7192077445596823</v>
          </cell>
          <cell r="D28">
            <v>44.125730791999999</v>
          </cell>
        </row>
        <row r="29">
          <cell r="C29">
            <v>0.59803208088417337</v>
          </cell>
          <cell r="D29">
            <v>251.44008635847672</v>
          </cell>
        </row>
        <row r="30">
          <cell r="C30">
            <v>0</v>
          </cell>
          <cell r="D30">
            <v>529.26227977645294</v>
          </cell>
          <cell r="E30">
            <v>0</v>
          </cell>
          <cell r="F30">
            <v>535.83561858806593</v>
          </cell>
          <cell r="G30">
            <v>0</v>
          </cell>
          <cell r="H30">
            <v>2.7395020899700002</v>
          </cell>
        </row>
        <row r="31">
          <cell r="C31">
            <v>4.1142419999999999E-2</v>
          </cell>
          <cell r="D31">
            <v>305.95936052584</v>
          </cell>
          <cell r="E31">
            <v>3.03514E-3</v>
          </cell>
          <cell r="F31">
            <v>107.46138190266498</v>
          </cell>
          <cell r="G31">
            <v>0.10020673000000001</v>
          </cell>
          <cell r="H31">
            <v>1236.057767457258</v>
          </cell>
        </row>
        <row r="32">
          <cell r="E32">
            <v>0</v>
          </cell>
          <cell r="F32">
            <v>615.51532062999001</v>
          </cell>
          <cell r="G32">
            <v>0</v>
          </cell>
          <cell r="H32">
            <v>201.72961000000001</v>
          </cell>
        </row>
        <row r="33">
          <cell r="C33">
            <v>68.752666998709003</v>
          </cell>
          <cell r="D33">
            <v>2015.1591293006295</v>
          </cell>
          <cell r="E33">
            <v>2.626319576862004</v>
          </cell>
          <cell r="F33">
            <v>10679.775330832001</v>
          </cell>
          <cell r="G33">
            <v>3.2797673197635646</v>
          </cell>
          <cell r="H33">
            <v>20222.146584484472</v>
          </cell>
        </row>
        <row r="34">
          <cell r="C34">
            <v>99.53</v>
          </cell>
          <cell r="D34">
            <v>2897.8237977224157</v>
          </cell>
          <cell r="E34">
            <v>8.75</v>
          </cell>
          <cell r="F34">
            <v>5943.3913832627131</v>
          </cell>
          <cell r="G34">
            <v>5.38</v>
          </cell>
          <cell r="H34">
            <v>5802.0983774335054</v>
          </cell>
        </row>
        <row r="36">
          <cell r="C36">
            <v>39.838836213999997</v>
          </cell>
          <cell r="D36">
            <v>919.56101379056588</v>
          </cell>
          <cell r="E36">
            <v>3.8690695989099999</v>
          </cell>
          <cell r="F36">
            <v>-88.971672953958603</v>
          </cell>
          <cell r="G36">
            <v>-0.79495300795755908</v>
          </cell>
          <cell r="H36">
            <v>629.71748633024129</v>
          </cell>
        </row>
        <row r="37">
          <cell r="C37">
            <v>60.784842210300589</v>
          </cell>
          <cell r="D37">
            <v>780.74382121345479</v>
          </cell>
          <cell r="E37">
            <v>1.2022411E-3</v>
          </cell>
          <cell r="F37">
            <v>48.626150276165006</v>
          </cell>
          <cell r="G37">
            <v>0.71768030410000005</v>
          </cell>
          <cell r="H37">
            <v>387.6645846238975</v>
          </cell>
        </row>
        <row r="38">
          <cell r="C38">
            <v>423.75423656875978</v>
          </cell>
          <cell r="D38">
            <v>11440.419590360312</v>
          </cell>
          <cell r="E38">
            <v>37.809308063073004</v>
          </cell>
          <cell r="F38">
            <v>39555.430604957175</v>
          </cell>
          <cell r="G38">
            <v>9.6327066559060057</v>
          </cell>
          <cell r="H38">
            <v>59371.041943191245</v>
          </cell>
          <cell r="I38">
            <v>110838.03874899648</v>
          </cell>
        </row>
        <row r="40">
          <cell r="I40">
            <v>21905.784079995654</v>
          </cell>
        </row>
        <row r="68">
          <cell r="C68">
            <v>0.52515994199010063</v>
          </cell>
          <cell r="D68">
            <v>0.42763787936809927</v>
          </cell>
        </row>
        <row r="69">
          <cell r="C69">
            <v>22.874283605900001</v>
          </cell>
          <cell r="D69">
            <v>172.81387092994001</v>
          </cell>
          <cell r="E69">
            <v>0</v>
          </cell>
          <cell r="F69">
            <v>2.9795439407999998E-2</v>
          </cell>
          <cell r="G69">
            <v>0</v>
          </cell>
          <cell r="H69">
            <v>3.7604161220159154</v>
          </cell>
        </row>
        <row r="72">
          <cell r="C72">
            <v>240.68796289984465</v>
          </cell>
          <cell r="D72">
            <v>2699.1491860823189</v>
          </cell>
          <cell r="E72">
            <v>3.1122662778E-2</v>
          </cell>
          <cell r="F72">
            <v>3175.9113940405164</v>
          </cell>
          <cell r="G72">
            <v>1.362061636E-3</v>
          </cell>
          <cell r="H72">
            <v>5547.737367701382</v>
          </cell>
        </row>
        <row r="76">
          <cell r="E76">
            <v>9.5223700000000004</v>
          </cell>
          <cell r="F76">
            <v>17114.586631496539</v>
          </cell>
          <cell r="G76">
            <v>7.36334557E-4</v>
          </cell>
          <cell r="H76">
            <v>24794.367831034284</v>
          </cell>
        </row>
        <row r="77">
          <cell r="C77">
            <v>0.972350398</v>
          </cell>
          <cell r="D77">
            <v>0</v>
          </cell>
        </row>
        <row r="78">
          <cell r="C78">
            <v>0</v>
          </cell>
          <cell r="D78">
            <v>0</v>
          </cell>
        </row>
        <row r="79">
          <cell r="C79">
            <v>0</v>
          </cell>
          <cell r="D79">
            <v>443.05483173016597</v>
          </cell>
        </row>
        <row r="80">
          <cell r="C80">
            <v>0</v>
          </cell>
          <cell r="D80">
            <v>739.08492833576099</v>
          </cell>
        </row>
        <row r="81">
          <cell r="C81">
            <v>7.1260891793980008</v>
          </cell>
          <cell r="D81">
            <v>1173.3129617078978</v>
          </cell>
        </row>
        <row r="82">
          <cell r="C82">
            <v>9.933566265004</v>
          </cell>
          <cell r="D82">
            <v>16.253226046278002</v>
          </cell>
        </row>
        <row r="83">
          <cell r="C83">
            <v>0</v>
          </cell>
          <cell r="D83">
            <v>1.73105274</v>
          </cell>
        </row>
        <row r="84">
          <cell r="E84">
            <v>2.6525199999999998E-3</v>
          </cell>
          <cell r="F84">
            <v>5974.0477337811935</v>
          </cell>
          <cell r="G84">
            <v>0</v>
          </cell>
          <cell r="H84">
            <v>11425.470698332221</v>
          </cell>
        </row>
        <row r="86">
          <cell r="C86">
            <v>570.52339619000008</v>
          </cell>
          <cell r="D86">
            <v>2060.8753402141897</v>
          </cell>
        </row>
        <row r="89">
          <cell r="C89">
            <v>0</v>
          </cell>
          <cell r="D89">
            <v>814.36829688523653</v>
          </cell>
        </row>
        <row r="92">
          <cell r="C92">
            <v>358.1345650960813</v>
          </cell>
          <cell r="D92">
            <v>680.23590350000006</v>
          </cell>
        </row>
        <row r="93">
          <cell r="C93">
            <v>-3.3948308140000001E-2</v>
          </cell>
          <cell r="D93">
            <v>807.879462497585</v>
          </cell>
          <cell r="E93">
            <v>5.0257129999999997E-2</v>
          </cell>
          <cell r="F93">
            <v>172.40023889444899</v>
          </cell>
          <cell r="G93">
            <v>1.11E-6</v>
          </cell>
          <cell r="H93">
            <v>2037.7370631017491</v>
          </cell>
        </row>
        <row r="94">
          <cell r="E94">
            <v>0</v>
          </cell>
          <cell r="F94">
            <v>185.36091335994001</v>
          </cell>
          <cell r="G94">
            <v>0</v>
          </cell>
          <cell r="H94">
            <v>97.441557029999998</v>
          </cell>
        </row>
        <row r="95">
          <cell r="C95">
            <v>399.2701924020721</v>
          </cell>
          <cell r="D95">
            <v>2474.9328227599112</v>
          </cell>
          <cell r="E95">
            <v>0.8</v>
          </cell>
          <cell r="F95">
            <v>6482.6814672877181</v>
          </cell>
          <cell r="G95">
            <v>31.876300000000001</v>
          </cell>
          <cell r="H95">
            <v>14587.449759309413</v>
          </cell>
        </row>
        <row r="96">
          <cell r="C96">
            <v>142.21675884959376</v>
          </cell>
          <cell r="D96">
            <v>122.4687703386796</v>
          </cell>
        </row>
        <row r="97">
          <cell r="C97">
            <v>182.81132729687889</v>
          </cell>
          <cell r="D97">
            <v>1324.4228123006515</v>
          </cell>
          <cell r="E97">
            <v>3.15999937</v>
          </cell>
          <cell r="F97">
            <v>2945.8102638205137</v>
          </cell>
          <cell r="G97">
            <v>0.01</v>
          </cell>
          <cell r="H97">
            <v>781.70087245249977</v>
          </cell>
        </row>
        <row r="98">
          <cell r="C98">
            <v>1935.0417038166229</v>
          </cell>
          <cell r="D98">
            <v>13531.024103947984</v>
          </cell>
          <cell r="E98">
            <v>13.566401682778</v>
          </cell>
          <cell r="F98">
            <v>36050.828438120283</v>
          </cell>
          <cell r="G98">
            <v>32.002169056192997</v>
          </cell>
          <cell r="H98">
            <v>59275.665565079362</v>
          </cell>
          <cell r="I98">
            <v>110838.12838170321</v>
          </cell>
        </row>
        <row r="100">
          <cell r="I100">
            <v>22654.532529911383</v>
          </cell>
        </row>
      </sheetData>
      <sheetData sheetId="1"/>
      <sheetData sheetId="2">
        <row r="16">
          <cell r="N16">
            <v>51699.650815932124</v>
          </cell>
          <cell r="AA16">
            <v>50070.744654925831</v>
          </cell>
        </row>
        <row r="17">
          <cell r="N17">
            <v>11864.084531017186</v>
          </cell>
          <cell r="AA17">
            <v>15466.11398654036</v>
          </cell>
        </row>
        <row r="23">
          <cell r="N23">
            <v>16254.078350112821</v>
          </cell>
          <cell r="AA23">
            <v>5815.1032999513063</v>
          </cell>
        </row>
        <row r="36">
          <cell r="N36">
            <v>8583.7159069612644</v>
          </cell>
          <cell r="AA36">
            <v>9169.9627471668682</v>
          </cell>
        </row>
        <row r="76">
          <cell r="N76">
            <v>108.18531225114772</v>
          </cell>
          <cell r="AA76">
            <v>980.01912870400008</v>
          </cell>
        </row>
        <row r="82">
          <cell r="N82">
            <v>28910.561716264408</v>
          </cell>
          <cell r="AA82">
            <v>32793.256255640124</v>
          </cell>
        </row>
        <row r="103">
          <cell r="N103">
            <v>52.853803713527853</v>
          </cell>
          <cell r="AA103">
            <v>296.79120690450929</v>
          </cell>
        </row>
        <row r="131">
          <cell r="N131">
            <v>3950.1455906395749</v>
          </cell>
          <cell r="AA131">
            <v>11262.037416418067</v>
          </cell>
        </row>
        <row r="146">
          <cell r="N146">
            <v>452.56597972999998</v>
          </cell>
          <cell r="AA146">
            <v>100.5087726484</v>
          </cell>
        </row>
        <row r="149">
          <cell r="N149">
            <v>826.35341075998986</v>
          </cell>
          <cell r="AA149">
            <v>349.67431801394014</v>
          </cell>
        </row>
        <row r="152">
          <cell r="AA152">
            <v>110838.08752805211</v>
          </cell>
        </row>
      </sheetData>
      <sheetData sheetId="3">
        <row r="14">
          <cell r="D14">
            <v>471.18499503272551</v>
          </cell>
          <cell r="G14">
            <v>1980.5615704111033</v>
          </cell>
        </row>
        <row r="16">
          <cell r="D16">
            <v>84033.747649597673</v>
          </cell>
          <cell r="G16">
            <v>76435.103327875928</v>
          </cell>
        </row>
        <row r="17">
          <cell r="D17">
            <v>824.38181659966006</v>
          </cell>
          <cell r="G17">
            <v>2945.6893368360616</v>
          </cell>
        </row>
        <row r="18">
          <cell r="D18">
            <v>193.31863362187698</v>
          </cell>
          <cell r="G18">
            <v>711.18433966348391</v>
          </cell>
        </row>
        <row r="19">
          <cell r="D19">
            <v>183.76892895999998</v>
          </cell>
          <cell r="G19">
            <v>190.42473764085099</v>
          </cell>
        </row>
        <row r="20">
          <cell r="D20">
            <v>10415.739076903754</v>
          </cell>
          <cell r="G20">
            <v>12447.89181408649</v>
          </cell>
        </row>
        <row r="21">
          <cell r="D21">
            <v>8123.0873832506468</v>
          </cell>
          <cell r="G21">
            <v>9573.9573763539083</v>
          </cell>
        </row>
        <row r="22">
          <cell r="D22">
            <v>3324.2757804915236</v>
          </cell>
          <cell r="G22">
            <v>1685.5268965013099</v>
          </cell>
        </row>
        <row r="23">
          <cell r="D23">
            <v>3268.5296846012329</v>
          </cell>
          <cell r="G23">
            <v>4867.9506586046646</v>
          </cell>
        </row>
        <row r="24">
          <cell r="G24">
            <v>110838.2857998838</v>
          </cell>
        </row>
      </sheetData>
      <sheetData sheetId="4"/>
      <sheetData sheetId="5"/>
      <sheetData sheetId="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442.55205509090001</v>
          </cell>
          <cell r="E14">
            <v>0</v>
          </cell>
          <cell r="F14">
            <v>1514.86210889314</v>
          </cell>
          <cell r="G14">
            <v>0</v>
          </cell>
          <cell r="H14">
            <v>3466.3348474682416</v>
          </cell>
        </row>
        <row r="18">
          <cell r="C18">
            <v>179.34814799663604</v>
          </cell>
          <cell r="D18">
            <v>2966.9767072216432</v>
          </cell>
          <cell r="E18">
            <v>9.3540763714770012</v>
          </cell>
          <cell r="F18">
            <v>7816.6590187987285</v>
          </cell>
          <cell r="G18">
            <v>0.2005305</v>
          </cell>
          <cell r="H18">
            <v>17360.956264935561</v>
          </cell>
        </row>
        <row r="22">
          <cell r="E22">
            <v>22.127004347577003</v>
          </cell>
          <cell r="F22">
            <v>12958.441008294576</v>
          </cell>
          <cell r="G22">
            <v>0.77999999999999992</v>
          </cell>
          <cell r="H22">
            <v>10187.797426331766</v>
          </cell>
        </row>
        <row r="23">
          <cell r="C23">
            <v>0.59</v>
          </cell>
          <cell r="D23">
            <v>213.63418783578601</v>
          </cell>
        </row>
        <row r="24">
          <cell r="C24">
            <v>5.9685352150397888</v>
          </cell>
          <cell r="D24">
            <v>86.456321399000004</v>
          </cell>
        </row>
        <row r="25">
          <cell r="C25">
            <v>4.478710509211</v>
          </cell>
          <cell r="D25">
            <v>146.53283017438403</v>
          </cell>
        </row>
        <row r="26">
          <cell r="C26">
            <v>5.2194661915080003</v>
          </cell>
          <cell r="D26">
            <v>122.00525856848341</v>
          </cell>
        </row>
        <row r="27">
          <cell r="C27">
            <v>53.717448525292113</v>
          </cell>
          <cell r="D27">
            <v>163.9536351240221</v>
          </cell>
        </row>
        <row r="28">
          <cell r="C28">
            <v>8.4678918123846163</v>
          </cell>
          <cell r="D28">
            <v>33.332312701999996</v>
          </cell>
        </row>
        <row r="29">
          <cell r="C29">
            <v>0.62352434947833779</v>
          </cell>
          <cell r="D29">
            <v>265.04218428846985</v>
          </cell>
        </row>
        <row r="30">
          <cell r="C30">
            <v>0</v>
          </cell>
          <cell r="D30">
            <v>659.96542744242197</v>
          </cell>
          <cell r="E30">
            <v>0</v>
          </cell>
          <cell r="F30">
            <v>534.68232808163407</v>
          </cell>
          <cell r="G30">
            <v>0</v>
          </cell>
          <cell r="H30">
            <v>2.8333987299999999</v>
          </cell>
        </row>
        <row r="31">
          <cell r="C31">
            <v>2.4387789999999999E-2</v>
          </cell>
          <cell r="D31">
            <v>424.67167396388703</v>
          </cell>
          <cell r="E31">
            <v>3.6715000000000001E-4</v>
          </cell>
          <cell r="F31">
            <v>111.86540434709499</v>
          </cell>
          <cell r="G31">
            <v>0.10075674000000001</v>
          </cell>
          <cell r="H31">
            <v>1380.1087697662228</v>
          </cell>
        </row>
        <row r="32">
          <cell r="E32">
            <v>0</v>
          </cell>
          <cell r="F32">
            <v>566.25651396999001</v>
          </cell>
          <cell r="G32">
            <v>0</v>
          </cell>
          <cell r="H32">
            <v>251.82632000000001</v>
          </cell>
        </row>
        <row r="33">
          <cell r="C33">
            <v>154.07687557159969</v>
          </cell>
          <cell r="D33">
            <v>2266.0200385278104</v>
          </cell>
          <cell r="E33">
            <v>2.8263696493620039</v>
          </cell>
          <cell r="F33">
            <v>10403.47672980688</v>
          </cell>
          <cell r="G33">
            <v>3.396829157746565</v>
          </cell>
          <cell r="H33">
            <v>19720.398194928595</v>
          </cell>
        </row>
        <row r="34">
          <cell r="C34">
            <v>99.53</v>
          </cell>
          <cell r="D34">
            <v>2895.6333334476412</v>
          </cell>
          <cell r="E34">
            <v>8.75</v>
          </cell>
          <cell r="F34">
            <v>5909.432784594379</v>
          </cell>
          <cell r="G34">
            <v>5.38</v>
          </cell>
          <cell r="H34">
            <v>5823.5747136630162</v>
          </cell>
        </row>
        <row r="36">
          <cell r="C36">
            <v>42.870714004999996</v>
          </cell>
          <cell r="D36">
            <v>840.2754234588192</v>
          </cell>
          <cell r="E36">
            <v>3.822937748617</v>
          </cell>
          <cell r="F36">
            <v>-46.605726237520543</v>
          </cell>
          <cell r="G36">
            <v>-0.78083711671087563</v>
          </cell>
          <cell r="H36">
            <v>439.34468186843537</v>
          </cell>
        </row>
        <row r="37">
          <cell r="C37">
            <v>80.213065072953938</v>
          </cell>
          <cell r="D37">
            <v>878.784191890594</v>
          </cell>
          <cell r="E37">
            <v>1.2036499000000001E-3</v>
          </cell>
          <cell r="F37">
            <v>44.697733642796997</v>
          </cell>
          <cell r="G37">
            <v>0.8070845148000001</v>
          </cell>
          <cell r="H37">
            <v>334.26763787252185</v>
          </cell>
        </row>
        <row r="38">
          <cell r="C38">
            <v>635.12876703910342</v>
          </cell>
          <cell r="D38">
            <v>12405.835581135862</v>
          </cell>
          <cell r="E38">
            <v>46.881958916933009</v>
          </cell>
          <cell r="F38">
            <v>39813.7679041917</v>
          </cell>
          <cell r="G38">
            <v>9.8843637958356876</v>
          </cell>
          <cell r="H38">
            <v>58967.462255564365</v>
          </cell>
          <cell r="I38">
            <v>111878.95083064379</v>
          </cell>
        </row>
        <row r="40">
          <cell r="I40">
            <v>23875.352950789395</v>
          </cell>
        </row>
        <row r="68">
          <cell r="C68">
            <v>0.86139122750734187</v>
          </cell>
          <cell r="D68">
            <v>0.60124364305726674</v>
          </cell>
        </row>
        <row r="69">
          <cell r="C69">
            <v>54.964024584699999</v>
          </cell>
          <cell r="D69">
            <v>121.42931817995</v>
          </cell>
          <cell r="E69">
            <v>0</v>
          </cell>
          <cell r="F69">
            <v>2.3749181668E-2</v>
          </cell>
          <cell r="G69">
            <v>0</v>
          </cell>
          <cell r="H69">
            <v>3.127591639257294</v>
          </cell>
        </row>
        <row r="72">
          <cell r="C72">
            <v>345.53846724228492</v>
          </cell>
          <cell r="D72">
            <v>3094.8435416749417</v>
          </cell>
          <cell r="E72">
            <v>4.0000010000000003E-2</v>
          </cell>
          <cell r="F72">
            <v>4228.0507631707642</v>
          </cell>
          <cell r="G72">
            <v>1.104777962E-2</v>
          </cell>
          <cell r="H72">
            <v>4292.0431569251014</v>
          </cell>
        </row>
        <row r="76">
          <cell r="E76">
            <v>0</v>
          </cell>
          <cell r="F76">
            <v>15846.400833686464</v>
          </cell>
          <cell r="G76">
            <v>7.3650839800000001E-4</v>
          </cell>
          <cell r="H76">
            <v>25299.33783484032</v>
          </cell>
        </row>
        <row r="77">
          <cell r="C77">
            <v>1.8521003980000001</v>
          </cell>
          <cell r="D77">
            <v>27.3</v>
          </cell>
        </row>
        <row r="78">
          <cell r="C78">
            <v>0</v>
          </cell>
          <cell r="D78">
            <v>0</v>
          </cell>
        </row>
        <row r="79">
          <cell r="C79">
            <v>0</v>
          </cell>
          <cell r="D79">
            <v>446.33692859374202</v>
          </cell>
        </row>
        <row r="80">
          <cell r="C80">
            <v>0</v>
          </cell>
          <cell r="D80">
            <v>703.66689146940996</v>
          </cell>
        </row>
        <row r="81">
          <cell r="C81">
            <v>8.0808730110179994</v>
          </cell>
          <cell r="D81">
            <v>1116.7755965555689</v>
          </cell>
        </row>
        <row r="82">
          <cell r="C82">
            <v>9.6953497269139994</v>
          </cell>
          <cell r="D82">
            <v>16.141511376279002</v>
          </cell>
        </row>
        <row r="83">
          <cell r="C83">
            <v>0</v>
          </cell>
          <cell r="D83">
            <v>6.77514883</v>
          </cell>
        </row>
        <row r="84">
          <cell r="E84">
            <v>2.6525199999999998E-3</v>
          </cell>
          <cell r="F84">
            <v>6026.7017254883831</v>
          </cell>
          <cell r="G84">
            <v>0</v>
          </cell>
          <cell r="H84">
            <v>10856.762674880903</v>
          </cell>
        </row>
        <row r="86">
          <cell r="C86">
            <v>670.38398899000003</v>
          </cell>
          <cell r="D86">
            <v>2151.1827096032539</v>
          </cell>
        </row>
        <row r="89">
          <cell r="C89">
            <v>0</v>
          </cell>
          <cell r="D89">
            <v>878.17366731067034</v>
          </cell>
        </row>
        <row r="92">
          <cell r="C92">
            <v>352.08202331947331</v>
          </cell>
          <cell r="D92">
            <v>674.68404850000002</v>
          </cell>
        </row>
        <row r="93">
          <cell r="C93">
            <v>9.113996634499999E-2</v>
          </cell>
          <cell r="D93">
            <v>894.43051083693001</v>
          </cell>
          <cell r="E93">
            <v>2.821974E-2</v>
          </cell>
          <cell r="F93">
            <v>206.78243297414997</v>
          </cell>
          <cell r="G93">
            <v>2.37E-5</v>
          </cell>
          <cell r="H93">
            <v>2123.8970052073555</v>
          </cell>
        </row>
        <row r="94">
          <cell r="E94">
            <v>0</v>
          </cell>
          <cell r="F94">
            <v>182.37975667992998</v>
          </cell>
          <cell r="G94">
            <v>0</v>
          </cell>
          <cell r="H94">
            <v>96.746228220000006</v>
          </cell>
        </row>
        <row r="95">
          <cell r="C95">
            <v>859.91694249518798</v>
          </cell>
          <cell r="D95">
            <v>2436.1211588732053</v>
          </cell>
          <cell r="E95">
            <v>1.2000000000000002</v>
          </cell>
          <cell r="F95">
            <v>6756.9452454218554</v>
          </cell>
          <cell r="G95">
            <v>28.137769599999991</v>
          </cell>
          <cell r="H95">
            <v>15565.958654948809</v>
          </cell>
        </row>
        <row r="96">
          <cell r="C96">
            <v>141.38455509451609</v>
          </cell>
          <cell r="D96">
            <v>123.50869664446063</v>
          </cell>
        </row>
        <row r="97">
          <cell r="C97">
            <v>176.25476722282261</v>
          </cell>
          <cell r="D97">
            <v>1371.042952510443</v>
          </cell>
          <cell r="E97">
            <v>3.0099993699999996</v>
          </cell>
          <cell r="F97">
            <v>2933.5265843502548</v>
          </cell>
          <cell r="G97">
            <v>0.01</v>
          </cell>
          <cell r="H97">
            <v>743.61046054043413</v>
          </cell>
        </row>
        <row r="98">
          <cell r="C98">
            <v>2621.1056232787691</v>
          </cell>
          <cell r="D98">
            <v>14063.026924601912</v>
          </cell>
          <cell r="E98">
            <v>4.28087164</v>
          </cell>
          <cell r="F98">
            <v>36180.811090953466</v>
          </cell>
          <cell r="G98">
            <v>28.273347138017989</v>
          </cell>
          <cell r="H98">
            <v>58981.45360720218</v>
          </cell>
          <cell r="I98">
            <v>111878.91446481434</v>
          </cell>
        </row>
        <row r="100">
          <cell r="I100">
            <v>24480.795589907058</v>
          </cell>
        </row>
      </sheetData>
      <sheetData sheetId="1"/>
      <sheetData sheetId="2">
        <row r="16">
          <cell r="N16">
            <v>53095.622754318261</v>
          </cell>
          <cell r="AA16">
            <v>51520.941383732628</v>
          </cell>
        </row>
        <row r="17">
          <cell r="N17">
            <v>13040.914200791585</v>
          </cell>
          <cell r="AA17">
            <v>16684.069608726626</v>
          </cell>
        </row>
        <row r="23">
          <cell r="N23">
            <v>16115.198423810556</v>
          </cell>
          <cell r="AA23">
            <v>5899.6844266290618</v>
          </cell>
        </row>
        <row r="36">
          <cell r="N36">
            <v>8945.0866538193313</v>
          </cell>
          <cell r="AA36">
            <v>8962.9104154515117</v>
          </cell>
        </row>
        <row r="76">
          <cell r="N76">
            <v>215.39647502152604</v>
          </cell>
          <cell r="AA76">
            <v>1037.4918618009999</v>
          </cell>
        </row>
        <row r="82">
          <cell r="N82">
            <v>28188.187034251612</v>
          </cell>
          <cell r="AA82">
            <v>32970.511018486024</v>
          </cell>
        </row>
        <row r="103">
          <cell r="N103">
            <v>21.699820761061012</v>
          </cell>
          <cell r="AA103">
            <v>302.38120690450933</v>
          </cell>
        </row>
        <row r="131">
          <cell r="N131">
            <v>4019.0447455322728</v>
          </cell>
          <cell r="AA131">
            <v>10739.041164125076</v>
          </cell>
        </row>
        <row r="146">
          <cell r="N146">
            <v>452.61423675999998</v>
          </cell>
          <cell r="AA146">
            <v>100.96530544118001</v>
          </cell>
        </row>
        <row r="149">
          <cell r="N149">
            <v>826.09336703198994</v>
          </cell>
          <cell r="AA149">
            <v>345.02806522992995</v>
          </cell>
        </row>
        <row r="152">
          <cell r="AA152">
            <v>111878.94450553301</v>
          </cell>
        </row>
      </sheetData>
      <sheetData sheetId="3">
        <row r="14">
          <cell r="D14">
            <v>691.90617097683162</v>
          </cell>
          <cell r="G14">
            <v>2653.6601817466203</v>
          </cell>
        </row>
        <row r="16">
          <cell r="D16">
            <v>84826.723827213893</v>
          </cell>
          <cell r="G16">
            <v>75621.131998708137</v>
          </cell>
        </row>
        <row r="17">
          <cell r="D17">
            <v>1054.4690472482985</v>
          </cell>
          <cell r="G17">
            <v>3613.690749380859</v>
          </cell>
        </row>
        <row r="18">
          <cell r="D18">
            <v>211.20038226186799</v>
          </cell>
          <cell r="G18">
            <v>570.42399604048194</v>
          </cell>
        </row>
        <row r="19">
          <cell r="D19">
            <v>181.50230977999999</v>
          </cell>
          <cell r="G19">
            <v>183.65272658737899</v>
          </cell>
        </row>
        <row r="20">
          <cell r="D20">
            <v>10010.198232205386</v>
          </cell>
          <cell r="G20">
            <v>11904.604629579027</v>
          </cell>
        </row>
        <row r="21">
          <cell r="D21">
            <v>8134.7933625576588</v>
          </cell>
          <cell r="G21">
            <v>10794.705361764039</v>
          </cell>
        </row>
        <row r="22">
          <cell r="D22">
            <v>3540.731732959317</v>
          </cell>
          <cell r="G22">
            <v>1768.159817329089</v>
          </cell>
        </row>
        <row r="23">
          <cell r="D23">
            <v>3227.4294545942003</v>
          </cell>
          <cell r="G23">
            <v>4769.061195619026</v>
          </cell>
        </row>
        <row r="24">
          <cell r="G24">
            <v>111879.04169249468</v>
          </cell>
        </row>
      </sheetData>
      <sheetData sheetId="4"/>
      <sheetData sheetId="5"/>
      <sheetData sheetId="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317.56104532052001</v>
          </cell>
          <cell r="E14">
            <v>7.4901796999999993E-5</v>
          </cell>
          <cell r="F14">
            <v>1494.2761973247088</v>
          </cell>
          <cell r="G14">
            <v>0</v>
          </cell>
          <cell r="H14">
            <v>3474.4108025196697</v>
          </cell>
        </row>
        <row r="18">
          <cell r="C18">
            <v>200.18062408766403</v>
          </cell>
          <cell r="D18">
            <v>2799.88429903112</v>
          </cell>
          <cell r="E18">
            <v>7.0641007142000001E-2</v>
          </cell>
          <cell r="F18">
            <v>7668.3007815027431</v>
          </cell>
          <cell r="G18">
            <v>0.23106808226800002</v>
          </cell>
          <cell r="H18">
            <v>17868.118594559957</v>
          </cell>
        </row>
        <row r="22">
          <cell r="E22">
            <v>19.672134409506</v>
          </cell>
          <cell r="F22">
            <v>13914.873581712571</v>
          </cell>
          <cell r="G22">
            <v>0.820329976367</v>
          </cell>
          <cell r="H22">
            <v>10558.886512094863</v>
          </cell>
        </row>
        <row r="23">
          <cell r="C23">
            <v>0.54</v>
          </cell>
          <cell r="D23">
            <v>274.37125572691303</v>
          </cell>
        </row>
        <row r="24">
          <cell r="C24">
            <v>10.078787118143662</v>
          </cell>
          <cell r="D24">
            <v>99.604025669009999</v>
          </cell>
        </row>
        <row r="25">
          <cell r="C25">
            <v>4.5932012559309996</v>
          </cell>
          <cell r="D25">
            <v>157.417231170961</v>
          </cell>
        </row>
        <row r="26">
          <cell r="C26">
            <v>4.1297114629719998</v>
          </cell>
          <cell r="D26">
            <v>90.302121260295493</v>
          </cell>
        </row>
        <row r="27">
          <cell r="C27">
            <v>78.057114213665329</v>
          </cell>
          <cell r="D27">
            <v>185.59128357622046</v>
          </cell>
        </row>
        <row r="28">
          <cell r="C28">
            <v>8.0319637801830233</v>
          </cell>
          <cell r="D28">
            <v>30.690451321999998</v>
          </cell>
        </row>
        <row r="29">
          <cell r="C29">
            <v>0.62440089947833788</v>
          </cell>
          <cell r="D29">
            <v>268.95961602147889</v>
          </cell>
        </row>
        <row r="30">
          <cell r="C30">
            <v>0</v>
          </cell>
          <cell r="D30">
            <v>662.86961765322997</v>
          </cell>
          <cell r="E30">
            <v>0</v>
          </cell>
          <cell r="F30">
            <v>537.74060951649813</v>
          </cell>
          <cell r="G30">
            <v>0</v>
          </cell>
          <cell r="H30">
            <v>2.7513964399699997</v>
          </cell>
        </row>
        <row r="31">
          <cell r="C31">
            <v>1.298025E-2</v>
          </cell>
          <cell r="D31">
            <v>605.20774395013814</v>
          </cell>
          <cell r="E31">
            <v>5.6654000000000003E-4</v>
          </cell>
          <cell r="F31">
            <v>125.57083243555998</v>
          </cell>
          <cell r="G31">
            <v>0.10053915000000001</v>
          </cell>
          <cell r="H31">
            <v>1365.6932399281309</v>
          </cell>
        </row>
        <row r="32">
          <cell r="E32">
            <v>0</v>
          </cell>
          <cell r="F32">
            <v>587.76758007996705</v>
          </cell>
          <cell r="G32">
            <v>0</v>
          </cell>
          <cell r="H32">
            <v>251.97185999999999</v>
          </cell>
        </row>
        <row r="33">
          <cell r="C33">
            <v>127.84023020900001</v>
          </cell>
          <cell r="D33">
            <v>2151.9285918520573</v>
          </cell>
          <cell r="E33">
            <v>2.5294503072757966</v>
          </cell>
          <cell r="F33">
            <v>10972.266123326688</v>
          </cell>
          <cell r="G33">
            <v>3.7518283950905644</v>
          </cell>
          <cell r="H33">
            <v>19466.508608021009</v>
          </cell>
        </row>
        <row r="34">
          <cell r="C34">
            <v>99.53</v>
          </cell>
          <cell r="D34">
            <v>2884.195371923844</v>
          </cell>
          <cell r="E34">
            <v>8.75</v>
          </cell>
          <cell r="F34">
            <v>5909.029226463892</v>
          </cell>
          <cell r="G34">
            <v>5.38</v>
          </cell>
          <cell r="H34">
            <v>5677.8541708239227</v>
          </cell>
        </row>
        <row r="36">
          <cell r="C36">
            <v>41.955664689000002</v>
          </cell>
          <cell r="D36">
            <v>820.54816704230996</v>
          </cell>
          <cell r="E36">
            <v>3.7520413776190003</v>
          </cell>
          <cell r="F36">
            <v>-88.694443721665152</v>
          </cell>
          <cell r="G36">
            <v>-0.93374568435013217</v>
          </cell>
          <cell r="H36">
            <v>336.88155700324813</v>
          </cell>
        </row>
        <row r="37">
          <cell r="C37">
            <v>77.076439084349261</v>
          </cell>
          <cell r="D37">
            <v>913.37751716296953</v>
          </cell>
          <cell r="E37">
            <v>1.2047393999999999E-3</v>
          </cell>
          <cell r="F37">
            <v>45.201961175272011</v>
          </cell>
          <cell r="G37">
            <v>0.512441976681</v>
          </cell>
          <cell r="H37">
            <v>431.66140077364702</v>
          </cell>
        </row>
        <row r="38">
          <cell r="C38">
            <v>652.65111023958673</v>
          </cell>
          <cell r="D38">
            <v>12262.463002663069</v>
          </cell>
          <cell r="E38">
            <v>34.7761132827398</v>
          </cell>
          <cell r="F38">
            <v>41166.332449816233</v>
          </cell>
          <cell r="G38">
            <v>9.8624618960564341</v>
          </cell>
          <cell r="H38">
            <v>59434.73814216441</v>
          </cell>
          <cell r="I38">
            <v>113560.81328006211</v>
          </cell>
        </row>
        <row r="40">
          <cell r="I40">
            <v>21721.723184590654</v>
          </cell>
        </row>
        <row r="68">
          <cell r="C68">
            <v>0.11842554867445079</v>
          </cell>
          <cell r="D68">
            <v>0.34461821713564095</v>
          </cell>
        </row>
        <row r="69">
          <cell r="C69">
            <v>0.30712113207300001</v>
          </cell>
          <cell r="D69">
            <v>141.79051517994</v>
          </cell>
          <cell r="E69">
            <v>0</v>
          </cell>
          <cell r="F69">
            <v>1.9182186439999999E-2</v>
          </cell>
          <cell r="G69">
            <v>0</v>
          </cell>
          <cell r="H69">
            <v>2.9968092254641912</v>
          </cell>
        </row>
        <row r="72">
          <cell r="C72">
            <v>289.86277919779377</v>
          </cell>
          <cell r="D72">
            <v>2676.9939730113492</v>
          </cell>
          <cell r="E72">
            <v>2.0052772959000001E-2</v>
          </cell>
          <cell r="F72">
            <v>3436.9401345403658</v>
          </cell>
          <cell r="G72">
            <v>1.0841992167000001E-2</v>
          </cell>
          <cell r="H72">
            <v>4395.6763251303992</v>
          </cell>
        </row>
        <row r="76">
          <cell r="E76">
            <v>0</v>
          </cell>
          <cell r="F76">
            <v>15757.906658119371</v>
          </cell>
          <cell r="G76">
            <v>7.3640877199999998E-4</v>
          </cell>
          <cell r="H76">
            <v>25918.122641380061</v>
          </cell>
        </row>
        <row r="77">
          <cell r="C77">
            <v>1.9221503979999999</v>
          </cell>
          <cell r="D77">
            <v>37.277200000000001</v>
          </cell>
        </row>
        <row r="78">
          <cell r="C78">
            <v>0</v>
          </cell>
          <cell r="D78">
            <v>0</v>
          </cell>
        </row>
        <row r="79">
          <cell r="C79">
            <v>-1.5650000000000001E-9</v>
          </cell>
          <cell r="D79">
            <v>379.21542623848052</v>
          </cell>
        </row>
        <row r="80">
          <cell r="C80">
            <v>2.9958066700000002E-4</v>
          </cell>
          <cell r="D80">
            <v>749.03034694556004</v>
          </cell>
        </row>
        <row r="81">
          <cell r="C81">
            <v>9.3872003960659995</v>
          </cell>
          <cell r="D81">
            <v>1097.4641869692771</v>
          </cell>
        </row>
        <row r="82">
          <cell r="C82">
            <v>9.6285873680440019</v>
          </cell>
          <cell r="D82">
            <v>19.335919698958001</v>
          </cell>
        </row>
        <row r="83">
          <cell r="C83">
            <v>0</v>
          </cell>
          <cell r="D83">
            <v>6.85424671</v>
          </cell>
        </row>
        <row r="84">
          <cell r="E84">
            <v>2.6525199999999998E-3</v>
          </cell>
          <cell r="F84">
            <v>6092.2087792000002</v>
          </cell>
          <cell r="G84">
            <v>0</v>
          </cell>
          <cell r="H84">
            <v>11240.08540808117</v>
          </cell>
        </row>
        <row r="86">
          <cell r="C86">
            <v>686.97750171999996</v>
          </cell>
          <cell r="D86">
            <v>2188.7663452332404</v>
          </cell>
        </row>
        <row r="89">
          <cell r="C89">
            <v>0</v>
          </cell>
          <cell r="D89">
            <v>889.1327122312149</v>
          </cell>
        </row>
        <row r="92">
          <cell r="C92">
            <v>342.97956443526346</v>
          </cell>
          <cell r="D92">
            <v>673.8240485</v>
          </cell>
        </row>
        <row r="93">
          <cell r="C93">
            <v>9.570154569900001E-2</v>
          </cell>
          <cell r="D93">
            <v>1025.421189514768</v>
          </cell>
          <cell r="E93">
            <v>1.532295E-2</v>
          </cell>
          <cell r="F93">
            <v>253.86549419100498</v>
          </cell>
          <cell r="G93">
            <v>0</v>
          </cell>
          <cell r="H93">
            <v>2092.003998517097</v>
          </cell>
        </row>
        <row r="94">
          <cell r="E94">
            <v>0</v>
          </cell>
          <cell r="F94">
            <v>181.49390170094097</v>
          </cell>
          <cell r="G94">
            <v>0</v>
          </cell>
          <cell r="H94">
            <v>96.441331989950001</v>
          </cell>
        </row>
        <row r="95">
          <cell r="C95">
            <v>896.84208930710997</v>
          </cell>
          <cell r="D95">
            <v>2443.0724940224645</v>
          </cell>
          <cell r="E95">
            <v>1.1000000000000001</v>
          </cell>
          <cell r="F95">
            <v>6238.0413186831938</v>
          </cell>
          <cell r="G95">
            <v>30.820448800000008</v>
          </cell>
          <cell r="H95">
            <v>17784.551302097123</v>
          </cell>
        </row>
        <row r="96">
          <cell r="C96">
            <v>140.19345245654119</v>
          </cell>
          <cell r="D96">
            <v>126.09512446487261</v>
          </cell>
        </row>
        <row r="97">
          <cell r="C97">
            <v>173.60716330353165</v>
          </cell>
          <cell r="D97">
            <v>1377.6675756381983</v>
          </cell>
          <cell r="E97">
            <v>3.0099993806089995</v>
          </cell>
          <cell r="F97">
            <v>2941.0604575954012</v>
          </cell>
          <cell r="G97">
            <v>0.01</v>
          </cell>
          <cell r="H97">
            <v>710.13745662604822</v>
          </cell>
        </row>
        <row r="98">
          <cell r="C98">
            <v>2551.9220363878985</v>
          </cell>
          <cell r="D98">
            <v>13832.26692257546</v>
          </cell>
          <cell r="E98">
            <v>4.1480276235679998</v>
          </cell>
          <cell r="F98">
            <v>34901.535926216719</v>
          </cell>
          <cell r="G98">
            <v>30.955796750939008</v>
          </cell>
          <cell r="H98">
            <v>62240.015273043115</v>
          </cell>
          <cell r="I98">
            <v>113560.8439825977</v>
          </cell>
        </row>
        <row r="100">
          <cell r="I100">
            <v>22150.278973670691</v>
          </cell>
        </row>
      </sheetData>
      <sheetData sheetId="1"/>
      <sheetData sheetId="2">
        <row r="16">
          <cell r="N16">
            <v>54393.627135057308</v>
          </cell>
          <cell r="AA16">
            <v>49886.121188231162</v>
          </cell>
        </row>
        <row r="17">
          <cell r="N17">
            <v>12915.101308839838</v>
          </cell>
          <cell r="AA17">
            <v>16384.263519065968</v>
          </cell>
        </row>
        <row r="23">
          <cell r="N23">
            <v>16023.25324555368</v>
          </cell>
          <cell r="AA23">
            <v>6337.6706659374804</v>
          </cell>
        </row>
        <row r="36">
          <cell r="N36">
            <v>8601.1619648741143</v>
          </cell>
          <cell r="AA36">
            <v>9037.6701463396603</v>
          </cell>
        </row>
        <row r="76">
          <cell r="N76">
            <v>305.70258089832151</v>
          </cell>
          <cell r="AA76">
            <v>1006.782047521</v>
          </cell>
        </row>
        <row r="82">
          <cell r="N82">
            <v>28576.539032164052</v>
          </cell>
          <cell r="AA82">
            <v>36134.737287739415</v>
          </cell>
        </row>
        <row r="103">
          <cell r="N103">
            <v>21.60045885602122</v>
          </cell>
          <cell r="AA103">
            <v>293.71763436870026</v>
          </cell>
        </row>
        <row r="131">
          <cell r="N131">
            <v>4333.4817709048802</v>
          </cell>
          <cell r="AA131">
            <v>10428.982859678337</v>
          </cell>
        </row>
        <row r="146">
          <cell r="N146">
            <v>458.63338100999994</v>
          </cell>
          <cell r="AA146">
            <v>100.693698779982</v>
          </cell>
        </row>
        <row r="149">
          <cell r="N149">
            <v>847.01035218296636</v>
          </cell>
          <cell r="AA149">
            <v>334.65337964089105</v>
          </cell>
        </row>
        <row r="152">
          <cell r="AA152">
            <v>113561.02841573396</v>
          </cell>
        </row>
      </sheetData>
      <sheetData sheetId="3">
        <row r="14">
          <cell r="D14">
            <v>697.28025316731919</v>
          </cell>
          <cell r="G14">
            <v>2586.9848675495623</v>
          </cell>
        </row>
        <row r="16">
          <cell r="D16">
            <v>87226.529151628129</v>
          </cell>
          <cell r="G16">
            <v>81462.615816674341</v>
          </cell>
        </row>
        <row r="17">
          <cell r="D17">
            <v>1015.8025188553111</v>
          </cell>
          <cell r="G17">
            <v>1805.391191279695</v>
          </cell>
        </row>
        <row r="18">
          <cell r="D18">
            <v>200.76560389815</v>
          </cell>
          <cell r="G18">
            <v>214.54351729812302</v>
          </cell>
        </row>
        <row r="19">
          <cell r="D19">
            <v>176.08982562599999</v>
          </cell>
          <cell r="G19">
            <v>202.88407715479499</v>
          </cell>
        </row>
        <row r="20">
          <cell r="D20">
            <v>9957.4257650900818</v>
          </cell>
          <cell r="G20">
            <v>11941.335287635273</v>
          </cell>
        </row>
        <row r="21">
          <cell r="D21">
            <v>7286.4471470669187</v>
          </cell>
          <cell r="G21">
            <v>9674.0880046547281</v>
          </cell>
        </row>
        <row r="22">
          <cell r="D22">
            <v>3531.0889760549048</v>
          </cell>
          <cell r="G22">
            <v>1723.6028399450252</v>
          </cell>
        </row>
        <row r="23">
          <cell r="D23">
            <v>3469.4819154308634</v>
          </cell>
          <cell r="G23">
            <v>3949.6200682121225</v>
          </cell>
        </row>
        <row r="24">
          <cell r="G24">
            <v>113561.03647086368</v>
          </cell>
        </row>
      </sheetData>
      <sheetData sheetId="4"/>
      <sheetData sheetId="5"/>
      <sheetData sheetId="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709.64583690015002</v>
          </cell>
          <cell r="E14">
            <v>7.4501061999999993E-5</v>
          </cell>
          <cell r="F14">
            <v>1457.2618041278708</v>
          </cell>
          <cell r="G14">
            <v>0</v>
          </cell>
          <cell r="H14">
            <v>3359.3862376577713</v>
          </cell>
        </row>
        <row r="18">
          <cell r="C18">
            <v>168.256540365803</v>
          </cell>
          <cell r="D18">
            <v>2598.6562261465901</v>
          </cell>
          <cell r="E18">
            <v>7.0652456741E-2</v>
          </cell>
          <cell r="F18">
            <v>7110.6855218366636</v>
          </cell>
          <cell r="G18">
            <v>20.113264814251991</v>
          </cell>
          <cell r="H18">
            <v>17949.364981608429</v>
          </cell>
        </row>
        <row r="22">
          <cell r="E22">
            <v>9.5096021920019993</v>
          </cell>
          <cell r="F22">
            <v>13307.624156957978</v>
          </cell>
          <cell r="G22">
            <v>0.83044155094499861</v>
          </cell>
          <cell r="H22">
            <v>9477.1853237092437</v>
          </cell>
        </row>
        <row r="23">
          <cell r="C23">
            <v>1.99</v>
          </cell>
          <cell r="D23">
            <v>299.44662260412701</v>
          </cell>
        </row>
        <row r="24">
          <cell r="C24">
            <v>16.31200939782536</v>
          </cell>
          <cell r="D24">
            <v>99.745046329020013</v>
          </cell>
        </row>
        <row r="25">
          <cell r="C25">
            <v>16.723425370777001</v>
          </cell>
          <cell r="D25">
            <v>160.84214714435703</v>
          </cell>
        </row>
        <row r="26">
          <cell r="C26">
            <v>2.2155546128129999</v>
          </cell>
          <cell r="D26">
            <v>177.00217544202411</v>
          </cell>
        </row>
        <row r="27">
          <cell r="C27">
            <v>75.254314088650574</v>
          </cell>
          <cell r="D27">
            <v>168.20507364711477</v>
          </cell>
        </row>
        <row r="28">
          <cell r="C28">
            <v>12.501938000183024</v>
          </cell>
          <cell r="D28">
            <v>34.324781162000001</v>
          </cell>
        </row>
        <row r="29">
          <cell r="C29">
            <v>0.53555777377542013</v>
          </cell>
          <cell r="D29">
            <v>309.82680033109193</v>
          </cell>
        </row>
        <row r="30">
          <cell r="C30">
            <v>0</v>
          </cell>
          <cell r="D30">
            <v>657.08017316987105</v>
          </cell>
          <cell r="E30">
            <v>0</v>
          </cell>
          <cell r="F30">
            <v>533.47304707697799</v>
          </cell>
          <cell r="G30">
            <v>0</v>
          </cell>
          <cell r="H30">
            <v>3.7367322999699999</v>
          </cell>
        </row>
        <row r="31">
          <cell r="C31">
            <v>4.2399000000000001E-4</v>
          </cell>
          <cell r="D31">
            <v>771.96904956929916</v>
          </cell>
          <cell r="E31">
            <v>1.508541E-2</v>
          </cell>
          <cell r="F31">
            <v>145.25773695786097</v>
          </cell>
          <cell r="G31">
            <v>0.10476972000000001</v>
          </cell>
          <cell r="H31">
            <v>1633.969054175647</v>
          </cell>
        </row>
        <row r="32">
          <cell r="E32">
            <v>0</v>
          </cell>
          <cell r="F32">
            <v>597.70885035998799</v>
          </cell>
          <cell r="G32">
            <v>0</v>
          </cell>
          <cell r="H32">
            <v>252.02197000000001</v>
          </cell>
        </row>
        <row r="33">
          <cell r="C33">
            <v>81.158371825671992</v>
          </cell>
          <cell r="D33">
            <v>2647.9276640357139</v>
          </cell>
          <cell r="E33">
            <v>2.6295599875757967</v>
          </cell>
          <cell r="F33">
            <v>13047.794160185116</v>
          </cell>
          <cell r="G33">
            <v>3.5998285529535652</v>
          </cell>
          <cell r="H33">
            <v>21183.322676502154</v>
          </cell>
        </row>
        <row r="34">
          <cell r="C34">
            <v>108.28</v>
          </cell>
          <cell r="D34">
            <v>2857.8403064499416</v>
          </cell>
          <cell r="E34">
            <v>0</v>
          </cell>
          <cell r="F34">
            <v>5903.746451823532</v>
          </cell>
          <cell r="G34">
            <v>5.38</v>
          </cell>
          <cell r="H34">
            <v>5686.7705385384097</v>
          </cell>
        </row>
        <row r="36">
          <cell r="C36">
            <v>40.794452583999998</v>
          </cell>
          <cell r="D36">
            <v>743.48563308576331</v>
          </cell>
          <cell r="E36">
            <v>8.4514564032E-2</v>
          </cell>
          <cell r="F36">
            <v>-223.59700302671806</v>
          </cell>
          <cell r="G36">
            <v>-1.4806328037135281</v>
          </cell>
          <cell r="H36">
            <v>20.623689820923033</v>
          </cell>
        </row>
        <row r="37">
          <cell r="C37">
            <v>68.033891027617571</v>
          </cell>
          <cell r="D37">
            <v>910.3591976997559</v>
          </cell>
          <cell r="E37">
            <v>1.2047393999999999E-3</v>
          </cell>
          <cell r="F37">
            <v>46.170841541358008</v>
          </cell>
          <cell r="G37">
            <v>0.903484523308</v>
          </cell>
          <cell r="H37">
            <v>471.07700170535679</v>
          </cell>
        </row>
        <row r="38">
          <cell r="C38">
            <v>592.05647222631706</v>
          </cell>
          <cell r="D38">
            <v>13146.356733716821</v>
          </cell>
          <cell r="E38">
            <v>12.310693850812797</v>
          </cell>
          <cell r="F38">
            <v>41926.125567840631</v>
          </cell>
          <cell r="G38">
            <v>29.451156357745027</v>
          </cell>
          <cell r="H38">
            <v>60037.478206017899</v>
          </cell>
          <cell r="I38">
            <v>115743.76883001025</v>
          </cell>
        </row>
        <row r="40">
          <cell r="I40">
            <v>22043.673328749701</v>
          </cell>
        </row>
        <row r="68">
          <cell r="C68">
            <v>0.18483925611776386</v>
          </cell>
          <cell r="D68">
            <v>0.28156905428805989</v>
          </cell>
        </row>
        <row r="69">
          <cell r="C69">
            <v>74.392279784881993</v>
          </cell>
          <cell r="D69">
            <v>102.98404417995</v>
          </cell>
          <cell r="E69">
            <v>0</v>
          </cell>
          <cell r="F69">
            <v>1.3008454496000002E-2</v>
          </cell>
          <cell r="G69">
            <v>0</v>
          </cell>
          <cell r="H69">
            <v>2.9997116392572942</v>
          </cell>
        </row>
        <row r="72">
          <cell r="C72">
            <v>357.46930837997354</v>
          </cell>
          <cell r="D72">
            <v>2730.7278092138522</v>
          </cell>
          <cell r="E72">
            <v>3.0052490668999999E-2</v>
          </cell>
          <cell r="F72">
            <v>4191.8685704835061</v>
          </cell>
          <cell r="G72">
            <v>1.0837487437E-2</v>
          </cell>
          <cell r="H72">
            <v>5400.9019915456938</v>
          </cell>
        </row>
        <row r="76">
          <cell r="E76">
            <v>0</v>
          </cell>
          <cell r="F76">
            <v>16793.698589931315</v>
          </cell>
          <cell r="G76">
            <v>7.3246887599999998E-4</v>
          </cell>
          <cell r="H76">
            <v>26971.153408518414</v>
          </cell>
        </row>
        <row r="77">
          <cell r="C77">
            <v>15.540090398</v>
          </cell>
          <cell r="D77">
            <v>350.06561793997997</v>
          </cell>
        </row>
        <row r="78">
          <cell r="C78">
            <v>0</v>
          </cell>
          <cell r="D78">
            <v>0</v>
          </cell>
        </row>
        <row r="79">
          <cell r="C79">
            <v>-1.5569999999999999E-9</v>
          </cell>
          <cell r="D79">
            <v>428.17292543106902</v>
          </cell>
        </row>
        <row r="80">
          <cell r="C80">
            <v>2.9797786600000001E-4</v>
          </cell>
          <cell r="D80">
            <v>843.16050131090412</v>
          </cell>
        </row>
        <row r="81">
          <cell r="C81">
            <v>10.24430919518</v>
          </cell>
          <cell r="D81">
            <v>1190.3524147164969</v>
          </cell>
        </row>
        <row r="82">
          <cell r="C82">
            <v>9.5629168870369998</v>
          </cell>
          <cell r="D82">
            <v>16.035635614107001</v>
          </cell>
        </row>
        <row r="83">
          <cell r="C83">
            <v>0</v>
          </cell>
          <cell r="D83">
            <v>6.416306360000001</v>
          </cell>
        </row>
        <row r="84">
          <cell r="E84">
            <v>2.6525199999999998E-3</v>
          </cell>
          <cell r="F84">
            <v>5731.0044511379401</v>
          </cell>
          <cell r="G84">
            <v>0</v>
          </cell>
          <cell r="H84">
            <v>10407.154472590017</v>
          </cell>
        </row>
        <row r="86">
          <cell r="C86">
            <v>656.98111455000003</v>
          </cell>
          <cell r="D86">
            <v>1902.8796900908885</v>
          </cell>
        </row>
        <row r="89">
          <cell r="C89">
            <v>0</v>
          </cell>
          <cell r="D89">
            <v>897.35307302419142</v>
          </cell>
        </row>
        <row r="92">
          <cell r="C92">
            <v>331.56738481288846</v>
          </cell>
          <cell r="D92">
            <v>672.48404849999997</v>
          </cell>
        </row>
        <row r="93">
          <cell r="C93">
            <v>9.1491964565E-2</v>
          </cell>
          <cell r="D93">
            <v>1139.076808369759</v>
          </cell>
          <cell r="E93">
            <v>1.5963519999999998E-2</v>
          </cell>
          <cell r="F93">
            <v>336.93427670384892</v>
          </cell>
          <cell r="G93">
            <v>1.5353E-4</v>
          </cell>
          <cell r="H93">
            <v>2101.8773748261833</v>
          </cell>
        </row>
        <row r="94">
          <cell r="E94">
            <v>0</v>
          </cell>
          <cell r="F94">
            <v>0.10416669088500001</v>
          </cell>
          <cell r="G94">
            <v>0</v>
          </cell>
          <cell r="H94">
            <v>96.379957069950009</v>
          </cell>
        </row>
        <row r="95">
          <cell r="C95">
            <v>646.86819992665926</v>
          </cell>
          <cell r="D95">
            <v>2992.232801612879</v>
          </cell>
          <cell r="E95">
            <v>1</v>
          </cell>
          <cell r="F95">
            <v>6794.0540601947378</v>
          </cell>
          <cell r="G95">
            <v>14.059525069999982</v>
          </cell>
          <cell r="H95">
            <v>15993.753480378375</v>
          </cell>
        </row>
        <row r="96">
          <cell r="C96">
            <v>142.95470222330081</v>
          </cell>
          <cell r="D96">
            <v>125.4062619516576</v>
          </cell>
        </row>
        <row r="97">
          <cell r="C97">
            <v>174.48647581394786</v>
          </cell>
          <cell r="D97">
            <v>1487.2652389793789</v>
          </cell>
          <cell r="E97">
            <v>3.1699993805519999</v>
          </cell>
          <cell r="F97">
            <v>2950.724732996398</v>
          </cell>
          <cell r="G97">
            <v>0.13</v>
          </cell>
          <cell r="H97">
            <v>647.46667145707102</v>
          </cell>
        </row>
        <row r="98">
          <cell r="C98">
            <v>2420.3434111688603</v>
          </cell>
          <cell r="D98">
            <v>14884.8757463494</v>
          </cell>
          <cell r="E98">
            <v>4.2186679112209999</v>
          </cell>
          <cell r="F98">
            <v>36798.401856593133</v>
          </cell>
          <cell r="G98">
            <v>14.314864576312981</v>
          </cell>
          <cell r="H98">
            <v>61621.677068180768</v>
          </cell>
          <cell r="I98">
            <v>115743.8277998697</v>
          </cell>
        </row>
        <row r="100">
          <cell r="I100">
            <v>22292.021308749743</v>
          </cell>
        </row>
      </sheetData>
      <sheetData sheetId="1"/>
      <sheetData sheetId="2">
        <row r="16">
          <cell r="N16">
            <v>55873.022186978735</v>
          </cell>
          <cell r="AA16">
            <v>52984.468822739349</v>
          </cell>
        </row>
        <row r="17">
          <cell r="N17">
            <v>13738.425337960625</v>
          </cell>
          <cell r="AA17">
            <v>17305.222455607953</v>
          </cell>
        </row>
        <row r="23">
          <cell r="N23">
            <v>15309.661702780386</v>
          </cell>
          <cell r="AA23">
            <v>6489.4065303375755</v>
          </cell>
        </row>
        <row r="36">
          <cell r="N36">
            <v>9525.2283567165614</v>
          </cell>
          <cell r="AA36">
            <v>9019.3854317920959</v>
          </cell>
        </row>
        <row r="76">
          <cell r="N76">
            <v>304.07691715791452</v>
          </cell>
          <cell r="AA76">
            <v>1020.551246631</v>
          </cell>
        </row>
        <row r="82">
          <cell r="N82">
            <v>29476.870419139366</v>
          </cell>
          <cell r="AA82">
            <v>34150.257527980888</v>
          </cell>
        </row>
        <row r="103">
          <cell r="N103">
            <v>21.60956409106101</v>
          </cell>
          <cell r="AA103">
            <v>296.54260390981426</v>
          </cell>
        </row>
        <row r="131">
          <cell r="N131">
            <v>3923.8154900428945</v>
          </cell>
          <cell r="AA131">
            <v>11538.159425861662</v>
          </cell>
        </row>
        <row r="146">
          <cell r="N146">
            <v>452.31338100999994</v>
          </cell>
          <cell r="AA146">
            <v>102.91975620790001</v>
          </cell>
        </row>
        <row r="149">
          <cell r="N149">
            <v>857.25920231798796</v>
          </cell>
          <cell r="AA149">
            <v>142.077967489835</v>
          </cell>
        </row>
        <row r="152">
          <cell r="AA152">
            <v>115743.76931295013</v>
          </cell>
        </row>
      </sheetData>
      <sheetData sheetId="3">
        <row r="14">
          <cell r="D14">
            <v>633.80528093412931</v>
          </cell>
          <cell r="G14">
            <v>2438.9223327501986</v>
          </cell>
        </row>
        <row r="16">
          <cell r="D16">
            <v>88467.103585640827</v>
          </cell>
          <cell r="G16">
            <v>82287.081710527636</v>
          </cell>
        </row>
        <row r="17">
          <cell r="D17">
            <v>705.89708075540102</v>
          </cell>
          <cell r="G17">
            <v>1616.5329329134202</v>
          </cell>
        </row>
        <row r="18">
          <cell r="D18">
            <v>196.21640553989499</v>
          </cell>
          <cell r="G18">
            <v>335.84149175320601</v>
          </cell>
        </row>
        <row r="19">
          <cell r="D19">
            <v>251.28784874999997</v>
          </cell>
          <cell r="G19">
            <v>178.485700981402</v>
          </cell>
        </row>
        <row r="20">
          <cell r="D20">
            <v>9672.6800745447181</v>
          </cell>
          <cell r="G20">
            <v>11999.418225366873</v>
          </cell>
        </row>
        <row r="21">
          <cell r="D21">
            <v>9032.1688348933149</v>
          </cell>
          <cell r="G21">
            <v>11156.155540196338</v>
          </cell>
        </row>
        <row r="22">
          <cell r="D22">
            <v>3234.3541076469519</v>
          </cell>
          <cell r="G22">
            <v>1601.1346216996601</v>
          </cell>
        </row>
        <row r="23">
          <cell r="D23">
            <v>3550.1953362178274</v>
          </cell>
          <cell r="G23">
            <v>4130.3358976173395</v>
          </cell>
        </row>
        <row r="24">
          <cell r="G24">
            <v>115743.90489246609</v>
          </cell>
        </row>
      </sheetData>
      <sheetData sheetId="4"/>
      <sheetData sheetId="5"/>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v>
          </cell>
          <cell r="D14">
            <v>195.85525342997002</v>
          </cell>
          <cell r="E14">
            <v>7.4685087999999995E-5</v>
          </cell>
          <cell r="F14">
            <v>1502.4261078117102</v>
          </cell>
          <cell r="G14">
            <v>0</v>
          </cell>
          <cell r="H14">
            <v>3480.1713116947758</v>
          </cell>
        </row>
        <row r="18">
          <cell r="C18">
            <v>119.59634609532999</v>
          </cell>
          <cell r="D18">
            <v>2809.8147756992012</v>
          </cell>
          <cell r="E18">
            <v>8.0654068381000005E-2</v>
          </cell>
          <cell r="F18">
            <v>7494.7120885419699</v>
          </cell>
          <cell r="G18">
            <v>20.07981273359</v>
          </cell>
          <cell r="H18">
            <v>18093.83109088026</v>
          </cell>
        </row>
        <row r="22">
          <cell r="E22">
            <v>9.9961277174109995</v>
          </cell>
          <cell r="F22">
            <v>13084.836602788168</v>
          </cell>
          <cell r="G22">
            <v>1.2603290216630001</v>
          </cell>
          <cell r="H22">
            <v>9014.4740644811664</v>
          </cell>
        </row>
        <row r="23">
          <cell r="C23">
            <v>0.2</v>
          </cell>
          <cell r="D23">
            <v>272.05288584953803</v>
          </cell>
        </row>
        <row r="24">
          <cell r="C24">
            <v>12.167000317826359</v>
          </cell>
          <cell r="D24">
            <v>113.28101374897001</v>
          </cell>
        </row>
        <row r="25">
          <cell r="C25">
            <v>4.8831421262510002</v>
          </cell>
          <cell r="D25">
            <v>114.81535112621299</v>
          </cell>
        </row>
        <row r="26">
          <cell r="C26">
            <v>7.1557412409259999</v>
          </cell>
          <cell r="D26">
            <v>163.82426571460877</v>
          </cell>
        </row>
        <row r="27">
          <cell r="C27">
            <v>75.292010951778607</v>
          </cell>
          <cell r="D27">
            <v>203.38756916925476</v>
          </cell>
        </row>
        <row r="28">
          <cell r="C28">
            <v>17.541320840183023</v>
          </cell>
          <cell r="D28">
            <v>31.812405941999994</v>
          </cell>
        </row>
        <row r="29">
          <cell r="C29">
            <v>0.58099629377542006</v>
          </cell>
          <cell r="D29">
            <v>326.34439627708196</v>
          </cell>
        </row>
        <row r="30">
          <cell r="C30">
            <v>0</v>
          </cell>
          <cell r="D30">
            <v>655.56056742838405</v>
          </cell>
          <cell r="E30">
            <v>0</v>
          </cell>
          <cell r="F30">
            <v>532.80661866620687</v>
          </cell>
          <cell r="G30">
            <v>0</v>
          </cell>
          <cell r="H30">
            <v>3.8631271599899999</v>
          </cell>
        </row>
        <row r="31">
          <cell r="C31">
            <v>3.1915999999999997E-4</v>
          </cell>
          <cell r="D31">
            <v>800.3687136250461</v>
          </cell>
          <cell r="E31">
            <v>1.278233E-2</v>
          </cell>
          <cell r="F31">
            <v>151.57720966865099</v>
          </cell>
          <cell r="G31">
            <v>0.10010212</v>
          </cell>
          <cell r="H31">
            <v>1767.0838029461761</v>
          </cell>
        </row>
        <row r="32">
          <cell r="E32">
            <v>0</v>
          </cell>
          <cell r="F32">
            <v>558.188760629988</v>
          </cell>
          <cell r="G32">
            <v>0</v>
          </cell>
          <cell r="H32">
            <v>252.12905999999998</v>
          </cell>
        </row>
        <row r="33">
          <cell r="C33">
            <v>76.545727648140002</v>
          </cell>
          <cell r="D33">
            <v>2659.9868537004368</v>
          </cell>
          <cell r="E33">
            <v>0.40399545913760049</v>
          </cell>
          <cell r="F33">
            <v>10928.128357199163</v>
          </cell>
          <cell r="G33">
            <v>3.3208399606325649</v>
          </cell>
          <cell r="H33">
            <v>21614.106011998341</v>
          </cell>
        </row>
        <row r="34">
          <cell r="C34">
            <v>108.28</v>
          </cell>
          <cell r="D34">
            <v>2847.4388665076003</v>
          </cell>
          <cell r="E34">
            <v>0</v>
          </cell>
          <cell r="F34">
            <v>5900.0895233748561</v>
          </cell>
          <cell r="G34">
            <v>5.38</v>
          </cell>
          <cell r="H34">
            <v>5700.1578839252497</v>
          </cell>
        </row>
        <row r="36">
          <cell r="C36">
            <v>33.065777318999999</v>
          </cell>
          <cell r="D36">
            <v>668.71333701959452</v>
          </cell>
          <cell r="E36">
            <v>0.10377896223299998</v>
          </cell>
          <cell r="F36">
            <v>-259.54649448485964</v>
          </cell>
          <cell r="G36">
            <v>-1.8475152042440317</v>
          </cell>
          <cell r="H36">
            <v>101.33793947621858</v>
          </cell>
        </row>
        <row r="37">
          <cell r="C37">
            <v>68.384420877292342</v>
          </cell>
          <cell r="D37">
            <v>890.32401862565689</v>
          </cell>
          <cell r="E37">
            <v>1.2047393999999999E-3</v>
          </cell>
          <cell r="F37">
            <v>43.907834988467016</v>
          </cell>
          <cell r="G37">
            <v>0.50193125574800002</v>
          </cell>
          <cell r="H37">
            <v>477.73123546906544</v>
          </cell>
        </row>
        <row r="38">
          <cell r="C38">
            <v>523.69279605970269</v>
          </cell>
          <cell r="D38">
            <v>12753.580273863558</v>
          </cell>
          <cell r="E38">
            <v>10.5986179616506</v>
          </cell>
          <cell r="F38">
            <v>39937.126609184321</v>
          </cell>
          <cell r="G38">
            <v>28.795499887389539</v>
          </cell>
          <cell r="H38">
            <v>60504.895528031237</v>
          </cell>
          <cell r="I38">
            <v>113758.67932498787</v>
          </cell>
        </row>
        <row r="40">
          <cell r="I40">
            <v>19521.049627905573</v>
          </cell>
        </row>
        <row r="68">
          <cell r="C68">
            <v>0.21187875094535008</v>
          </cell>
          <cell r="D68">
            <v>0.25629004437150416</v>
          </cell>
        </row>
        <row r="69">
          <cell r="C69">
            <v>45.298014875671996</v>
          </cell>
          <cell r="D69">
            <v>103.20750757994</v>
          </cell>
          <cell r="E69">
            <v>0</v>
          </cell>
          <cell r="F69">
            <v>2.2006219099999998E-2</v>
          </cell>
          <cell r="G69">
            <v>0</v>
          </cell>
          <cell r="H69">
            <v>3.0004422413793104</v>
          </cell>
        </row>
        <row r="72">
          <cell r="C72">
            <v>351.45652863896544</v>
          </cell>
          <cell r="D72">
            <v>2463.2772563213871</v>
          </cell>
          <cell r="E72">
            <v>4.0052620301E-2</v>
          </cell>
          <cell r="F72">
            <v>3325.1767066552861</v>
          </cell>
          <cell r="G72">
            <v>1.0839556097E-2</v>
          </cell>
          <cell r="H72">
            <v>4942.8460168449501</v>
          </cell>
        </row>
        <row r="76">
          <cell r="E76">
            <v>0</v>
          </cell>
          <cell r="F76">
            <v>16643.208768768694</v>
          </cell>
          <cell r="G76">
            <v>7.3427815400000003E-4</v>
          </cell>
          <cell r="H76">
            <v>26786.902783914571</v>
          </cell>
        </row>
        <row r="77">
          <cell r="C77">
            <v>13.097156102</v>
          </cell>
          <cell r="D77">
            <v>351.04988710968001</v>
          </cell>
        </row>
        <row r="78">
          <cell r="C78">
            <v>0</v>
          </cell>
          <cell r="D78">
            <v>0</v>
          </cell>
        </row>
        <row r="79">
          <cell r="C79">
            <v>-1.56E-9</v>
          </cell>
          <cell r="D79">
            <v>380.30537707639405</v>
          </cell>
        </row>
        <row r="80">
          <cell r="C80">
            <v>2.98713904E-4</v>
          </cell>
          <cell r="D80">
            <v>852.05685956833406</v>
          </cell>
        </row>
        <row r="81">
          <cell r="C81">
            <v>10.760700045858002</v>
          </cell>
          <cell r="D81">
            <v>1477.4595119319142</v>
          </cell>
        </row>
        <row r="82">
          <cell r="C82">
            <v>9.5117598683579985</v>
          </cell>
          <cell r="D82">
            <v>15.991609315224</v>
          </cell>
        </row>
        <row r="83">
          <cell r="C83">
            <v>0</v>
          </cell>
          <cell r="D83">
            <v>6.1520820399999998</v>
          </cell>
        </row>
        <row r="84">
          <cell r="E84">
            <v>2.6483049999999997E-3</v>
          </cell>
          <cell r="F84">
            <v>5794.4204121235889</v>
          </cell>
          <cell r="G84">
            <v>0</v>
          </cell>
          <cell r="H84">
            <v>10787.659502047693</v>
          </cell>
        </row>
        <row r="86">
          <cell r="C86">
            <v>428.06983079000003</v>
          </cell>
          <cell r="D86">
            <v>1836.7056813908782</v>
          </cell>
        </row>
        <row r="89">
          <cell r="C89">
            <v>0</v>
          </cell>
          <cell r="D89">
            <v>827.1543978193265</v>
          </cell>
        </row>
        <row r="92">
          <cell r="C92">
            <v>329.88824505061154</v>
          </cell>
          <cell r="D92">
            <v>638.75404849999995</v>
          </cell>
        </row>
        <row r="93">
          <cell r="C93">
            <v>7.1215276009999953E-3</v>
          </cell>
          <cell r="D93">
            <v>1121.8383566927869</v>
          </cell>
          <cell r="E93">
            <v>1.8236780000000001E-2</v>
          </cell>
          <cell r="F93">
            <v>365.53551718692393</v>
          </cell>
          <cell r="G93">
            <v>2.8000000000000002E-7</v>
          </cell>
          <cell r="H93">
            <v>2237.2212113172782</v>
          </cell>
        </row>
        <row r="94">
          <cell r="E94">
            <v>0</v>
          </cell>
          <cell r="F94">
            <v>6.9500030875000007E-2</v>
          </cell>
          <cell r="G94">
            <v>0</v>
          </cell>
          <cell r="H94">
            <v>96.185565029949998</v>
          </cell>
        </row>
        <row r="95">
          <cell r="C95">
            <v>449.57171200776895</v>
          </cell>
          <cell r="D95">
            <v>3003.1632465747989</v>
          </cell>
          <cell r="E95">
            <v>0.8</v>
          </cell>
          <cell r="F95">
            <v>7625.0923685553362</v>
          </cell>
          <cell r="G95">
            <v>29.380227570000017</v>
          </cell>
          <cell r="H95">
            <v>14905.782046541213</v>
          </cell>
        </row>
        <row r="96">
          <cell r="C96">
            <v>142.94105929663559</v>
          </cell>
          <cell r="D96">
            <v>125.99082719492162</v>
          </cell>
        </row>
        <row r="97">
          <cell r="C97">
            <v>173.67423839277421</v>
          </cell>
          <cell r="D97">
            <v>1403.5735126490172</v>
          </cell>
          <cell r="E97">
            <v>5.1099993805789996</v>
          </cell>
          <cell r="F97">
            <v>2938.8817432058927</v>
          </cell>
          <cell r="G97">
            <v>1.5171999999999998E-3</v>
          </cell>
          <cell r="H97">
            <v>709.86658912858093</v>
          </cell>
        </row>
        <row r="98">
          <cell r="C98">
            <v>1954.4545440595341</v>
          </cell>
          <cell r="D98">
            <v>14606.917451808977</v>
          </cell>
          <cell r="E98">
            <v>5.9709370858799993</v>
          </cell>
          <cell r="F98">
            <v>36692.407022745698</v>
          </cell>
          <cell r="G98">
            <v>29.507088434251017</v>
          </cell>
          <cell r="H98">
            <v>60469.454157061409</v>
          </cell>
          <cell r="I98">
            <v>113758.71120119574</v>
          </cell>
        </row>
        <row r="100">
          <cell r="I100">
            <v>19040.08963790561</v>
          </cell>
        </row>
      </sheetData>
      <sheetData sheetId="1"/>
      <sheetData sheetId="2">
        <row r="16">
          <cell r="N16">
            <v>53436.788286894734</v>
          </cell>
          <cell r="AA16">
            <v>52069.457169627254</v>
          </cell>
        </row>
        <row r="17">
          <cell r="N17">
            <v>13277.369183576082</v>
          </cell>
          <cell r="AA17">
            <v>16561.290383931821</v>
          </cell>
        </row>
        <row r="23">
          <cell r="N23">
            <v>15907.071067041641</v>
          </cell>
          <cell r="AA23">
            <v>7356.7670239537547</v>
          </cell>
        </row>
        <row r="36">
          <cell r="N36">
            <v>9737.1932794579498</v>
          </cell>
          <cell r="AA36">
            <v>9180.6165491240099</v>
          </cell>
        </row>
        <row r="76">
          <cell r="N76">
            <v>281.50862334397681</v>
          </cell>
          <cell r="AA76">
            <v>1020.052339712</v>
          </cell>
        </row>
        <row r="82">
          <cell r="N82">
            <v>29399.780341298498</v>
          </cell>
          <cell r="AA82">
            <v>31933.501600258038</v>
          </cell>
        </row>
        <row r="103">
          <cell r="N103">
            <v>21.257719206021218</v>
          </cell>
          <cell r="AA103">
            <v>305.62079344562329</v>
          </cell>
        </row>
        <row r="131">
          <cell r="N131">
            <v>3704.7209070590516</v>
          </cell>
          <cell r="AA131">
            <v>11644.703781708135</v>
          </cell>
        </row>
        <row r="146">
          <cell r="N146">
            <v>452.45314436000001</v>
          </cell>
          <cell r="AA146">
            <v>104.36884425983001</v>
          </cell>
        </row>
        <row r="149">
          <cell r="N149">
            <v>818.15204485298796</v>
          </cell>
          <cell r="AA149">
            <v>143.56655848182501</v>
          </cell>
        </row>
        <row r="152">
          <cell r="AA152">
            <v>113758.65466057048</v>
          </cell>
        </row>
      </sheetData>
      <sheetData sheetId="3">
        <row r="14">
          <cell r="D14">
            <v>563.0742783389976</v>
          </cell>
          <cell r="G14">
            <v>1989.9709040514688</v>
          </cell>
        </row>
        <row r="16">
          <cell r="D16">
            <v>87622.436023033879</v>
          </cell>
          <cell r="G16">
            <v>81533.916203239933</v>
          </cell>
        </row>
        <row r="17">
          <cell r="D17">
            <v>755.39030426782483</v>
          </cell>
          <cell r="G17">
            <v>1635.9028938926347</v>
          </cell>
        </row>
        <row r="18">
          <cell r="D18">
            <v>179.54546121734901</v>
          </cell>
          <cell r="G18">
            <v>324.42028412037604</v>
          </cell>
        </row>
        <row r="19">
          <cell r="D19">
            <v>130.690900212</v>
          </cell>
          <cell r="G19">
            <v>154.81349807860101</v>
          </cell>
        </row>
        <row r="20">
          <cell r="D20">
            <v>9241.905608486175</v>
          </cell>
          <cell r="G20">
            <v>11434.573676589731</v>
          </cell>
        </row>
        <row r="21">
          <cell r="D21">
            <v>8796.8599403978842</v>
          </cell>
          <cell r="G21">
            <v>11222.16784739423</v>
          </cell>
        </row>
        <row r="22">
          <cell r="D22">
            <v>3214.3597996185358</v>
          </cell>
          <cell r="G22">
            <v>1791.2843457648876</v>
          </cell>
        </row>
        <row r="23">
          <cell r="D23">
            <v>3254.5779757546802</v>
          </cell>
          <cell r="G23">
            <v>3671.6573339268612</v>
          </cell>
        </row>
        <row r="24">
          <cell r="G24">
            <v>113758.76350239261</v>
          </cell>
        </row>
      </sheetData>
      <sheetData sheetId="4"/>
      <sheetData sheetId="5"/>
      <sheetData sheetId="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0.45933559308510641</v>
          </cell>
          <cell r="D14">
            <v>0</v>
          </cell>
          <cell r="E14">
            <v>0</v>
          </cell>
          <cell r="F14">
            <v>0</v>
          </cell>
          <cell r="G14">
            <v>0</v>
          </cell>
          <cell r="H14">
            <v>449.50894216414895</v>
          </cell>
        </row>
        <row r="18">
          <cell r="C18">
            <v>154.46639449659574</v>
          </cell>
          <cell r="D18">
            <v>1149.9009652669574</v>
          </cell>
          <cell r="E18">
            <v>273.45734562765955</v>
          </cell>
          <cell r="F18">
            <v>492.04175830723409</v>
          </cell>
          <cell r="G18">
            <v>1.2748273404255319</v>
          </cell>
          <cell r="H18">
            <v>1387.6375319107733</v>
          </cell>
        </row>
        <row r="22">
          <cell r="E22">
            <v>240.34284447914897</v>
          </cell>
          <cell r="F22">
            <v>1778.980490830201</v>
          </cell>
          <cell r="G22">
            <v>91.895823545212735</v>
          </cell>
          <cell r="H22">
            <v>717.2309272512307</v>
          </cell>
        </row>
        <row r="23">
          <cell r="C23">
            <v>976.71470528723421</v>
          </cell>
          <cell r="D23">
            <v>345.66277716489361</v>
          </cell>
        </row>
        <row r="24">
          <cell r="C24">
            <v>129.75978559062224</v>
          </cell>
          <cell r="D24">
            <v>31.750321937829792</v>
          </cell>
        </row>
        <row r="25">
          <cell r="C25">
            <v>87.614617678191493</v>
          </cell>
          <cell r="D25">
            <v>796.34200296180848</v>
          </cell>
        </row>
        <row r="26">
          <cell r="C26">
            <v>75.671350414893624</v>
          </cell>
          <cell r="D26">
            <v>53.416036424149226</v>
          </cell>
        </row>
        <row r="27">
          <cell r="C27">
            <v>2640.5758254958846</v>
          </cell>
          <cell r="D27">
            <v>1620.4383954000496</v>
          </cell>
        </row>
        <row r="28">
          <cell r="C28">
            <v>5390.660997155097</v>
          </cell>
          <cell r="D28">
            <v>808.39229770040447</v>
          </cell>
        </row>
        <row r="29">
          <cell r="C29">
            <v>519.69486160241138</v>
          </cell>
          <cell r="D29">
            <v>369.36916765337764</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59.272464663170211</v>
          </cell>
          <cell r="D33">
            <v>1168.8322012967235</v>
          </cell>
          <cell r="E33">
            <v>3.470402743837866</v>
          </cell>
          <cell r="F33">
            <v>346.91792068358563</v>
          </cell>
          <cell r="G33">
            <v>2.9321708753315647</v>
          </cell>
          <cell r="H33">
            <v>88.021223617466561</v>
          </cell>
        </row>
        <row r="34">
          <cell r="C34">
            <v>1075.6874132313803</v>
          </cell>
          <cell r="D34">
            <v>1698.2188961176491</v>
          </cell>
          <cell r="E34">
            <v>428.24121994680854</v>
          </cell>
          <cell r="F34">
            <v>2167.0811569371272</v>
          </cell>
          <cell r="G34">
            <v>0</v>
          </cell>
          <cell r="H34">
            <v>544.72283254332092</v>
          </cell>
        </row>
        <row r="36">
          <cell r="C36">
            <v>240.97305989071037</v>
          </cell>
          <cell r="D36">
            <v>177.97742290821105</v>
          </cell>
          <cell r="E36">
            <v>82.655537020401468</v>
          </cell>
          <cell r="F36">
            <v>-365.07903969632491</v>
          </cell>
          <cell r="G36">
            <v>-2.5261214801061005</v>
          </cell>
          <cell r="H36">
            <v>499.6602905328121</v>
          </cell>
        </row>
        <row r="37">
          <cell r="C37">
            <v>418.79033917931213</v>
          </cell>
          <cell r="D37">
            <v>474.08759598282791</v>
          </cell>
          <cell r="E37">
            <v>-6.0478462553191496E-2</v>
          </cell>
          <cell r="F37">
            <v>54.645118147765956</v>
          </cell>
          <cell r="G37">
            <v>45.644262380319148</v>
          </cell>
          <cell r="H37">
            <v>238.77140479641184</v>
          </cell>
        </row>
        <row r="38">
          <cell r="C38">
            <v>11770.341150278589</v>
          </cell>
          <cell r="D38">
            <v>8694.3880808148824</v>
          </cell>
          <cell r="E38">
            <v>1028.1068713553034</v>
          </cell>
          <cell r="F38">
            <v>4474.5874052095887</v>
          </cell>
          <cell r="G38">
            <v>139.22096266118288</v>
          </cell>
          <cell r="H38">
            <v>3925.5531528161646</v>
          </cell>
          <cell r="I38">
            <v>30032.197623135704</v>
          </cell>
        </row>
        <row r="68">
          <cell r="C68">
            <v>145.38711555802388</v>
          </cell>
          <cell r="D68">
            <v>4.3091550376198464</v>
          </cell>
        </row>
        <row r="69">
          <cell r="C69">
            <v>921.97059789741149</v>
          </cell>
          <cell r="D69">
            <v>0.58510638563829787</v>
          </cell>
          <cell r="E69">
            <v>0</v>
          </cell>
          <cell r="F69">
            <v>11.436170212765957</v>
          </cell>
          <cell r="G69">
            <v>0</v>
          </cell>
          <cell r="H69">
            <v>24.221076669112254</v>
          </cell>
        </row>
        <row r="72">
          <cell r="C72">
            <v>445.43634614523904</v>
          </cell>
          <cell r="D72">
            <v>1855.1435479760239</v>
          </cell>
          <cell r="E72">
            <v>82.439628089688242</v>
          </cell>
          <cell r="F72">
            <v>474.0197604095232</v>
          </cell>
          <cell r="G72">
            <v>1E-8</v>
          </cell>
          <cell r="H72">
            <v>688.28794247222004</v>
          </cell>
        </row>
        <row r="76">
          <cell r="E76">
            <v>91.583068827260007</v>
          </cell>
          <cell r="F76">
            <v>987.65414198717451</v>
          </cell>
          <cell r="G76">
            <v>4.0454158989361755</v>
          </cell>
          <cell r="H76">
            <v>497.62918753966579</v>
          </cell>
        </row>
        <row r="77">
          <cell r="C77">
            <v>473.57511602298143</v>
          </cell>
          <cell r="D77">
            <v>33.57867121252022</v>
          </cell>
        </row>
        <row r="78">
          <cell r="C78">
            <v>0</v>
          </cell>
          <cell r="D78">
            <v>0</v>
          </cell>
        </row>
        <row r="79">
          <cell r="C79">
            <v>75.567321461388772</v>
          </cell>
          <cell r="D79">
            <v>20.038358743580766</v>
          </cell>
        </row>
        <row r="80">
          <cell r="C80">
            <v>1.6528340425531913</v>
          </cell>
          <cell r="D80">
            <v>193.45686843574467</v>
          </cell>
        </row>
        <row r="81">
          <cell r="C81">
            <v>3386.2577940451829</v>
          </cell>
          <cell r="D81">
            <v>314.43769846558848</v>
          </cell>
        </row>
        <row r="82">
          <cell r="C82">
            <v>4918.0975047329202</v>
          </cell>
          <cell r="D82">
            <v>125.20693649343488</v>
          </cell>
        </row>
        <row r="83">
          <cell r="C83">
            <v>189.90281946010657</v>
          </cell>
          <cell r="D83">
            <v>45.919726380212772</v>
          </cell>
        </row>
        <row r="84">
          <cell r="E84">
            <v>2.6529586877663907E-3</v>
          </cell>
          <cell r="F84">
            <v>864.16017401346357</v>
          </cell>
          <cell r="G84">
            <v>1.2832852606382981</v>
          </cell>
          <cell r="H84">
            <v>1312.3379187696744</v>
          </cell>
        </row>
        <row r="86">
          <cell r="C86">
            <v>923.67412869308509</v>
          </cell>
          <cell r="D86">
            <v>2149.1726105860066</v>
          </cell>
        </row>
        <row r="89">
          <cell r="C89">
            <v>9.3797193936170196</v>
          </cell>
          <cell r="D89">
            <v>502.64938593168768</v>
          </cell>
        </row>
        <row r="92">
          <cell r="C92">
            <v>719.11813354748745</v>
          </cell>
          <cell r="D92">
            <v>969.63881578797873</v>
          </cell>
        </row>
        <row r="93">
          <cell r="C93">
            <v>0</v>
          </cell>
          <cell r="D93">
            <v>0</v>
          </cell>
          <cell r="E93">
            <v>0</v>
          </cell>
          <cell r="F93">
            <v>1.8353E-4</v>
          </cell>
          <cell r="G93">
            <v>0</v>
          </cell>
          <cell r="H93">
            <v>0</v>
          </cell>
        </row>
        <row r="94">
          <cell r="E94">
            <v>0</v>
          </cell>
          <cell r="F94">
            <v>0</v>
          </cell>
          <cell r="G94">
            <v>0</v>
          </cell>
          <cell r="H94">
            <v>0</v>
          </cell>
        </row>
        <row r="95">
          <cell r="C95">
            <v>97.357974458937647</v>
          </cell>
          <cell r="D95">
            <v>2169.1167686765957</v>
          </cell>
          <cell r="E95">
            <v>-2.6861702127659578E-7</v>
          </cell>
          <cell r="F95">
            <v>111.97115118435275</v>
          </cell>
          <cell r="G95">
            <v>0</v>
          </cell>
          <cell r="H95">
            <v>1755.4609237086388</v>
          </cell>
        </row>
        <row r="96">
          <cell r="C96">
            <v>160.06672828634046</v>
          </cell>
          <cell r="D96">
            <v>73.567754588338275</v>
          </cell>
        </row>
        <row r="97">
          <cell r="C97">
            <v>960.27665246843776</v>
          </cell>
          <cell r="D97">
            <v>481.71169749449672</v>
          </cell>
          <cell r="E97">
            <v>27.203975476003823</v>
          </cell>
          <cell r="F97">
            <v>251.97079408576968</v>
          </cell>
          <cell r="G97">
            <v>2.0103723404255312E-5</v>
          </cell>
          <cell r="H97">
            <v>480.19436494246696</v>
          </cell>
        </row>
        <row r="98">
          <cell r="C98">
            <v>13427.720786213711</v>
          </cell>
          <cell r="D98">
            <v>8938.5331021954662</v>
          </cell>
          <cell r="E98">
            <v>201.22932508302276</v>
          </cell>
          <cell r="F98">
            <v>2701.2123754230497</v>
          </cell>
          <cell r="G98">
            <v>5.3287212732978784</v>
          </cell>
          <cell r="H98">
            <v>4758.1314141017783</v>
          </cell>
          <cell r="I98">
            <v>30032.155724290329</v>
          </cell>
        </row>
      </sheetData>
      <sheetData sheetId="1"/>
      <sheetData sheetId="2">
        <row r="16">
          <cell r="N16">
            <v>26212.807788509108</v>
          </cell>
          <cell r="AA16">
            <v>25331.551657867385</v>
          </cell>
        </row>
        <row r="17">
          <cell r="N17">
            <v>20464.785721493874</v>
          </cell>
          <cell r="AA17">
            <v>22366.222921686316</v>
          </cell>
        </row>
        <row r="23">
          <cell r="N23">
            <v>1251.1500372278272</v>
          </cell>
          <cell r="AA23">
            <v>1746.4669227743782</v>
          </cell>
        </row>
        <row r="36">
          <cell r="N36">
            <v>592.40693917859835</v>
          </cell>
          <cell r="AA36">
            <v>659.15608738087303</v>
          </cell>
        </row>
        <row r="76">
          <cell r="N76">
            <v>35.740518581927589</v>
          </cell>
          <cell r="AA76">
            <v>76.507937859097979</v>
          </cell>
        </row>
        <row r="82">
          <cell r="N82">
            <v>1379.8685391020131</v>
          </cell>
          <cell r="AA82">
            <v>1398.4953247463932</v>
          </cell>
        </row>
        <row r="103">
          <cell r="N103">
            <v>0.30209021276595749</v>
          </cell>
          <cell r="AA103">
            <v>27.3</v>
          </cell>
        </row>
        <row r="131">
          <cell r="N131">
            <v>556.73668550675416</v>
          </cell>
          <cell r="AA131">
            <v>747.13236190709426</v>
          </cell>
        </row>
        <row r="146">
          <cell r="N146">
            <v>3.2326069249202125</v>
          </cell>
          <cell r="AA146">
            <v>9.8404255319148941</v>
          </cell>
        </row>
        <row r="149">
          <cell r="N149">
            <v>0</v>
          </cell>
          <cell r="AA149">
            <v>35.674379359999996</v>
          </cell>
        </row>
        <row r="152">
          <cell r="AA152">
            <v>30032.124825212282</v>
          </cell>
        </row>
      </sheetData>
      <sheetData sheetId="3">
        <row r="14">
          <cell r="D14">
            <v>12937.625060287832</v>
          </cell>
          <cell r="G14">
            <v>13634.321144935666</v>
          </cell>
        </row>
        <row r="16">
          <cell r="D16">
            <v>14557.820468336135</v>
          </cell>
          <cell r="G16">
            <v>12636.586888314265</v>
          </cell>
        </row>
        <row r="17">
          <cell r="D17">
            <v>121.01782674871497</v>
          </cell>
          <cell r="G17">
            <v>121.69755556676073</v>
          </cell>
        </row>
        <row r="18">
          <cell r="D18">
            <v>0.71396940087234051</v>
          </cell>
          <cell r="G18">
            <v>0.76548369242016001</v>
          </cell>
        </row>
        <row r="19">
          <cell r="D19">
            <v>0.43961076595744686</v>
          </cell>
          <cell r="G19">
            <v>0.46918124653216581</v>
          </cell>
        </row>
        <row r="20">
          <cell r="D20">
            <v>691.31294359287813</v>
          </cell>
          <cell r="G20">
            <v>809.04089588908357</v>
          </cell>
        </row>
        <row r="21">
          <cell r="D21">
            <v>783.26778895921291</v>
          </cell>
          <cell r="G21">
            <v>333.94421327328575</v>
          </cell>
        </row>
        <row r="22">
          <cell r="D22">
            <v>927.22783600067146</v>
          </cell>
          <cell r="G22">
            <v>1130.9939689686569</v>
          </cell>
        </row>
        <row r="23">
          <cell r="D23">
            <v>12.778041428830008</v>
          </cell>
          <cell r="G23">
            <v>1364.259961525712</v>
          </cell>
        </row>
        <row r="24">
          <cell r="G24">
            <v>30032.079293412382</v>
          </cell>
        </row>
      </sheetData>
      <sheetData sheetId="4"/>
      <sheetData sheetId="5"/>
      <sheetData sheetId="6"/>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0.4610745877659575</v>
          </cell>
          <cell r="D14">
            <v>0</v>
          </cell>
          <cell r="E14">
            <v>0</v>
          </cell>
          <cell r="F14">
            <v>0</v>
          </cell>
          <cell r="G14">
            <v>0</v>
          </cell>
          <cell r="H14">
            <v>417.0212765657447</v>
          </cell>
        </row>
        <row r="18">
          <cell r="C18">
            <v>148.80915936095744</v>
          </cell>
          <cell r="D18">
            <v>1120.3605438109787</v>
          </cell>
          <cell r="E18">
            <v>275.40265110372343</v>
          </cell>
          <cell r="F18">
            <v>2577.9912904241705</v>
          </cell>
          <cell r="G18">
            <v>0.30941632446808509</v>
          </cell>
          <cell r="H18">
            <v>1468.3578393132448</v>
          </cell>
        </row>
        <row r="22">
          <cell r="E22">
            <v>188.69189893674471</v>
          </cell>
          <cell r="F22">
            <v>743.83573921908408</v>
          </cell>
          <cell r="G22">
            <v>93.780683510638255</v>
          </cell>
          <cell r="H22">
            <v>674.70417235227103</v>
          </cell>
        </row>
        <row r="23">
          <cell r="C23">
            <v>1028.0923652393617</v>
          </cell>
          <cell r="D23">
            <v>357.71499263031916</v>
          </cell>
        </row>
        <row r="24">
          <cell r="C24">
            <v>133.07383148725154</v>
          </cell>
          <cell r="D24">
            <v>36.912258895489366</v>
          </cell>
        </row>
        <row r="25">
          <cell r="C25">
            <v>107.22640815159573</v>
          </cell>
          <cell r="D25">
            <v>736.64266223965444</v>
          </cell>
        </row>
        <row r="26">
          <cell r="C26">
            <v>65.728045178191479</v>
          </cell>
          <cell r="D26">
            <v>53.364934891479493</v>
          </cell>
        </row>
        <row r="27">
          <cell r="C27">
            <v>2613.8772272358474</v>
          </cell>
          <cell r="D27">
            <v>1205.7073402782733</v>
          </cell>
        </row>
        <row r="28">
          <cell r="C28">
            <v>5400.2644614427636</v>
          </cell>
          <cell r="D28">
            <v>831.38960255806387</v>
          </cell>
        </row>
        <row r="29">
          <cell r="C29">
            <v>484.67074458379432</v>
          </cell>
          <cell r="D29">
            <v>320.60869326156171</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58.795572413787234</v>
          </cell>
          <cell r="D33">
            <v>1165.041420046851</v>
          </cell>
          <cell r="E33">
            <v>3.6342990204336107</v>
          </cell>
          <cell r="F33">
            <v>346.81819419641141</v>
          </cell>
          <cell r="G33">
            <v>2.9321708753315647</v>
          </cell>
          <cell r="H33">
            <v>140.22384163408489</v>
          </cell>
        </row>
        <row r="34">
          <cell r="C34">
            <v>1077.3902337101069</v>
          </cell>
          <cell r="D34">
            <v>1679.4163834662222</v>
          </cell>
          <cell r="E34">
            <v>426.62809015957447</v>
          </cell>
          <cell r="F34">
            <v>2165.7371161143983</v>
          </cell>
          <cell r="G34">
            <v>0</v>
          </cell>
          <cell r="H34">
            <v>544.72283254332092</v>
          </cell>
        </row>
        <row r="36">
          <cell r="C36">
            <v>255.03499248443887</v>
          </cell>
          <cell r="D36">
            <v>444.75817769189996</v>
          </cell>
          <cell r="E36">
            <v>93.738088602848549</v>
          </cell>
          <cell r="F36">
            <v>-361.40686819696538</v>
          </cell>
          <cell r="G36">
            <v>-2.5460367400530504</v>
          </cell>
          <cell r="H36">
            <v>500.65350429001535</v>
          </cell>
        </row>
        <row r="37">
          <cell r="C37">
            <v>364.7403111534104</v>
          </cell>
          <cell r="D37">
            <v>705.51725127405973</v>
          </cell>
          <cell r="E37">
            <v>2.7889494680851065E-3</v>
          </cell>
          <cell r="F37">
            <v>28.151637220744679</v>
          </cell>
          <cell r="G37">
            <v>1.9982368005319151</v>
          </cell>
          <cell r="H37">
            <v>173.08644127109272</v>
          </cell>
        </row>
        <row r="38">
          <cell r="C38">
            <v>11738.164427029273</v>
          </cell>
          <cell r="D38">
            <v>8657.434261044853</v>
          </cell>
          <cell r="E38">
            <v>988.09781677279284</v>
          </cell>
          <cell r="F38">
            <v>5501.1271089778429</v>
          </cell>
          <cell r="G38">
            <v>96.474470770916753</v>
          </cell>
          <cell r="H38">
            <v>3918.7699079697741</v>
          </cell>
          <cell r="I38">
            <v>30900.067992565451</v>
          </cell>
        </row>
        <row r="68">
          <cell r="C68">
            <v>144.93013663738165</v>
          </cell>
          <cell r="D68">
            <v>5.1267832342553197</v>
          </cell>
        </row>
        <row r="69">
          <cell r="C69">
            <v>908.56530893996478</v>
          </cell>
          <cell r="D69">
            <v>5.3191492021276598E-2</v>
          </cell>
          <cell r="E69">
            <v>0</v>
          </cell>
          <cell r="F69">
            <v>12.234042553191488</v>
          </cell>
          <cell r="G69">
            <v>0</v>
          </cell>
          <cell r="H69">
            <v>22.893617021276597</v>
          </cell>
        </row>
        <row r="72">
          <cell r="C72">
            <v>539.1706624242953</v>
          </cell>
          <cell r="D72">
            <v>1793.7418583426015</v>
          </cell>
          <cell r="E72">
            <v>1E-8</v>
          </cell>
          <cell r="F72">
            <v>520.92361897425383</v>
          </cell>
          <cell r="G72">
            <v>0.26595745680851063</v>
          </cell>
          <cell r="H72">
            <v>801.94017507908029</v>
          </cell>
        </row>
        <row r="76">
          <cell r="E76">
            <v>91.937243518749355</v>
          </cell>
          <cell r="F76">
            <v>1010.0577306930229</v>
          </cell>
          <cell r="G76">
            <v>7.9034078297872323</v>
          </cell>
          <cell r="H76">
            <v>458.26844798720447</v>
          </cell>
        </row>
        <row r="77">
          <cell r="C77">
            <v>496.19450537672321</v>
          </cell>
          <cell r="D77">
            <v>33.319819861437814</v>
          </cell>
        </row>
        <row r="78">
          <cell r="C78">
            <v>0</v>
          </cell>
          <cell r="D78">
            <v>0</v>
          </cell>
        </row>
        <row r="79">
          <cell r="C79">
            <v>77.929631476628145</v>
          </cell>
          <cell r="D79">
            <v>20.048579131878636</v>
          </cell>
        </row>
        <row r="80">
          <cell r="C80">
            <v>1.4550563377659573</v>
          </cell>
          <cell r="D80">
            <v>203.28774564106385</v>
          </cell>
        </row>
        <row r="81">
          <cell r="C81">
            <v>3401.2966720114573</v>
          </cell>
          <cell r="D81">
            <v>315.2405782874531</v>
          </cell>
        </row>
        <row r="82">
          <cell r="C82">
            <v>4917.8718829553191</v>
          </cell>
          <cell r="D82">
            <v>129.68704105638309</v>
          </cell>
        </row>
        <row r="83">
          <cell r="C83">
            <v>200.26595806648945</v>
          </cell>
          <cell r="D83">
            <v>45.840984360212772</v>
          </cell>
        </row>
        <row r="84">
          <cell r="E84">
            <v>2.6529586877663907E-3</v>
          </cell>
          <cell r="F84">
            <v>874.94118872843876</v>
          </cell>
          <cell r="G84">
            <v>1.2832852606382981</v>
          </cell>
          <cell r="H84">
            <v>1941.5179212860587</v>
          </cell>
        </row>
        <row r="86">
          <cell r="C86">
            <v>975.39889090138297</v>
          </cell>
          <cell r="D86">
            <v>1956.2670558226234</v>
          </cell>
        </row>
        <row r="89">
          <cell r="C89">
            <v>3.1386555372340408</v>
          </cell>
          <cell r="D89">
            <v>502.60986342332023</v>
          </cell>
        </row>
        <row r="92">
          <cell r="C92">
            <v>718.95890660036457</v>
          </cell>
          <cell r="D92">
            <v>1167.6464084530851</v>
          </cell>
        </row>
        <row r="93">
          <cell r="C93">
            <v>0</v>
          </cell>
          <cell r="D93">
            <v>0</v>
          </cell>
          <cell r="E93">
            <v>0</v>
          </cell>
          <cell r="F93">
            <v>0</v>
          </cell>
          <cell r="G93">
            <v>0</v>
          </cell>
          <cell r="H93">
            <v>0</v>
          </cell>
        </row>
        <row r="94">
          <cell r="E94">
            <v>0</v>
          </cell>
          <cell r="F94">
            <v>0</v>
          </cell>
          <cell r="G94">
            <v>0</v>
          </cell>
          <cell r="H94">
            <v>0</v>
          </cell>
        </row>
        <row r="95">
          <cell r="C95">
            <v>98.090105711384453</v>
          </cell>
          <cell r="D95">
            <v>2232.8429356140782</v>
          </cell>
          <cell r="E95">
            <v>-2.6861702127659578E-7</v>
          </cell>
          <cell r="F95">
            <v>112.05061718398511</v>
          </cell>
          <cell r="G95">
            <v>0</v>
          </cell>
          <cell r="H95">
            <v>1714.6330476138955</v>
          </cell>
        </row>
        <row r="96">
          <cell r="C96">
            <v>158.98381314747965</v>
          </cell>
          <cell r="D96">
            <v>73.86551546291274</v>
          </cell>
        </row>
        <row r="97">
          <cell r="C97">
            <v>985.92620765366121</v>
          </cell>
          <cell r="D97">
            <v>457.50400441956583</v>
          </cell>
          <cell r="E97">
            <v>27.202720529009053</v>
          </cell>
          <cell r="F97">
            <v>255.75731719814098</v>
          </cell>
          <cell r="G97">
            <v>2.0103723404255302E-5</v>
          </cell>
          <cell r="H97">
            <v>480.83417277750891</v>
          </cell>
        </row>
        <row r="98">
          <cell r="C98">
            <v>13628.176393777536</v>
          </cell>
          <cell r="D98">
            <v>8937.082364602893</v>
          </cell>
          <cell r="E98">
            <v>119.14261674782915</v>
          </cell>
          <cell r="F98">
            <v>2785.964515331033</v>
          </cell>
          <cell r="G98">
            <v>9.4526706509574456</v>
          </cell>
          <cell r="H98">
            <v>5420.0873817650245</v>
          </cell>
          <cell r="I98">
            <v>30899.90594287527</v>
          </cell>
        </row>
      </sheetData>
      <sheetData sheetId="1"/>
      <sheetData sheetId="2">
        <row r="16">
          <cell r="N16">
            <v>26804.133808338651</v>
          </cell>
          <cell r="AA16">
            <v>25530.303858230611</v>
          </cell>
        </row>
        <row r="17">
          <cell r="N17">
            <v>20395.618957647654</v>
          </cell>
          <cell r="AA17">
            <v>22565.216790939983</v>
          </cell>
        </row>
        <row r="23">
          <cell r="N23">
            <v>1609.6020803752876</v>
          </cell>
          <cell r="AA23">
            <v>1668.6902597138549</v>
          </cell>
        </row>
        <row r="36">
          <cell r="N36">
            <v>869.55124785413022</v>
          </cell>
          <cell r="AA36">
            <v>657.20033788462717</v>
          </cell>
        </row>
        <row r="76">
          <cell r="N76">
            <v>24.160832313642139</v>
          </cell>
          <cell r="AA76">
            <v>79.673440707289473</v>
          </cell>
        </row>
        <row r="82">
          <cell r="N82">
            <v>1366.24323476218</v>
          </cell>
          <cell r="AA82">
            <v>1377.5952875204619</v>
          </cell>
        </row>
        <row r="103">
          <cell r="N103">
            <v>0.31296719680851065</v>
          </cell>
          <cell r="AA103">
            <v>27.1</v>
          </cell>
        </row>
        <row r="131">
          <cell r="N131">
            <v>224.02735553150171</v>
          </cell>
          <cell r="AA131">
            <v>1513.9284875311814</v>
          </cell>
        </row>
        <row r="146">
          <cell r="N146">
            <v>2.1483322706648935</v>
          </cell>
          <cell r="AA146">
            <v>9.8404255319148941</v>
          </cell>
        </row>
        <row r="149">
          <cell r="N149">
            <v>0</v>
          </cell>
          <cell r="AA149">
            <v>35.674379359999996</v>
          </cell>
        </row>
        <row r="152">
          <cell r="AA152">
            <v>30900.006204238558</v>
          </cell>
        </row>
      </sheetData>
      <sheetData sheetId="3">
        <row r="14">
          <cell r="D14">
            <v>12822.727545028278</v>
          </cell>
          <cell r="G14">
            <v>13756.827854805268</v>
          </cell>
        </row>
        <row r="16">
          <cell r="D16">
            <v>13225.393733132021</v>
          </cell>
          <cell r="G16">
            <v>13294.492855836817</v>
          </cell>
        </row>
        <row r="17">
          <cell r="D17">
            <v>96.219640777372334</v>
          </cell>
          <cell r="G17">
            <v>112.9371393526723</v>
          </cell>
        </row>
        <row r="18">
          <cell r="D18">
            <v>0.67833763861702134</v>
          </cell>
          <cell r="G18">
            <v>0.70702538992281938</v>
          </cell>
        </row>
        <row r="19">
          <cell r="D19">
            <v>0.4442524069148937</v>
          </cell>
          <cell r="G19">
            <v>0.75440511089386797</v>
          </cell>
        </row>
        <row r="20">
          <cell r="D20">
            <v>714.68607761927353</v>
          </cell>
          <cell r="G20">
            <v>842.42268792937148</v>
          </cell>
        </row>
        <row r="21">
          <cell r="D21">
            <v>832.53291075817015</v>
          </cell>
          <cell r="G21">
            <v>431.58613272244696</v>
          </cell>
        </row>
        <row r="22">
          <cell r="D22">
            <v>3193.1297266910674</v>
          </cell>
          <cell r="G22">
            <v>1041.1173342979246</v>
          </cell>
        </row>
        <row r="23">
          <cell r="D23">
            <v>13.990679700106185</v>
          </cell>
          <cell r="G23">
            <v>1419.1011904225536</v>
          </cell>
        </row>
        <row r="24">
          <cell r="G24">
            <v>30899.946625867869</v>
          </cell>
        </row>
      </sheetData>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11.973364045</v>
          </cell>
          <cell r="D14">
            <v>141.34100000000001</v>
          </cell>
        </row>
        <row r="18">
          <cell r="C18">
            <v>267.65469886</v>
          </cell>
          <cell r="D18">
            <v>852.81282566300013</v>
          </cell>
        </row>
        <row r="23">
          <cell r="C23">
            <v>1180.0572197922697</v>
          </cell>
          <cell r="D23">
            <v>235.207836657</v>
          </cell>
        </row>
        <row r="24">
          <cell r="C24">
            <v>878.21188322099999</v>
          </cell>
          <cell r="D24">
            <v>113.74721258700001</v>
          </cell>
        </row>
        <row r="25">
          <cell r="C25">
            <v>152.6074519773</v>
          </cell>
          <cell r="D25">
            <v>397.62575885197009</v>
          </cell>
        </row>
        <row r="26">
          <cell r="C26">
            <v>223.10900458500001</v>
          </cell>
          <cell r="D26">
            <v>130.34272997951001</v>
          </cell>
        </row>
        <row r="27">
          <cell r="C27">
            <v>2414.3300275422257</v>
          </cell>
          <cell r="D27">
            <v>1202.4013183438415</v>
          </cell>
        </row>
        <row r="28">
          <cell r="C28">
            <v>5141.2840924045013</v>
          </cell>
          <cell r="D28">
            <v>1056.4968789349891</v>
          </cell>
        </row>
        <row r="29">
          <cell r="C29">
            <v>224.88880428700006</v>
          </cell>
          <cell r="D29">
            <v>34.454000000000008</v>
          </cell>
        </row>
        <row r="30">
          <cell r="C30">
            <v>0</v>
          </cell>
          <cell r="D30">
            <v>6.8</v>
          </cell>
        </row>
        <row r="31">
          <cell r="C31">
            <v>3.456</v>
          </cell>
          <cell r="D31">
            <v>9.6340062500000005</v>
          </cell>
        </row>
        <row r="33">
          <cell r="C33">
            <v>228.75554433700003</v>
          </cell>
          <cell r="D33">
            <v>76.535843892999992</v>
          </cell>
        </row>
        <row r="34">
          <cell r="C34">
            <v>1542.5394442100007</v>
          </cell>
          <cell r="D34">
            <v>405.09875586818623</v>
          </cell>
        </row>
        <row r="36">
          <cell r="C36">
            <v>1046.3660118174037</v>
          </cell>
          <cell r="D36">
            <v>73.847250645910762</v>
          </cell>
        </row>
        <row r="37">
          <cell r="C37">
            <v>322.66104807949262</v>
          </cell>
          <cell r="D37">
            <v>358.02895458525944</v>
          </cell>
        </row>
        <row r="38">
          <cell r="C38">
            <v>13637.895474158193</v>
          </cell>
          <cell r="D38">
            <v>5094.3743722596682</v>
          </cell>
          <cell r="E38">
            <v>698.11644899027795</v>
          </cell>
          <cell r="F38">
            <v>9309.4123908007859</v>
          </cell>
          <cell r="G38">
            <v>553.78884919843233</v>
          </cell>
          <cell r="H38">
            <v>5050.7069008513918</v>
          </cell>
          <cell r="I38">
            <v>34344.294436258751</v>
          </cell>
        </row>
        <row r="40">
          <cell r="I40">
            <v>6150.7876680467534</v>
          </cell>
        </row>
        <row r="68">
          <cell r="C68">
            <v>140.61444242033517</v>
          </cell>
          <cell r="D68">
            <v>4.7275829849999997</v>
          </cell>
        </row>
        <row r="69">
          <cell r="C69">
            <v>1439.5182898314267</v>
          </cell>
          <cell r="D69">
            <v>2.0000001E-2</v>
          </cell>
        </row>
        <row r="72">
          <cell r="C72">
            <v>450.98155364399059</v>
          </cell>
          <cell r="D72">
            <v>549.22253624017389</v>
          </cell>
        </row>
        <row r="76">
          <cell r="C76">
            <v>7821.2360359682025</v>
          </cell>
          <cell r="D76">
            <v>1967.7639457028986</v>
          </cell>
        </row>
        <row r="77">
          <cell r="C77">
            <v>219.92618707199992</v>
          </cell>
          <cell r="D77">
            <v>100.51311338390062</v>
          </cell>
        </row>
        <row r="78">
          <cell r="C78">
            <v>0</v>
          </cell>
          <cell r="D78">
            <v>0</v>
          </cell>
        </row>
        <row r="79">
          <cell r="C79">
            <v>92.201541435212192</v>
          </cell>
          <cell r="D79">
            <v>153.83452030015636</v>
          </cell>
        </row>
        <row r="80">
          <cell r="C80">
            <v>7.5334305140000009</v>
          </cell>
          <cell r="D80">
            <v>459.64307619114999</v>
          </cell>
        </row>
        <row r="81">
          <cell r="C81">
            <v>2849.3059194251423</v>
          </cell>
          <cell r="D81">
            <v>947.52250018981158</v>
          </cell>
        </row>
        <row r="82">
          <cell r="C82">
            <v>4550.4689572888474</v>
          </cell>
          <cell r="D82">
            <v>282.85073563788006</v>
          </cell>
        </row>
        <row r="83">
          <cell r="C83">
            <v>101.80000023300003</v>
          </cell>
          <cell r="D83">
            <v>23.400000000000002</v>
          </cell>
        </row>
        <row r="84">
          <cell r="E84">
            <v>1.6494660016295146E-7</v>
          </cell>
          <cell r="F84">
            <v>2886.4597565012109</v>
          </cell>
          <cell r="G84">
            <v>0.48251525800000006</v>
          </cell>
          <cell r="H84">
            <v>2243.5128447009215</v>
          </cell>
        </row>
        <row r="86">
          <cell r="C86">
            <v>4003.2859586260006</v>
          </cell>
          <cell r="D86">
            <v>1225.5429675437153</v>
          </cell>
        </row>
        <row r="89">
          <cell r="C89">
            <v>5.2134481999999406E-2</v>
          </cell>
          <cell r="D89">
            <v>135.02861836481</v>
          </cell>
        </row>
        <row r="92">
          <cell r="C92">
            <v>349.46262722299997</v>
          </cell>
          <cell r="D92">
            <v>51.554711411</v>
          </cell>
        </row>
        <row r="93">
          <cell r="C93">
            <v>1.7140000000000002</v>
          </cell>
          <cell r="D93">
            <v>22.162024320000004</v>
          </cell>
        </row>
        <row r="95">
          <cell r="C95">
            <v>107.17509347432055</v>
          </cell>
          <cell r="D95">
            <v>852.8621763924117</v>
          </cell>
        </row>
        <row r="96">
          <cell r="C96">
            <v>134.21094116636002</v>
          </cell>
          <cell r="D96">
            <v>11.389460334859999</v>
          </cell>
        </row>
        <row r="97">
          <cell r="C97">
            <v>540.06668923823315</v>
          </cell>
          <cell r="D97">
            <v>152.80898611820277</v>
          </cell>
        </row>
        <row r="98">
          <cell r="C98">
            <v>14988.310776154074</v>
          </cell>
          <cell r="D98">
            <v>4973.0830094140711</v>
          </cell>
          <cell r="E98">
            <v>278.8770520097263</v>
          </cell>
          <cell r="F98">
            <v>8272.6097306752199</v>
          </cell>
          <cell r="G98">
            <v>109.172760594</v>
          </cell>
          <cell r="H98">
            <v>5722.153102826077</v>
          </cell>
          <cell r="I98">
            <v>34344.20643167317</v>
          </cell>
        </row>
        <row r="100">
          <cell r="I100">
            <v>6139.789622200753</v>
          </cell>
        </row>
      </sheetData>
      <sheetData sheetId="1">
        <row r="15">
          <cell r="C15">
            <v>712.22844602099997</v>
          </cell>
          <cell r="D15">
            <v>858.22264045099996</v>
          </cell>
          <cell r="E15">
            <v>152.62885783229999</v>
          </cell>
          <cell r="F15">
            <v>223.03322611499999</v>
          </cell>
          <cell r="G15">
            <v>2400.4164415262262</v>
          </cell>
          <cell r="H15">
            <v>5354.6276799956304</v>
          </cell>
          <cell r="I15">
            <v>9701.1572919411574</v>
          </cell>
          <cell r="K15">
            <v>178.66503073397001</v>
          </cell>
        </row>
        <row r="16">
          <cell r="E16">
            <v>78.218753948299991</v>
          </cell>
          <cell r="F16">
            <v>40.773509095000001</v>
          </cell>
          <cell r="G16">
            <v>1188.7361315372261</v>
          </cell>
          <cell r="H16">
            <v>768.68548651309015</v>
          </cell>
        </row>
        <row r="17">
          <cell r="E17">
            <v>9.6566460559999996</v>
          </cell>
          <cell r="F17">
            <v>40.506134192000005</v>
          </cell>
          <cell r="G17">
            <v>223.89452311399992</v>
          </cell>
          <cell r="H17">
            <v>2688.5337249660406</v>
          </cell>
        </row>
        <row r="18">
          <cell r="E18">
            <v>64.753457827999995</v>
          </cell>
          <cell r="F18">
            <v>141.75358282800002</v>
          </cell>
          <cell r="G18">
            <v>987.81578687500019</v>
          </cell>
          <cell r="H18">
            <v>1897.4084685164999</v>
          </cell>
        </row>
        <row r="19">
          <cell r="E19">
            <v>0</v>
          </cell>
          <cell r="F19">
            <v>0</v>
          </cell>
          <cell r="G19">
            <v>0</v>
          </cell>
          <cell r="H19">
            <v>0</v>
          </cell>
        </row>
        <row r="20">
          <cell r="I20">
            <v>0</v>
          </cell>
        </row>
        <row r="21">
          <cell r="I21">
            <v>513.3699419071429</v>
          </cell>
        </row>
        <row r="23">
          <cell r="C23">
            <v>235.20783665699997</v>
          </cell>
          <cell r="D23">
            <v>113.74721258700001</v>
          </cell>
          <cell r="E23">
            <v>397.62344385197002</v>
          </cell>
          <cell r="F23">
            <v>128.55972997951</v>
          </cell>
          <cell r="G23">
            <v>1193.5054374708413</v>
          </cell>
          <cell r="H23">
            <v>1090.8518789349894</v>
          </cell>
          <cell r="I23">
            <v>3159.495539481311</v>
          </cell>
          <cell r="K23">
            <v>4245.1585442036403</v>
          </cell>
        </row>
        <row r="24">
          <cell r="E24">
            <v>82.580921432620698</v>
          </cell>
          <cell r="F24">
            <v>92.197411350510009</v>
          </cell>
          <cell r="G24">
            <v>511.61401632696618</v>
          </cell>
          <cell r="H24">
            <v>130.84952686034867</v>
          </cell>
        </row>
        <row r="25">
          <cell r="E25">
            <v>1.00152562</v>
          </cell>
          <cell r="F25">
            <v>7.2512855199999997</v>
          </cell>
          <cell r="G25">
            <v>30.14633006</v>
          </cell>
          <cell r="H25">
            <v>166.1355670534</v>
          </cell>
        </row>
        <row r="26">
          <cell r="E26">
            <v>314.04099679934939</v>
          </cell>
          <cell r="F26">
            <v>29.111033108999997</v>
          </cell>
          <cell r="G26">
            <v>651.74509108387531</v>
          </cell>
          <cell r="H26">
            <v>793.8667850212405</v>
          </cell>
        </row>
        <row r="27">
          <cell r="E27">
            <v>0</v>
          </cell>
          <cell r="F27">
            <v>0</v>
          </cell>
          <cell r="G27">
            <v>0</v>
          </cell>
          <cell r="H27">
            <v>0</v>
          </cell>
        </row>
        <row r="28">
          <cell r="I28">
            <v>0</v>
          </cell>
        </row>
        <row r="29">
          <cell r="I29">
            <v>10.782999999999999</v>
          </cell>
        </row>
      </sheetData>
      <sheetData sheetId="2">
        <row r="16">
          <cell r="N16">
            <v>28673.768806607131</v>
          </cell>
          <cell r="AA16">
            <v>28673.231348403555</v>
          </cell>
        </row>
        <row r="17">
          <cell r="B17">
            <v>1097.8792994642172</v>
          </cell>
          <cell r="C17">
            <v>48.750425192000002</v>
          </cell>
          <cell r="D17">
            <v>0</v>
          </cell>
          <cell r="E17">
            <v>8.1629537249999995</v>
          </cell>
          <cell r="F17">
            <v>0</v>
          </cell>
          <cell r="G17">
            <v>1615.9121924914227</v>
          </cell>
          <cell r="H17">
            <v>4053.2051764501593</v>
          </cell>
          <cell r="I17">
            <v>175.51034640084319</v>
          </cell>
          <cell r="J17">
            <v>8.6159775280000002</v>
          </cell>
          <cell r="K17">
            <v>118.86661968418969</v>
          </cell>
          <cell r="L17">
            <v>1.698405256</v>
          </cell>
          <cell r="M17">
            <v>11603.672783938473</v>
          </cell>
          <cell r="N17">
            <v>18732.310635600908</v>
          </cell>
          <cell r="O17">
            <v>853.38441537235724</v>
          </cell>
          <cell r="P17">
            <v>31.230148359000001</v>
          </cell>
          <cell r="Q17">
            <v>2.9016410000000034E-3</v>
          </cell>
          <cell r="R17">
            <v>5.0346596201945601</v>
          </cell>
          <cell r="S17">
            <v>0</v>
          </cell>
          <cell r="T17">
            <v>2537.221476559137</v>
          </cell>
          <cell r="U17">
            <v>4321.8372389336237</v>
          </cell>
          <cell r="V17">
            <v>89.215092227949995</v>
          </cell>
          <cell r="W17">
            <v>17.353823060000003</v>
          </cell>
          <cell r="X17">
            <v>31.814006895499972</v>
          </cell>
          <cell r="Y17">
            <v>2.42219623</v>
          </cell>
          <cell r="Z17">
            <v>12071.928213487634</v>
          </cell>
          <cell r="AA17">
            <v>19961.419523395398</v>
          </cell>
        </row>
        <row r="23">
          <cell r="N23">
            <v>1497.1209791069623</v>
          </cell>
          <cell r="AA23">
            <v>1097.0801779746926</v>
          </cell>
        </row>
        <row r="36">
          <cell r="N36">
            <v>1734.9479885519363</v>
          </cell>
          <cell r="AA36">
            <v>1644.7668204171173</v>
          </cell>
        </row>
        <row r="76">
          <cell r="N76">
            <v>11.195758453999998</v>
          </cell>
          <cell r="AA76">
            <v>149.60055159693084</v>
          </cell>
        </row>
        <row r="82">
          <cell r="N82">
            <v>1582.869894514256</v>
          </cell>
          <cell r="AA82">
            <v>1490.1038525696697</v>
          </cell>
        </row>
        <row r="103">
          <cell r="N103">
            <v>2.8864056360000001</v>
          </cell>
          <cell r="AA103">
            <v>106.78399999999999</v>
          </cell>
        </row>
        <row r="131">
          <cell r="N131">
            <v>742.04800116990418</v>
          </cell>
          <cell r="AA131">
            <v>1130.6861064043376</v>
          </cell>
        </row>
        <row r="146">
          <cell r="N146">
            <v>1.9411746329000001</v>
          </cell>
          <cell r="AA146">
            <v>51.96708446832718</v>
          </cell>
        </row>
        <row r="149">
          <cell r="N149">
            <v>97.558841483999998</v>
          </cell>
          <cell r="AA149">
            <v>0</v>
          </cell>
        </row>
        <row r="152">
          <cell r="B152">
            <v>7466.416074336943</v>
          </cell>
          <cell r="C152">
            <v>517.19182998100007</v>
          </cell>
          <cell r="D152">
            <v>18.234367321000001</v>
          </cell>
          <cell r="E152">
            <v>284.72028429</v>
          </cell>
          <cell r="F152">
            <v>10.701974000000002</v>
          </cell>
          <cell r="G152">
            <v>4250.7435181304518</v>
          </cell>
          <cell r="H152">
            <v>8394.4061149511072</v>
          </cell>
          <cell r="I152">
            <v>734.10105826704319</v>
          </cell>
          <cell r="J152">
            <v>9.4159775280000009</v>
          </cell>
          <cell r="K152">
            <v>198.86321626001771</v>
          </cell>
          <cell r="L152">
            <v>1.6994052559999999</v>
          </cell>
          <cell r="M152">
            <v>12457.79953039493</v>
          </cell>
          <cell r="O152">
            <v>3644.6696607682047</v>
          </cell>
          <cell r="P152">
            <v>345.73573016329965</v>
          </cell>
          <cell r="Q152">
            <v>11.28066438997722</v>
          </cell>
          <cell r="R152">
            <v>148.47582064659014</v>
          </cell>
          <cell r="S152">
            <v>1.8174161934298945</v>
          </cell>
          <cell r="T152">
            <v>3810.4548897512077</v>
          </cell>
          <cell r="U152">
            <v>11690.386291471119</v>
          </cell>
          <cell r="V152">
            <v>418.97775036680264</v>
          </cell>
          <cell r="W152">
            <v>18.677650150000005</v>
          </cell>
          <cell r="X152">
            <v>466.90601786693617</v>
          </cell>
          <cell r="Y152">
            <v>32.427360229999998</v>
          </cell>
          <cell r="Z152">
            <v>13754.410534437066</v>
          </cell>
          <cell r="AA152">
            <v>34344.219786434631</v>
          </cell>
        </row>
      </sheetData>
      <sheetData sheetId="3">
        <row r="14">
          <cell r="D14">
            <v>14889.801629801988</v>
          </cell>
          <cell r="G14">
            <v>15376.341612168142</v>
          </cell>
        </row>
        <row r="16">
          <cell r="D16">
            <v>15201.904597091732</v>
          </cell>
          <cell r="G16">
            <v>14782.857061447074</v>
          </cell>
        </row>
        <row r="17">
          <cell r="D17">
            <v>483.31475573972779</v>
          </cell>
          <cell r="G17">
            <v>617.95949859952214</v>
          </cell>
        </row>
        <row r="18">
          <cell r="D18">
            <v>27.651450041999997</v>
          </cell>
          <cell r="G18">
            <v>29.959386346977222</v>
          </cell>
        </row>
        <row r="19">
          <cell r="D19">
            <v>12.401379255999998</v>
          </cell>
          <cell r="G19">
            <v>34.178956632568266</v>
          </cell>
        </row>
        <row r="20">
          <cell r="D20">
            <v>1251.2944080045913</v>
          </cell>
          <cell r="G20">
            <v>764.71502670170639</v>
          </cell>
        </row>
        <row r="21">
          <cell r="D21">
            <v>691.21719627340394</v>
          </cell>
          <cell r="G21">
            <v>218.2746207198324</v>
          </cell>
        </row>
        <row r="22">
          <cell r="D22">
            <v>1712.2330442051743</v>
          </cell>
          <cell r="G22">
            <v>2173.5378985834882</v>
          </cell>
        </row>
        <row r="23">
          <cell r="D23">
            <v>74.308123065999922</v>
          </cell>
          <cell r="G23">
            <v>346.37203239612768</v>
          </cell>
        </row>
        <row r="24">
          <cell r="G24">
            <v>34344.196093595441</v>
          </cell>
        </row>
      </sheetData>
      <sheetData sheetId="4">
        <row r="10">
          <cell r="D10">
            <v>5176.6562852966617</v>
          </cell>
        </row>
        <row r="11">
          <cell r="D11">
            <v>4.9726233379184324</v>
          </cell>
        </row>
        <row r="12">
          <cell r="D12">
            <v>93.856429007338249</v>
          </cell>
        </row>
        <row r="15">
          <cell r="D15">
            <v>1872.4263719409589</v>
          </cell>
        </row>
        <row r="20">
          <cell r="D20">
            <v>1000.8094090875859</v>
          </cell>
        </row>
        <row r="29">
          <cell r="D29">
            <v>1133.8226251735521</v>
          </cell>
        </row>
        <row r="37">
          <cell r="D37">
            <v>246.01004782281876</v>
          </cell>
        </row>
        <row r="42">
          <cell r="D42">
            <v>824.75885767648936</v>
          </cell>
        </row>
        <row r="43">
          <cell r="D43">
            <v>114.97535390260235</v>
          </cell>
        </row>
        <row r="45">
          <cell r="D45">
            <v>160.3792111776055</v>
          </cell>
        </row>
        <row r="48">
          <cell r="D48">
            <v>4291.8314948197185</v>
          </cell>
        </row>
        <row r="49">
          <cell r="D49">
            <v>1860.6826341135461</v>
          </cell>
        </row>
        <row r="50">
          <cell r="D50">
            <v>96.657170467802473</v>
          </cell>
        </row>
        <row r="51">
          <cell r="D51">
            <v>175.66497473103902</v>
          </cell>
        </row>
        <row r="52">
          <cell r="D52">
            <v>1335.7610113682185</v>
          </cell>
        </row>
        <row r="53">
          <cell r="D53">
            <v>75.024834487938577</v>
          </cell>
        </row>
        <row r="54">
          <cell r="D54">
            <v>748.04086965117335</v>
          </cell>
        </row>
        <row r="55">
          <cell r="D55">
            <v>320.49398413551444</v>
          </cell>
        </row>
        <row r="58">
          <cell r="D58">
            <v>9788.9818430018931</v>
          </cell>
        </row>
      </sheetData>
      <sheetData sheetId="5"/>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0.31122225000000003</v>
          </cell>
          <cell r="D14">
            <v>0</v>
          </cell>
          <cell r="E14">
            <v>0</v>
          </cell>
          <cell r="F14">
            <v>0</v>
          </cell>
          <cell r="G14">
            <v>0</v>
          </cell>
          <cell r="H14">
            <v>420.77191040617021</v>
          </cell>
        </row>
        <row r="18">
          <cell r="C18">
            <v>183.48815944606383</v>
          </cell>
          <cell r="D18">
            <v>1162.8986806846169</v>
          </cell>
          <cell r="E18">
            <v>274.66199319680851</v>
          </cell>
          <cell r="F18">
            <v>2579.8648008462978</v>
          </cell>
          <cell r="G18">
            <v>0.72484596010638291</v>
          </cell>
          <cell r="H18">
            <v>1392.7948877489437</v>
          </cell>
        </row>
        <row r="22">
          <cell r="E22">
            <v>190.18170899593616</v>
          </cell>
          <cell r="F22">
            <v>723.67483468571163</v>
          </cell>
          <cell r="G22">
            <v>95.104012585106403</v>
          </cell>
          <cell r="H22">
            <v>704.37189050149016</v>
          </cell>
        </row>
        <row r="23">
          <cell r="C23">
            <v>1020.6652230638299</v>
          </cell>
          <cell r="D23">
            <v>356.8217348537234</v>
          </cell>
        </row>
        <row r="24">
          <cell r="C24">
            <v>131.63778551654045</v>
          </cell>
          <cell r="D24">
            <v>34.946700083468087</v>
          </cell>
        </row>
        <row r="25">
          <cell r="C25">
            <v>106.54448542287234</v>
          </cell>
          <cell r="D25">
            <v>740.79505137795218</v>
          </cell>
        </row>
        <row r="26">
          <cell r="C26">
            <v>65.083537651595748</v>
          </cell>
          <cell r="D26">
            <v>32.671317771160332</v>
          </cell>
        </row>
        <row r="27">
          <cell r="C27">
            <v>2444.2097449509556</v>
          </cell>
          <cell r="D27">
            <v>1220.114160335221</v>
          </cell>
        </row>
        <row r="28">
          <cell r="C28">
            <v>5553.962581829398</v>
          </cell>
          <cell r="D28">
            <v>797.13113119157447</v>
          </cell>
        </row>
        <row r="29">
          <cell r="C29">
            <v>459.82899778224044</v>
          </cell>
          <cell r="D29">
            <v>289.95940604151195</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58.983008108659575</v>
          </cell>
          <cell r="D33">
            <v>1091.3110701616811</v>
          </cell>
          <cell r="E33">
            <v>3.6662348583194504</v>
          </cell>
          <cell r="F33">
            <v>347.12125270704968</v>
          </cell>
          <cell r="G33">
            <v>2.9321708753315647</v>
          </cell>
          <cell r="H33">
            <v>169.58494897110612</v>
          </cell>
        </row>
        <row r="34">
          <cell r="C34">
            <v>1077.4904996675536</v>
          </cell>
          <cell r="D34">
            <v>1679.3550115905807</v>
          </cell>
          <cell r="E34">
            <v>426.62809015957447</v>
          </cell>
          <cell r="F34">
            <v>2163.594463483957</v>
          </cell>
          <cell r="G34">
            <v>0</v>
          </cell>
          <cell r="H34">
            <v>544.87483254332096</v>
          </cell>
        </row>
        <row r="36">
          <cell r="C36">
            <v>258.37123468560867</v>
          </cell>
          <cell r="D36">
            <v>478.35362955330208</v>
          </cell>
          <cell r="E36">
            <v>96.04989924912492</v>
          </cell>
          <cell r="F36">
            <v>-363.94767387811493</v>
          </cell>
          <cell r="G36">
            <v>-2.6338814562334214</v>
          </cell>
          <cell r="H36">
            <v>483.10302235756598</v>
          </cell>
        </row>
        <row r="37">
          <cell r="C37">
            <v>358.96591070040483</v>
          </cell>
          <cell r="D37">
            <v>663.56230262623865</v>
          </cell>
          <cell r="E37">
            <v>2.7386436170212769E-4</v>
          </cell>
          <cell r="F37">
            <v>28.106571547872345</v>
          </cell>
          <cell r="G37">
            <v>1.9321900585106382</v>
          </cell>
          <cell r="H37">
            <v>187.10824779949698</v>
          </cell>
        </row>
        <row r="38">
          <cell r="C38">
            <v>11719.542391075724</v>
          </cell>
          <cell r="D38">
            <v>8547.9201962710322</v>
          </cell>
          <cell r="E38">
            <v>991.18820032412521</v>
          </cell>
          <cell r="F38">
            <v>5478.4142493927739</v>
          </cell>
          <cell r="G38">
            <v>98.059338022821549</v>
          </cell>
          <cell r="H38">
            <v>3902.6097403280951</v>
          </cell>
          <cell r="I38">
            <v>30737.734115414569</v>
          </cell>
        </row>
        <row r="68">
          <cell r="C68">
            <v>131.53745177770836</v>
          </cell>
          <cell r="D68">
            <v>4.1138531950693427</v>
          </cell>
        </row>
        <row r="69">
          <cell r="C69">
            <v>827.44166624021193</v>
          </cell>
          <cell r="D69">
            <v>5.3191492021276598E-2</v>
          </cell>
          <cell r="E69">
            <v>0</v>
          </cell>
          <cell r="F69">
            <v>11.702127659574469</v>
          </cell>
          <cell r="G69">
            <v>0</v>
          </cell>
          <cell r="H69">
            <v>25.01972831988261</v>
          </cell>
        </row>
        <row r="72">
          <cell r="C72">
            <v>603.84518990997299</v>
          </cell>
          <cell r="D72">
            <v>1439.9422357759486</v>
          </cell>
          <cell r="E72">
            <v>23.130262766122165</v>
          </cell>
          <cell r="F72">
            <v>520.03439032942345</v>
          </cell>
          <cell r="G72">
            <v>0.26595745680851063</v>
          </cell>
          <cell r="H72">
            <v>653.81561150045877</v>
          </cell>
        </row>
        <row r="76">
          <cell r="E76">
            <v>91.533980869440171</v>
          </cell>
          <cell r="F76">
            <v>970.43707797190677</v>
          </cell>
          <cell r="G76">
            <v>5.1083504867021334</v>
          </cell>
          <cell r="H76">
            <v>387.28519062573901</v>
          </cell>
        </row>
        <row r="77">
          <cell r="C77">
            <v>485.01423618257428</v>
          </cell>
          <cell r="D77">
            <v>33.076325550531912</v>
          </cell>
        </row>
        <row r="78">
          <cell r="C78">
            <v>0</v>
          </cell>
          <cell r="D78">
            <v>0</v>
          </cell>
        </row>
        <row r="79">
          <cell r="C79">
            <v>81.36890631913819</v>
          </cell>
          <cell r="D79">
            <v>19.256468137735322</v>
          </cell>
        </row>
        <row r="80">
          <cell r="C80">
            <v>1.462318305851064</v>
          </cell>
          <cell r="D80">
            <v>201.11553584021277</v>
          </cell>
        </row>
        <row r="81">
          <cell r="C81">
            <v>3234.0443163928749</v>
          </cell>
          <cell r="D81">
            <v>324.46283880523606</v>
          </cell>
        </row>
        <row r="82">
          <cell r="C82">
            <v>5140.7144183731743</v>
          </cell>
          <cell r="D82">
            <v>131.35626116100568</v>
          </cell>
        </row>
        <row r="83">
          <cell r="C83">
            <v>209.57446808510639</v>
          </cell>
          <cell r="D83">
            <v>52.410185610425536</v>
          </cell>
        </row>
        <row r="84">
          <cell r="E84">
            <v>2.6529586877663907E-3</v>
          </cell>
          <cell r="F84">
            <v>908.58189886294667</v>
          </cell>
          <cell r="G84">
            <v>4.0590006861702124</v>
          </cell>
          <cell r="H84">
            <v>1878.1481762194726</v>
          </cell>
        </row>
        <row r="86">
          <cell r="C86">
            <v>1027.39366460117</v>
          </cell>
          <cell r="D86">
            <v>1977.2742023421501</v>
          </cell>
        </row>
        <row r="89">
          <cell r="C89">
            <v>7.1397193936170193</v>
          </cell>
          <cell r="D89">
            <v>493.22193159104063</v>
          </cell>
        </row>
        <row r="92">
          <cell r="C92">
            <v>721.97279350493432</v>
          </cell>
          <cell r="D92">
            <v>1161.8912919185104</v>
          </cell>
        </row>
        <row r="93">
          <cell r="C93">
            <v>0</v>
          </cell>
          <cell r="D93">
            <v>0</v>
          </cell>
          <cell r="E93">
            <v>0</v>
          </cell>
          <cell r="F93">
            <v>0</v>
          </cell>
          <cell r="G93">
            <v>0</v>
          </cell>
          <cell r="H93">
            <v>0</v>
          </cell>
        </row>
        <row r="94">
          <cell r="E94">
            <v>0</v>
          </cell>
          <cell r="F94">
            <v>0</v>
          </cell>
          <cell r="G94">
            <v>0</v>
          </cell>
          <cell r="H94">
            <v>0</v>
          </cell>
        </row>
        <row r="95">
          <cell r="C95">
            <v>97.777506070554665</v>
          </cell>
          <cell r="D95">
            <v>2244.9344054592552</v>
          </cell>
          <cell r="E95">
            <v>-2.6861702127659578E-7</v>
          </cell>
          <cell r="F95">
            <v>115.12957925743163</v>
          </cell>
          <cell r="G95">
            <v>0</v>
          </cell>
          <cell r="H95">
            <v>1705.3623085266861</v>
          </cell>
        </row>
        <row r="96">
          <cell r="C96">
            <v>162.12197348106363</v>
          </cell>
          <cell r="D96">
            <v>73.934601444082944</v>
          </cell>
        </row>
        <row r="97">
          <cell r="C97">
            <v>983.17477891445878</v>
          </cell>
          <cell r="D97">
            <v>827.46124901572284</v>
          </cell>
          <cell r="E97">
            <v>26.662121042897517</v>
          </cell>
          <cell r="F97">
            <v>252.45377893547172</v>
          </cell>
          <cell r="G97">
            <v>2.0579787234042546E-5</v>
          </cell>
          <cell r="H97">
            <v>459.67925328201761</v>
          </cell>
        </row>
        <row r="98">
          <cell r="C98">
            <v>13714.583407552409</v>
          </cell>
          <cell r="D98">
            <v>8984.5045773389484</v>
          </cell>
          <cell r="E98">
            <v>141.3290173685306</v>
          </cell>
          <cell r="F98">
            <v>2778.3388530167545</v>
          </cell>
          <cell r="G98">
            <v>9.4333292094680932</v>
          </cell>
          <cell r="H98">
            <v>5109.3102684742571</v>
          </cell>
          <cell r="I98">
            <v>30737.499452960372</v>
          </cell>
        </row>
      </sheetData>
      <sheetData sheetId="1"/>
      <sheetData sheetId="2">
        <row r="16">
          <cell r="N16">
            <v>26655.745313991647</v>
          </cell>
          <cell r="AA16">
            <v>25681.159666555712</v>
          </cell>
        </row>
        <row r="17">
          <cell r="N17">
            <v>20267.495663246573</v>
          </cell>
          <cell r="AA17">
            <v>22699.009477982603</v>
          </cell>
        </row>
        <row r="23">
          <cell r="N23">
            <v>1493.7755067020757</v>
          </cell>
          <cell r="AA23">
            <v>1524.0376627229655</v>
          </cell>
        </row>
        <row r="36">
          <cell r="N36">
            <v>896.44842689934308</v>
          </cell>
          <cell r="AA36">
            <v>659.82586314687126</v>
          </cell>
        </row>
        <row r="76">
          <cell r="N76">
            <v>25.521881051924485</v>
          </cell>
          <cell r="AA76">
            <v>79.752610877302956</v>
          </cell>
        </row>
        <row r="82">
          <cell r="N82">
            <v>1394.4799839089851</v>
          </cell>
          <cell r="AA82">
            <v>1356.9782100248265</v>
          </cell>
        </row>
        <row r="103">
          <cell r="N103">
            <v>0.33005756117021279</v>
          </cell>
          <cell r="AA103">
            <v>27.7</v>
          </cell>
        </row>
        <row r="131">
          <cell r="N131">
            <v>269.29905434078717</v>
          </cell>
          <cell r="AA131">
            <v>1364.9948919231888</v>
          </cell>
        </row>
        <row r="146">
          <cell r="N146">
            <v>2.2378396642819154</v>
          </cell>
          <cell r="AA146">
            <v>9.8404255319148941</v>
          </cell>
        </row>
        <row r="149">
          <cell r="N149">
            <v>0</v>
          </cell>
          <cell r="AA149">
            <v>33.136713790000002</v>
          </cell>
        </row>
        <row r="152">
          <cell r="AA152">
            <v>30737.425772331397</v>
          </cell>
        </row>
      </sheetData>
      <sheetData sheetId="3">
        <row r="14">
          <cell r="D14">
            <v>12808.827375983685</v>
          </cell>
          <cell r="G14">
            <v>13865.365818031396</v>
          </cell>
        </row>
        <row r="16">
          <cell r="D16">
            <v>13146.034638555479</v>
          </cell>
          <cell r="G16">
            <v>13329.534364974603</v>
          </cell>
        </row>
        <row r="17">
          <cell r="D17">
            <v>77.185428197952206</v>
          </cell>
          <cell r="G17">
            <v>84.592967201658283</v>
          </cell>
        </row>
        <row r="18">
          <cell r="D18">
            <v>0.52045692480851069</v>
          </cell>
          <cell r="G18">
            <v>0.71444224364491926</v>
          </cell>
        </row>
        <row r="19">
          <cell r="D19">
            <v>0.72499951063829782</v>
          </cell>
          <cell r="G19">
            <v>0.71200038371368835</v>
          </cell>
        </row>
        <row r="20">
          <cell r="D20">
            <v>732.89782043519745</v>
          </cell>
          <cell r="G20">
            <v>838.64165105870177</v>
          </cell>
        </row>
        <row r="21">
          <cell r="D21">
            <v>769.45377069955327</v>
          </cell>
          <cell r="G21">
            <v>314.04408062463091</v>
          </cell>
        </row>
        <row r="22">
          <cell r="D22">
            <v>3190.3855739282226</v>
          </cell>
          <cell r="G22">
            <v>974.16794594183841</v>
          </cell>
        </row>
        <row r="23">
          <cell r="D23">
            <v>11.992552000638412</v>
          </cell>
          <cell r="G23">
            <v>1329.7712584111075</v>
          </cell>
        </row>
        <row r="24">
          <cell r="G24">
            <v>30737.544528871294</v>
          </cell>
        </row>
      </sheetData>
      <sheetData sheetId="4"/>
      <sheetData sheetId="5"/>
      <sheetData sheetId="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0.2711516090425532</v>
          </cell>
          <cell r="D14">
            <v>0</v>
          </cell>
          <cell r="E14">
            <v>0</v>
          </cell>
          <cell r="F14">
            <v>0</v>
          </cell>
          <cell r="G14">
            <v>0</v>
          </cell>
          <cell r="H14">
            <v>418.90142093276586</v>
          </cell>
        </row>
        <row r="18">
          <cell r="C18">
            <v>129.81989874659575</v>
          </cell>
          <cell r="D18">
            <v>1107.3122663329361</v>
          </cell>
          <cell r="E18">
            <v>273.88020594148941</v>
          </cell>
          <cell r="F18">
            <v>2510.3810956760635</v>
          </cell>
          <cell r="G18">
            <v>0.82824130053191491</v>
          </cell>
          <cell r="H18">
            <v>1584.452215445217</v>
          </cell>
        </row>
        <row r="22">
          <cell r="E22">
            <v>191.61511551125534</v>
          </cell>
          <cell r="F22">
            <v>717.31725536740169</v>
          </cell>
          <cell r="G22">
            <v>94.281563545212762</v>
          </cell>
          <cell r="H22">
            <v>675.71909901529091</v>
          </cell>
        </row>
        <row r="23">
          <cell r="C23">
            <v>1061.3693797845747</v>
          </cell>
          <cell r="D23">
            <v>360.67547253989363</v>
          </cell>
        </row>
        <row r="24">
          <cell r="C24">
            <v>113.27113210274422</v>
          </cell>
          <cell r="D24">
            <v>14.62026246474468</v>
          </cell>
        </row>
        <row r="25">
          <cell r="C25">
            <v>103.4403730930851</v>
          </cell>
          <cell r="D25">
            <v>714.77662496202129</v>
          </cell>
        </row>
        <row r="26">
          <cell r="C26">
            <v>63.308607473404258</v>
          </cell>
          <cell r="D26">
            <v>32.671337983171455</v>
          </cell>
        </row>
        <row r="27">
          <cell r="C27">
            <v>2278.3160665654436</v>
          </cell>
          <cell r="D27">
            <v>1200.72006486637</v>
          </cell>
        </row>
        <row r="28">
          <cell r="C28">
            <v>5556.4533438539156</v>
          </cell>
          <cell r="D28">
            <v>814.62781573678706</v>
          </cell>
        </row>
        <row r="29">
          <cell r="C29">
            <v>469.84108732075504</v>
          </cell>
          <cell r="D29">
            <v>254.71650806553191</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59.627941112148946</v>
          </cell>
          <cell r="D33">
            <v>1106.3883654978511</v>
          </cell>
          <cell r="E33">
            <v>3.4256790072556207</v>
          </cell>
          <cell r="F33">
            <v>346.80154708617874</v>
          </cell>
          <cell r="G33">
            <v>2.9321708753315647</v>
          </cell>
          <cell r="H33">
            <v>146.58574957134149</v>
          </cell>
        </row>
        <row r="34">
          <cell r="C34">
            <v>1077.3906603058485</v>
          </cell>
          <cell r="D34">
            <v>1694.8737449821128</v>
          </cell>
          <cell r="E34">
            <v>426.62766356382986</v>
          </cell>
          <cell r="F34">
            <v>2143.0606933131385</v>
          </cell>
          <cell r="G34">
            <v>0</v>
          </cell>
          <cell r="H34">
            <v>544.79683254332099</v>
          </cell>
        </row>
        <row r="36">
          <cell r="C36">
            <v>263.80541002131724</v>
          </cell>
          <cell r="D36">
            <v>455.40552762751253</v>
          </cell>
          <cell r="E36">
            <v>100.02405724646552</v>
          </cell>
          <cell r="F36">
            <v>-363.90391610737822</v>
          </cell>
          <cell r="G36">
            <v>-2.7003324217506632</v>
          </cell>
          <cell r="H36">
            <v>485.38070280878418</v>
          </cell>
        </row>
        <row r="37">
          <cell r="C37">
            <v>347.30098080834773</v>
          </cell>
          <cell r="D37">
            <v>686.7854373443987</v>
          </cell>
          <cell r="E37">
            <v>8.2234042553191499E-6</v>
          </cell>
          <cell r="F37">
            <v>28.136137313829785</v>
          </cell>
          <cell r="G37">
            <v>0.22739965425531913</v>
          </cell>
          <cell r="H37">
            <v>193.50059509902709</v>
          </cell>
        </row>
        <row r="38">
          <cell r="C38">
            <v>11524.216032797223</v>
          </cell>
          <cell r="D38">
            <v>8443.5734284033315</v>
          </cell>
          <cell r="E38">
            <v>995.57272949370019</v>
          </cell>
          <cell r="F38">
            <v>5381.7928126492352</v>
          </cell>
          <cell r="G38">
            <v>95.569042953580905</v>
          </cell>
          <cell r="H38">
            <v>4049.3366154157475</v>
          </cell>
          <cell r="I38">
            <v>30490.060661712818</v>
          </cell>
        </row>
        <row r="68">
          <cell r="C68">
            <v>147.8928195873176</v>
          </cell>
          <cell r="D68">
            <v>3.5756302801757252</v>
          </cell>
        </row>
        <row r="69">
          <cell r="C69">
            <v>851.50152548755239</v>
          </cell>
          <cell r="D69">
            <v>5.3191492021276598E-2</v>
          </cell>
          <cell r="E69">
            <v>0</v>
          </cell>
          <cell r="F69">
            <v>10.638297872340425</v>
          </cell>
          <cell r="G69">
            <v>0</v>
          </cell>
          <cell r="H69">
            <v>14.382209492635024</v>
          </cell>
        </row>
        <row r="72">
          <cell r="C72">
            <v>500.75081423173685</v>
          </cell>
          <cell r="D72">
            <v>1338.0527718275898</v>
          </cell>
          <cell r="E72">
            <v>146.8042809416541</v>
          </cell>
          <cell r="F72">
            <v>518.63492849409045</v>
          </cell>
          <cell r="G72">
            <v>1E-8</v>
          </cell>
          <cell r="H72">
            <v>575.16222110380431</v>
          </cell>
        </row>
        <row r="76">
          <cell r="E76">
            <v>92.730225622099752</v>
          </cell>
          <cell r="F76">
            <v>1025.683309469468</v>
          </cell>
          <cell r="G76">
            <v>5.1052971090425583</v>
          </cell>
          <cell r="H76">
            <v>356.04777518769652</v>
          </cell>
        </row>
        <row r="77">
          <cell r="C77">
            <v>468.44734244321296</v>
          </cell>
          <cell r="D77">
            <v>32.037254085106383</v>
          </cell>
        </row>
        <row r="78">
          <cell r="C78">
            <v>0</v>
          </cell>
          <cell r="D78">
            <v>0</v>
          </cell>
        </row>
        <row r="79">
          <cell r="C79">
            <v>84.450866703978619</v>
          </cell>
          <cell r="D79">
            <v>19.275334438267237</v>
          </cell>
        </row>
        <row r="80">
          <cell r="C80">
            <v>1.4698223404255322</v>
          </cell>
          <cell r="D80">
            <v>199.7350397097872</v>
          </cell>
        </row>
        <row r="81">
          <cell r="C81">
            <v>3445.9677861959331</v>
          </cell>
          <cell r="D81">
            <v>329.95844639465042</v>
          </cell>
        </row>
        <row r="82">
          <cell r="C82">
            <v>4940.7007508709585</v>
          </cell>
          <cell r="D82">
            <v>137.93934063478227</v>
          </cell>
        </row>
        <row r="83">
          <cell r="C83">
            <v>221.80851063563819</v>
          </cell>
          <cell r="D83">
            <v>52.155666690425534</v>
          </cell>
        </row>
        <row r="84">
          <cell r="E84">
            <v>2.6525198579787231E-3</v>
          </cell>
          <cell r="F84">
            <v>876.27246880935274</v>
          </cell>
          <cell r="G84">
            <v>3.189077345744681</v>
          </cell>
          <cell r="H84">
            <v>1856.6276663177673</v>
          </cell>
        </row>
        <row r="86">
          <cell r="C86">
            <v>953.42236029258868</v>
          </cell>
          <cell r="D86">
            <v>2001.2693091695198</v>
          </cell>
        </row>
        <row r="89">
          <cell r="C89">
            <v>2.1153255319148179E-2</v>
          </cell>
          <cell r="D89">
            <v>461.5248672640999</v>
          </cell>
        </row>
        <row r="92">
          <cell r="C92">
            <v>716.47634262133647</v>
          </cell>
          <cell r="D92">
            <v>1108.4606314903192</v>
          </cell>
        </row>
        <row r="93">
          <cell r="C93">
            <v>0</v>
          </cell>
          <cell r="D93">
            <v>0</v>
          </cell>
          <cell r="E93">
            <v>0</v>
          </cell>
          <cell r="F93">
            <v>0</v>
          </cell>
          <cell r="G93">
            <v>0</v>
          </cell>
          <cell r="H93">
            <v>0</v>
          </cell>
        </row>
        <row r="94">
          <cell r="E94">
            <v>0</v>
          </cell>
          <cell r="F94">
            <v>0</v>
          </cell>
          <cell r="G94">
            <v>0</v>
          </cell>
          <cell r="H94">
            <v>0</v>
          </cell>
        </row>
        <row r="95">
          <cell r="C95">
            <v>98.281470991207442</v>
          </cell>
          <cell r="D95">
            <v>2179.1483875478252</v>
          </cell>
          <cell r="E95">
            <v>-2.6861702127659578E-7</v>
          </cell>
          <cell r="F95">
            <v>111.38803580335265</v>
          </cell>
          <cell r="G95">
            <v>0</v>
          </cell>
          <cell r="H95">
            <v>1871.5514256886349</v>
          </cell>
        </row>
        <row r="96">
          <cell r="C96">
            <v>162.71324060145844</v>
          </cell>
          <cell r="D96">
            <v>77.975858167912719</v>
          </cell>
        </row>
        <row r="97">
          <cell r="C97">
            <v>965.22764403795122</v>
          </cell>
          <cell r="D97">
            <v>765.64898774408357</v>
          </cell>
          <cell r="E97">
            <v>26.661268466089009</v>
          </cell>
          <cell r="F97">
            <v>241.87775027579087</v>
          </cell>
          <cell r="G97">
            <v>2.9454787234042365E-5</v>
          </cell>
          <cell r="H97">
            <v>491.19544878573845</v>
          </cell>
        </row>
        <row r="98">
          <cell r="C98">
            <v>13559.132450296614</v>
          </cell>
          <cell r="D98">
            <v>8706.8107169365649</v>
          </cell>
          <cell r="E98">
            <v>266.19842728108381</v>
          </cell>
          <cell r="F98">
            <v>2784.4947907243954</v>
          </cell>
          <cell r="G98">
            <v>8.2944039195744743</v>
          </cell>
          <cell r="H98">
            <v>5164.9667465762768</v>
          </cell>
          <cell r="I98">
            <v>30489.897535734512</v>
          </cell>
        </row>
      </sheetData>
      <sheetData sheetId="1"/>
      <sheetData sheetId="2">
        <row r="16">
          <cell r="N16">
            <v>26231.812392243697</v>
          </cell>
          <cell r="AA16">
            <v>25281.904932706839</v>
          </cell>
        </row>
        <row r="17">
          <cell r="N17">
            <v>19967.800953180191</v>
          </cell>
          <cell r="AA17">
            <v>22266.0593070129</v>
          </cell>
        </row>
        <row r="23">
          <cell r="N23">
            <v>1486.4116798953191</v>
          </cell>
          <cell r="AA23">
            <v>1534.0365168519609</v>
          </cell>
        </row>
        <row r="36">
          <cell r="N36">
            <v>884.61535029780509</v>
          </cell>
          <cell r="AA36">
            <v>648.27205401274318</v>
          </cell>
        </row>
        <row r="76">
          <cell r="N76">
            <v>31.45666596571759</v>
          </cell>
          <cell r="AA76">
            <v>80.657525578792303</v>
          </cell>
        </row>
        <row r="82">
          <cell r="N82">
            <v>1615.1168391520359</v>
          </cell>
          <cell r="AA82">
            <v>1426.1821846775154</v>
          </cell>
        </row>
        <row r="103">
          <cell r="N103">
            <v>0.56305718741181787</v>
          </cell>
          <cell r="AA103">
            <v>27.2</v>
          </cell>
        </row>
        <row r="131">
          <cell r="N131">
            <v>237.68889334951447</v>
          </cell>
          <cell r="AA131">
            <v>1450.570347484289</v>
          </cell>
        </row>
        <row r="146">
          <cell r="N146">
            <v>2.2501596376861701</v>
          </cell>
          <cell r="AA146">
            <v>9.8404255319148941</v>
          </cell>
        </row>
        <row r="149">
          <cell r="N149">
            <v>0</v>
          </cell>
          <cell r="AA149">
            <v>31.367792000000005</v>
          </cell>
        </row>
        <row r="152">
          <cell r="AA152">
            <v>30490.031506576153</v>
          </cell>
        </row>
      </sheetData>
      <sheetData sheetId="3">
        <row r="14">
          <cell r="D14">
            <v>12615.348635965049</v>
          </cell>
          <cell r="G14">
            <v>13833.650184816881</v>
          </cell>
        </row>
        <row r="16">
          <cell r="D16">
            <v>12829.716483700469</v>
          </cell>
          <cell r="G16">
            <v>12906.732970861005</v>
          </cell>
        </row>
        <row r="17">
          <cell r="D17">
            <v>77.417010457700385</v>
          </cell>
          <cell r="G17">
            <v>84.415953129628463</v>
          </cell>
        </row>
        <row r="18">
          <cell r="D18">
            <v>0.51233122557446809</v>
          </cell>
          <cell r="G18">
            <v>0.53357080453853623</v>
          </cell>
        </row>
        <row r="19">
          <cell r="D19">
            <v>0.45326796276595743</v>
          </cell>
          <cell r="G19">
            <v>0.58951130392645434</v>
          </cell>
        </row>
        <row r="20">
          <cell r="D20">
            <v>935.84603666246903</v>
          </cell>
          <cell r="G20">
            <v>1052.0393818135526</v>
          </cell>
        </row>
        <row r="21">
          <cell r="D21">
            <v>847.38851686893634</v>
          </cell>
          <cell r="G21">
            <v>335.46068119213675</v>
          </cell>
        </row>
        <row r="22">
          <cell r="D22">
            <v>3161.3456673554274</v>
          </cell>
          <cell r="G22">
            <v>961.27466110351486</v>
          </cell>
        </row>
        <row r="23">
          <cell r="D23">
            <v>22.027311216063737</v>
          </cell>
          <cell r="G23">
            <v>1315.4376055319869</v>
          </cell>
        </row>
        <row r="24">
          <cell r="G24">
            <v>30490.134520557171</v>
          </cell>
        </row>
      </sheetData>
      <sheetData sheetId="4"/>
      <sheetData sheetId="5"/>
      <sheetData sheetId="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0.76546372074468094</v>
          </cell>
          <cell r="D14">
            <v>0</v>
          </cell>
          <cell r="E14">
            <v>0</v>
          </cell>
          <cell r="F14">
            <v>0</v>
          </cell>
          <cell r="G14">
            <v>0</v>
          </cell>
          <cell r="H14">
            <v>417.83456742744681</v>
          </cell>
        </row>
        <row r="18">
          <cell r="C18">
            <v>33.502969084361695</v>
          </cell>
          <cell r="D18">
            <v>1037.2819213821276</v>
          </cell>
          <cell r="E18">
            <v>275.27628951595744</v>
          </cell>
          <cell r="F18">
            <v>2471.5592292368083</v>
          </cell>
          <cell r="G18">
            <v>0.42452401329787226</v>
          </cell>
          <cell r="H18">
            <v>1591.1392423329619</v>
          </cell>
        </row>
        <row r="22">
          <cell r="E22">
            <v>191.44734427076597</v>
          </cell>
          <cell r="F22">
            <v>613.01697005716767</v>
          </cell>
          <cell r="G22">
            <v>92.906272361702165</v>
          </cell>
          <cell r="H22">
            <v>680.29854934753746</v>
          </cell>
        </row>
        <row r="23">
          <cell r="C23">
            <v>995.79431123670213</v>
          </cell>
          <cell r="D23">
            <v>351.49958579787233</v>
          </cell>
        </row>
        <row r="24">
          <cell r="C24">
            <v>112.39724188107569</v>
          </cell>
          <cell r="D24">
            <v>14.657557979</v>
          </cell>
        </row>
        <row r="25">
          <cell r="C25">
            <v>104.17326920212764</v>
          </cell>
          <cell r="D25">
            <v>716.12249184500013</v>
          </cell>
        </row>
        <row r="26">
          <cell r="C26">
            <v>99.721285787234038</v>
          </cell>
          <cell r="D26">
            <v>31.075580220511878</v>
          </cell>
        </row>
        <row r="27">
          <cell r="C27">
            <v>2479.6594043547479</v>
          </cell>
          <cell r="D27">
            <v>1246.1578742941151</v>
          </cell>
        </row>
        <row r="28">
          <cell r="C28">
            <v>5499.0444470751772</v>
          </cell>
          <cell r="D28">
            <v>808.67318934040406</v>
          </cell>
        </row>
        <row r="29">
          <cell r="C29">
            <v>479.45649974777621</v>
          </cell>
          <cell r="D29">
            <v>260.98296567358443</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25.382287156361702</v>
          </cell>
          <cell r="D33">
            <v>1112.3368397846998</v>
          </cell>
          <cell r="E33">
            <v>2.5070433689577487</v>
          </cell>
          <cell r="F33">
            <v>348.83180139264147</v>
          </cell>
          <cell r="G33">
            <v>2.9321708753315647</v>
          </cell>
          <cell r="H33">
            <v>81.294634583043631</v>
          </cell>
        </row>
        <row r="34">
          <cell r="C34">
            <v>1077.3906603058485</v>
          </cell>
          <cell r="D34">
            <v>1647.0269943159594</v>
          </cell>
          <cell r="E34">
            <v>426.62766356382986</v>
          </cell>
          <cell r="F34">
            <v>1766.9346486134916</v>
          </cell>
          <cell r="G34">
            <v>0</v>
          </cell>
          <cell r="H34">
            <v>540.39683254332101</v>
          </cell>
        </row>
        <row r="36">
          <cell r="C36">
            <v>269.57316105549342</v>
          </cell>
          <cell r="D36">
            <v>476.86201765017006</v>
          </cell>
          <cell r="E36">
            <v>102.81795451774184</v>
          </cell>
          <cell r="F36">
            <v>-195.0058992084206</v>
          </cell>
          <cell r="G36">
            <v>-2.6702175305039786</v>
          </cell>
          <cell r="H36">
            <v>490.30536405698587</v>
          </cell>
        </row>
        <row r="37">
          <cell r="C37">
            <v>342.26702317884735</v>
          </cell>
          <cell r="D37">
            <v>673.26760524261124</v>
          </cell>
          <cell r="E37">
            <v>3.1175531914893616E-4</v>
          </cell>
          <cell r="F37">
            <v>27.008948268617022</v>
          </cell>
          <cell r="G37">
            <v>0.23617646808510639</v>
          </cell>
          <cell r="H37">
            <v>209.15657744261264</v>
          </cell>
        </row>
        <row r="38">
          <cell r="C38">
            <v>11519.128023786501</v>
          </cell>
          <cell r="D38">
            <v>8375.9446235260548</v>
          </cell>
          <cell r="E38">
            <v>998.67660699257215</v>
          </cell>
          <cell r="F38">
            <v>5032.3456983603055</v>
          </cell>
          <cell r="G38">
            <v>93.828926187912728</v>
          </cell>
          <cell r="H38">
            <v>4010.4257677339092</v>
          </cell>
          <cell r="I38">
            <v>30030.349646587252</v>
          </cell>
        </row>
        <row r="68">
          <cell r="C68">
            <v>134.62192000966837</v>
          </cell>
          <cell r="D68">
            <v>4.8739763132560396</v>
          </cell>
        </row>
        <row r="69">
          <cell r="C69">
            <v>937.79560323489272</v>
          </cell>
          <cell r="D69">
            <v>5.3191492021276598E-2</v>
          </cell>
          <cell r="E69">
            <v>0</v>
          </cell>
          <cell r="F69">
            <v>12.234042553191488</v>
          </cell>
          <cell r="G69">
            <v>0</v>
          </cell>
          <cell r="H69">
            <v>23.956677842993397</v>
          </cell>
        </row>
        <row r="72">
          <cell r="C72">
            <v>461.18178734491187</v>
          </cell>
          <cell r="D72">
            <v>1313.2003059975705</v>
          </cell>
          <cell r="E72">
            <v>-8.5625876012389926E-3</v>
          </cell>
          <cell r="F72">
            <v>560.00338707883964</v>
          </cell>
          <cell r="G72">
            <v>1E-8</v>
          </cell>
          <cell r="H72">
            <v>658.92373726217852</v>
          </cell>
        </row>
        <row r="76">
          <cell r="E76">
            <v>97.942046646488038</v>
          </cell>
          <cell r="F76">
            <v>962.57783061665157</v>
          </cell>
          <cell r="G76">
            <v>5.1219648218085165</v>
          </cell>
          <cell r="H76">
            <v>387.40917156238407</v>
          </cell>
        </row>
        <row r="77">
          <cell r="C77">
            <v>480.41458576768099</v>
          </cell>
          <cell r="D77">
            <v>16.351583430851065</v>
          </cell>
        </row>
        <row r="78">
          <cell r="C78">
            <v>0</v>
          </cell>
          <cell r="D78">
            <v>0</v>
          </cell>
        </row>
        <row r="79">
          <cell r="C79">
            <v>91.707179519510518</v>
          </cell>
          <cell r="D79">
            <v>19.293295568586384</v>
          </cell>
        </row>
        <row r="80">
          <cell r="C80">
            <v>1.2730743803191489</v>
          </cell>
          <cell r="D80">
            <v>232.23055760191488</v>
          </cell>
        </row>
        <row r="81">
          <cell r="C81">
            <v>3459.5607791232683</v>
          </cell>
          <cell r="D81">
            <v>309.77461285677794</v>
          </cell>
        </row>
        <row r="82">
          <cell r="C82">
            <v>4952.0214211835191</v>
          </cell>
          <cell r="D82">
            <v>138.08286036427694</v>
          </cell>
        </row>
        <row r="83">
          <cell r="C83">
            <v>218.08510638297864</v>
          </cell>
          <cell r="D83">
            <v>52.40808978723404</v>
          </cell>
        </row>
        <row r="84">
          <cell r="E84">
            <v>2.6525198579787231E-3</v>
          </cell>
          <cell r="F84">
            <v>1417.652625144241</v>
          </cell>
          <cell r="G84">
            <v>4.0590006861702124</v>
          </cell>
          <cell r="H84">
            <v>982.7381833773162</v>
          </cell>
        </row>
        <row r="86">
          <cell r="C86">
            <v>885.10560095787218</v>
          </cell>
          <cell r="D86">
            <v>2006.0941402277958</v>
          </cell>
        </row>
        <row r="89">
          <cell r="C89">
            <v>0.12971983244680776</v>
          </cell>
          <cell r="D89">
            <v>470.52332300342255</v>
          </cell>
        </row>
        <row r="92">
          <cell r="C92">
            <v>697.01470330282575</v>
          </cell>
          <cell r="D92">
            <v>635.64701446904257</v>
          </cell>
        </row>
        <row r="93">
          <cell r="C93">
            <v>0</v>
          </cell>
          <cell r="D93">
            <v>524</v>
          </cell>
          <cell r="E93">
            <v>0</v>
          </cell>
          <cell r="F93">
            <v>64.3</v>
          </cell>
          <cell r="G93">
            <v>0</v>
          </cell>
          <cell r="H93">
            <v>0</v>
          </cell>
        </row>
        <row r="94">
          <cell r="E94">
            <v>0</v>
          </cell>
          <cell r="F94">
            <v>0</v>
          </cell>
          <cell r="G94">
            <v>0</v>
          </cell>
          <cell r="H94">
            <v>0</v>
          </cell>
        </row>
        <row r="95">
          <cell r="C95">
            <v>97.423895905335115</v>
          </cell>
          <cell r="D95">
            <v>2177.8311713163725</v>
          </cell>
          <cell r="E95">
            <v>-2.6861702127659578E-7</v>
          </cell>
          <cell r="F95">
            <v>68.269227430225399</v>
          </cell>
          <cell r="G95">
            <v>0</v>
          </cell>
          <cell r="H95">
            <v>1741.6773805219643</v>
          </cell>
        </row>
        <row r="96">
          <cell r="C96">
            <v>161.69232675395864</v>
          </cell>
          <cell r="D96">
            <v>77.973967301848916</v>
          </cell>
        </row>
        <row r="97">
          <cell r="C97">
            <v>949.50276534142222</v>
          </cell>
          <cell r="D97">
            <v>778.92883255080437</v>
          </cell>
          <cell r="E97">
            <v>26.660584093748579</v>
          </cell>
          <cell r="F97">
            <v>241.02423420047171</v>
          </cell>
          <cell r="G97">
            <v>2.945478723404249E-5</v>
          </cell>
          <cell r="H97">
            <v>491.04694906586042</v>
          </cell>
        </row>
        <row r="98">
          <cell r="C98">
            <v>13527.53046904061</v>
          </cell>
          <cell r="D98">
            <v>8757.2669222817749</v>
          </cell>
          <cell r="E98">
            <v>124.59672040387633</v>
          </cell>
          <cell r="F98">
            <v>3326.0613470236203</v>
          </cell>
          <cell r="G98">
            <v>9.1809949727659639</v>
          </cell>
          <cell r="H98">
            <v>4285.7520996326966</v>
          </cell>
          <cell r="I98">
            <v>30030.388553355344</v>
          </cell>
        </row>
      </sheetData>
      <sheetData sheetId="1"/>
      <sheetData sheetId="2">
        <row r="16">
          <cell r="N16">
            <v>25812.623360336285</v>
          </cell>
          <cell r="AA16">
            <v>24967.400443652252</v>
          </cell>
        </row>
        <row r="17">
          <cell r="N17">
            <v>19895.079705080894</v>
          </cell>
          <cell r="AA17">
            <v>22284.940686891576</v>
          </cell>
        </row>
        <row r="23">
          <cell r="N23">
            <v>1426.1875463228066</v>
          </cell>
          <cell r="AA23">
            <v>1509.1548112483617</v>
          </cell>
        </row>
        <row r="36">
          <cell r="N36">
            <v>892.33306435737973</v>
          </cell>
          <cell r="AA36">
            <v>665.50726739869094</v>
          </cell>
        </row>
        <row r="76">
          <cell r="N76">
            <v>64.099713107655617</v>
          </cell>
          <cell r="AA76">
            <v>99.607952796345515</v>
          </cell>
        </row>
        <row r="82">
          <cell r="N82">
            <v>1654.617440289077</v>
          </cell>
          <cell r="AA82">
            <v>1316.7624730215036</v>
          </cell>
        </row>
        <row r="103">
          <cell r="N103">
            <v>0.28053610380100463</v>
          </cell>
          <cell r="AA103">
            <v>27.418073610079574</v>
          </cell>
        </row>
        <row r="131">
          <cell r="N131">
            <v>177.9270456784792</v>
          </cell>
          <cell r="AA131">
            <v>1404.132361060902</v>
          </cell>
        </row>
        <row r="146">
          <cell r="N146">
            <v>2.1474021376861701</v>
          </cell>
          <cell r="AA146">
            <v>9.8404255319148941</v>
          </cell>
        </row>
        <row r="149">
          <cell r="N149">
            <v>0</v>
          </cell>
          <cell r="AA149">
            <v>30.838558390000003</v>
          </cell>
        </row>
        <row r="152">
          <cell r="AA152">
            <v>30030.662094442145</v>
          </cell>
        </row>
      </sheetData>
      <sheetData sheetId="3">
        <row r="14">
          <cell r="D14">
            <v>12611.624387820293</v>
          </cell>
          <cell r="G14">
            <v>13661.376321410517</v>
          </cell>
        </row>
        <row r="16">
          <cell r="D16">
            <v>12240.999012708169</v>
          </cell>
          <cell r="G16">
            <v>12651.261195415385</v>
          </cell>
        </row>
        <row r="17">
          <cell r="D17">
            <v>77.310824913988029</v>
          </cell>
          <cell r="G17">
            <v>84.501103691719379</v>
          </cell>
        </row>
        <row r="18">
          <cell r="D18">
            <v>0.52325356051063832</v>
          </cell>
          <cell r="G18">
            <v>0.53567451806513178</v>
          </cell>
        </row>
        <row r="19">
          <cell r="D19">
            <v>0.72259126329787227</v>
          </cell>
          <cell r="G19">
            <v>0.74705854860730547</v>
          </cell>
        </row>
        <row r="20">
          <cell r="D20">
            <v>950.10800691867189</v>
          </cell>
          <cell r="G20">
            <v>1070.5129604496713</v>
          </cell>
        </row>
        <row r="21">
          <cell r="D21">
            <v>974.44095583129774</v>
          </cell>
          <cell r="G21">
            <v>325.67016891679634</v>
          </cell>
        </row>
        <row r="22">
          <cell r="D22">
            <v>3153.9194181196863</v>
          </cell>
          <cell r="G22">
            <v>960.80152147796184</v>
          </cell>
        </row>
        <row r="23">
          <cell r="D23">
            <v>20.717803455425237</v>
          </cell>
          <cell r="G23">
            <v>1275.0194118077882</v>
          </cell>
        </row>
        <row r="24">
          <cell r="G24">
            <v>30030.425416236514</v>
          </cell>
        </row>
      </sheetData>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1.3503299627659573</v>
          </cell>
          <cell r="D14">
            <v>0</v>
          </cell>
          <cell r="E14">
            <v>0</v>
          </cell>
          <cell r="F14">
            <v>0</v>
          </cell>
          <cell r="G14">
            <v>0</v>
          </cell>
          <cell r="H14">
            <v>417.03159733436166</v>
          </cell>
        </row>
        <row r="18">
          <cell r="C18">
            <v>62.711014555106381</v>
          </cell>
          <cell r="D18">
            <v>1169.8013982599575</v>
          </cell>
          <cell r="E18">
            <v>272.35303697872342</v>
          </cell>
          <cell r="F18">
            <v>2758.4675326855318</v>
          </cell>
          <cell r="G18">
            <v>0.54459001595744683</v>
          </cell>
          <cell r="H18">
            <v>1665.087506525253</v>
          </cell>
        </row>
        <row r="22">
          <cell r="E22">
            <v>203.12838855814894</v>
          </cell>
          <cell r="F22">
            <v>884.30786157453008</v>
          </cell>
          <cell r="G22">
            <v>95.401167021276578</v>
          </cell>
          <cell r="H22">
            <v>809.29500159027316</v>
          </cell>
        </row>
        <row r="23">
          <cell r="C23">
            <v>1034.2827819867023</v>
          </cell>
          <cell r="D23">
            <v>344.41851783244681</v>
          </cell>
        </row>
        <row r="24">
          <cell r="C24">
            <v>114.39896929174756</v>
          </cell>
          <cell r="D24">
            <v>14.136477643787234</v>
          </cell>
        </row>
        <row r="25">
          <cell r="C25">
            <v>102.13538133510636</v>
          </cell>
          <cell r="D25">
            <v>774.5452931739361</v>
          </cell>
        </row>
        <row r="26">
          <cell r="C26">
            <v>100.61866774734044</v>
          </cell>
          <cell r="D26">
            <v>27.88404449254331</v>
          </cell>
        </row>
        <row r="27">
          <cell r="C27">
            <v>2361.5638181399117</v>
          </cell>
          <cell r="D27">
            <v>1233.5674731611155</v>
          </cell>
        </row>
        <row r="28">
          <cell r="C28">
            <v>5534.5086072985896</v>
          </cell>
          <cell r="D28">
            <v>814.38966616987284</v>
          </cell>
        </row>
        <row r="29">
          <cell r="C29">
            <v>494.57935892107406</v>
          </cell>
          <cell r="D29">
            <v>304.61202258123529</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62.977769084382977</v>
          </cell>
          <cell r="D33">
            <v>1266.5047087487023</v>
          </cell>
          <cell r="E33">
            <v>4.9255486881066846</v>
          </cell>
          <cell r="F33">
            <v>343.64578829420395</v>
          </cell>
          <cell r="G33">
            <v>2.9321708753315647</v>
          </cell>
          <cell r="H33">
            <v>109.06642955174446</v>
          </cell>
        </row>
        <row r="34">
          <cell r="C34">
            <v>1077.3906603058485</v>
          </cell>
          <cell r="D34">
            <v>1653.8918510962355</v>
          </cell>
          <cell r="E34">
            <v>426.62766356382986</v>
          </cell>
          <cell r="F34">
            <v>1966.5486171419686</v>
          </cell>
          <cell r="G34">
            <v>0</v>
          </cell>
          <cell r="H34">
            <v>544.60583254332096</v>
          </cell>
        </row>
        <row r="36">
          <cell r="C36">
            <v>277.41604905502646</v>
          </cell>
          <cell r="D36">
            <v>454.56890745764122</v>
          </cell>
          <cell r="E36">
            <v>105.22572456827359</v>
          </cell>
          <cell r="F36">
            <v>-357.29939944584254</v>
          </cell>
          <cell r="G36">
            <v>-2.7199314801061005</v>
          </cell>
          <cell r="H36">
            <v>488.0394621730477</v>
          </cell>
        </row>
        <row r="37">
          <cell r="C37">
            <v>337.94969903345168</v>
          </cell>
          <cell r="D37">
            <v>683.5301878795558</v>
          </cell>
          <cell r="E37">
            <v>3.1214095744680844E-4</v>
          </cell>
          <cell r="F37">
            <v>27.356294228723407</v>
          </cell>
          <cell r="G37">
            <v>0.18043200531914896</v>
          </cell>
          <cell r="H37">
            <v>209.65417116662462</v>
          </cell>
        </row>
        <row r="38">
          <cell r="C38">
            <v>11561.883106717056</v>
          </cell>
          <cell r="D38">
            <v>8741.8505484970283</v>
          </cell>
          <cell r="E38">
            <v>1012.2606744980401</v>
          </cell>
          <cell r="F38">
            <v>5623.0266944791156</v>
          </cell>
          <cell r="G38">
            <v>96.338428437778646</v>
          </cell>
          <cell r="H38">
            <v>4242.7800008846252</v>
          </cell>
          <cell r="I38">
            <v>31278.139453513646</v>
          </cell>
        </row>
        <row r="68">
          <cell r="C68">
            <v>146.57580368699027</v>
          </cell>
          <cell r="D68">
            <v>6.5338396016891647</v>
          </cell>
        </row>
        <row r="69">
          <cell r="C69">
            <v>852.39656648404252</v>
          </cell>
          <cell r="D69">
            <v>5.3191492021276598E-2</v>
          </cell>
          <cell r="E69">
            <v>0</v>
          </cell>
          <cell r="F69">
            <v>12.5</v>
          </cell>
          <cell r="G69">
            <v>0</v>
          </cell>
          <cell r="H69">
            <v>20.498451724137929</v>
          </cell>
        </row>
        <row r="72">
          <cell r="C72">
            <v>417.45200239656805</v>
          </cell>
          <cell r="D72">
            <v>1306.0391358061443</v>
          </cell>
          <cell r="E72">
            <v>1.5928877236875827</v>
          </cell>
          <cell r="F72">
            <v>672.60929791972376</v>
          </cell>
          <cell r="G72">
            <v>1E-8</v>
          </cell>
          <cell r="H72">
            <v>746.68682266231383</v>
          </cell>
        </row>
        <row r="76">
          <cell r="E76">
            <v>96.501497816810243</v>
          </cell>
          <cell r="F76">
            <v>1213.4611773346323</v>
          </cell>
          <cell r="G76">
            <v>3.8001080421623414</v>
          </cell>
          <cell r="H76">
            <v>505.26460019503202</v>
          </cell>
        </row>
        <row r="77">
          <cell r="C77">
            <v>516.25512034480857</v>
          </cell>
          <cell r="D77">
            <v>16.015175029255321</v>
          </cell>
        </row>
        <row r="78">
          <cell r="C78">
            <v>0</v>
          </cell>
          <cell r="D78">
            <v>0</v>
          </cell>
        </row>
        <row r="79">
          <cell r="C79">
            <v>82.826705301991552</v>
          </cell>
          <cell r="D79">
            <v>19.255789366458725</v>
          </cell>
        </row>
        <row r="80">
          <cell r="C80">
            <v>1.2794281037234043</v>
          </cell>
          <cell r="D80">
            <v>228.35752010861702</v>
          </cell>
        </row>
        <row r="81">
          <cell r="C81">
            <v>3510.4648318411341</v>
          </cell>
          <cell r="D81">
            <v>346.03188992112734</v>
          </cell>
        </row>
        <row r="82">
          <cell r="C82">
            <v>4915.4920710604492</v>
          </cell>
          <cell r="D82">
            <v>140.87711957890841</v>
          </cell>
        </row>
        <row r="83">
          <cell r="C83">
            <v>221.01063829787225</v>
          </cell>
          <cell r="D83">
            <v>51.625730760000003</v>
          </cell>
        </row>
        <row r="84">
          <cell r="E84">
            <v>2.6525198579787231E-3</v>
          </cell>
          <cell r="F84">
            <v>1532.2530534843866</v>
          </cell>
          <cell r="G84">
            <v>3.189077345744681</v>
          </cell>
          <cell r="H84">
            <v>997.485613656449</v>
          </cell>
        </row>
        <row r="86">
          <cell r="C86">
            <v>874.55127802393622</v>
          </cell>
          <cell r="D86">
            <v>2311.6826956219747</v>
          </cell>
        </row>
        <row r="89">
          <cell r="C89">
            <v>0</v>
          </cell>
          <cell r="D89">
            <v>726.76434635322016</v>
          </cell>
        </row>
        <row r="92">
          <cell r="C92">
            <v>690.09698259283539</v>
          </cell>
          <cell r="D92">
            <v>694.92936076159572</v>
          </cell>
        </row>
        <row r="93">
          <cell r="C93">
            <v>0</v>
          </cell>
          <cell r="D93">
            <v>524</v>
          </cell>
          <cell r="E93">
            <v>0</v>
          </cell>
          <cell r="F93">
            <v>64.3</v>
          </cell>
          <cell r="G93">
            <v>0</v>
          </cell>
          <cell r="H93">
            <v>0</v>
          </cell>
        </row>
        <row r="94">
          <cell r="E94">
            <v>0</v>
          </cell>
          <cell r="F94">
            <v>0</v>
          </cell>
          <cell r="G94">
            <v>0</v>
          </cell>
          <cell r="H94">
            <v>0</v>
          </cell>
        </row>
        <row r="95">
          <cell r="C95">
            <v>98.012072831207448</v>
          </cell>
          <cell r="D95">
            <v>2213.9969808792825</v>
          </cell>
          <cell r="E95">
            <v>-2.6861702127659578E-7</v>
          </cell>
          <cell r="F95">
            <v>67.798969958244825</v>
          </cell>
          <cell r="G95">
            <v>0</v>
          </cell>
          <cell r="H95">
            <v>1791.3525375554204</v>
          </cell>
        </row>
        <row r="96">
          <cell r="C96">
            <v>164.79082534517954</v>
          </cell>
          <cell r="D96">
            <v>78.326396935040393</v>
          </cell>
        </row>
        <row r="97">
          <cell r="C97">
            <v>953.42038365365795</v>
          </cell>
          <cell r="D97">
            <v>772.71390073270254</v>
          </cell>
          <cell r="E97">
            <v>26.67349878303628</v>
          </cell>
          <cell r="F97">
            <v>248.03940565232892</v>
          </cell>
          <cell r="G97">
            <v>2.5582446808510631E-5</v>
          </cell>
          <cell r="H97">
            <v>392.22510276277683</v>
          </cell>
        </row>
        <row r="98">
          <cell r="C98">
            <v>13444.624709964393</v>
          </cell>
          <cell r="D98">
            <v>9437.2030729480393</v>
          </cell>
          <cell r="E98">
            <v>124.77053657477505</v>
          </cell>
          <cell r="F98">
            <v>3810.9619043493167</v>
          </cell>
          <cell r="G98">
            <v>6.9892109803538309</v>
          </cell>
          <cell r="H98">
            <v>4453.5131285561301</v>
          </cell>
          <cell r="I98">
            <v>31278.062563373009</v>
          </cell>
        </row>
      </sheetData>
      <sheetData sheetId="1"/>
      <sheetData sheetId="2">
        <row r="16">
          <cell r="N16">
            <v>26653.847074452209</v>
          </cell>
          <cell r="AA16">
            <v>25787.499094960942</v>
          </cell>
        </row>
        <row r="17">
          <cell r="N17">
            <v>20303.736200466377</v>
          </cell>
          <cell r="AA17">
            <v>22881.98457632479</v>
          </cell>
        </row>
        <row r="23">
          <cell r="N23">
            <v>1505.3260013957556</v>
          </cell>
          <cell r="AA23">
            <v>1558.6735964510399</v>
          </cell>
        </row>
        <row r="36">
          <cell r="N36">
            <v>860.84094590326401</v>
          </cell>
          <cell r="AA36">
            <v>629.49227134497778</v>
          </cell>
        </row>
        <row r="76">
          <cell r="N76">
            <v>30.824790533984704</v>
          </cell>
          <cell r="AA76">
            <v>60.879364909104979</v>
          </cell>
        </row>
        <row r="82">
          <cell r="N82">
            <v>1709.0326604414638</v>
          </cell>
          <cell r="AA82">
            <v>1578.4063933757329</v>
          </cell>
        </row>
        <row r="103">
          <cell r="N103">
            <v>0.17791820658615048</v>
          </cell>
          <cell r="AA103">
            <v>26.989450838196287</v>
          </cell>
        </row>
        <row r="131">
          <cell r="N131">
            <v>515.91605246550944</v>
          </cell>
          <cell r="AA131">
            <v>1601.0162351593658</v>
          </cell>
        </row>
        <row r="146">
          <cell r="N146">
            <v>2.1082187334308511</v>
          </cell>
          <cell r="AA146">
            <v>9.8404255319148941</v>
          </cell>
        </row>
        <row r="149">
          <cell r="N149">
            <v>0</v>
          </cell>
          <cell r="AA149">
            <v>25.377513149999999</v>
          </cell>
        </row>
        <row r="152">
          <cell r="AA152">
            <v>31278.174073479891</v>
          </cell>
        </row>
      </sheetData>
      <sheetData sheetId="3">
        <row r="14">
          <cell r="D14">
            <v>12670.473529660001</v>
          </cell>
          <cell r="G14">
            <v>13576.492271876132</v>
          </cell>
        </row>
        <row r="16">
          <cell r="D16">
            <v>13403.1258870126</v>
          </cell>
          <cell r="G16">
            <v>13732.769257112725</v>
          </cell>
        </row>
        <row r="17">
          <cell r="D17">
            <v>75.878054013744674</v>
          </cell>
          <cell r="G17">
            <v>84.097560556175239</v>
          </cell>
        </row>
        <row r="18">
          <cell r="D18">
            <v>0.51498754802127666</v>
          </cell>
          <cell r="G18">
            <v>0.52338696143574048</v>
          </cell>
        </row>
        <row r="19">
          <cell r="D19">
            <v>0.45038022340425526</v>
          </cell>
          <cell r="G19">
            <v>0.71651802307696111</v>
          </cell>
        </row>
        <row r="20">
          <cell r="D20">
            <v>1103.2037674536807</v>
          </cell>
          <cell r="G20">
            <v>1186.9094023069533</v>
          </cell>
        </row>
        <row r="21">
          <cell r="D21">
            <v>1102.361938752766</v>
          </cell>
          <cell r="G21">
            <v>360.28375210462923</v>
          </cell>
        </row>
        <row r="22">
          <cell r="D22">
            <v>2917.533931331559</v>
          </cell>
          <cell r="G22">
            <v>1058.1618152604276</v>
          </cell>
        </row>
        <row r="23">
          <cell r="D23">
            <v>4.6209295224252216</v>
          </cell>
          <cell r="G23">
            <v>1278.2618748339853</v>
          </cell>
        </row>
        <row r="24">
          <cell r="G24">
            <v>31278.215839035536</v>
          </cell>
        </row>
      </sheetData>
      <sheetData sheetId="4"/>
      <sheetData sheetId="5"/>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3.026921609042553</v>
          </cell>
          <cell r="D14">
            <v>0</v>
          </cell>
          <cell r="E14">
            <v>0</v>
          </cell>
          <cell r="F14">
            <v>0</v>
          </cell>
          <cell r="G14">
            <v>0</v>
          </cell>
          <cell r="H14">
            <v>419.15925690882978</v>
          </cell>
        </row>
        <row r="18">
          <cell r="C18">
            <v>62.129166672127653</v>
          </cell>
          <cell r="D18">
            <v>765.65903267893611</v>
          </cell>
          <cell r="E18">
            <v>272.18682034574471</v>
          </cell>
          <cell r="F18">
            <v>2250.5929457460638</v>
          </cell>
          <cell r="G18">
            <v>0.57685064095744687</v>
          </cell>
          <cell r="H18">
            <v>1801.3640475481307</v>
          </cell>
        </row>
        <row r="22">
          <cell r="E22">
            <v>209.93942673461706</v>
          </cell>
          <cell r="F22">
            <v>992.04519952665999</v>
          </cell>
          <cell r="G22">
            <v>95.099411396276594</v>
          </cell>
          <cell r="H22">
            <v>662.69762821321319</v>
          </cell>
        </row>
        <row r="23">
          <cell r="C23">
            <v>952.17910237500018</v>
          </cell>
          <cell r="D23">
            <v>330.25652501861703</v>
          </cell>
        </row>
        <row r="24">
          <cell r="C24">
            <v>140.14671944741946</v>
          </cell>
          <cell r="D24">
            <v>14.172294735170212</v>
          </cell>
        </row>
        <row r="25">
          <cell r="C25">
            <v>103.82108434840426</v>
          </cell>
          <cell r="D25">
            <v>848.19583862446814</v>
          </cell>
        </row>
        <row r="26">
          <cell r="C26">
            <v>100.63737642021276</v>
          </cell>
          <cell r="D26">
            <v>68.841512367148269</v>
          </cell>
        </row>
        <row r="27">
          <cell r="C27">
            <v>2409.3793553048031</v>
          </cell>
          <cell r="D27">
            <v>1325.6631588110949</v>
          </cell>
        </row>
        <row r="28">
          <cell r="C28">
            <v>5592.914506828105</v>
          </cell>
          <cell r="D28">
            <v>805.55241017274466</v>
          </cell>
        </row>
        <row r="29">
          <cell r="C29">
            <v>475.3143413924571</v>
          </cell>
          <cell r="D29">
            <v>301.71159217784594</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64.538792541404263</v>
          </cell>
          <cell r="D33">
            <v>1269.5965416709573</v>
          </cell>
          <cell r="E33">
            <v>2.9621923051279611</v>
          </cell>
          <cell r="F33">
            <v>343.61963485213613</v>
          </cell>
          <cell r="G33">
            <v>2.9321708753315647</v>
          </cell>
          <cell r="H33">
            <v>72.606408198633105</v>
          </cell>
        </row>
        <row r="34">
          <cell r="C34">
            <v>1077.3431892952101</v>
          </cell>
          <cell r="D34">
            <v>1666.5651867699717</v>
          </cell>
          <cell r="E34">
            <v>426.61204867021286</v>
          </cell>
          <cell r="F34">
            <v>1964.2200463179679</v>
          </cell>
          <cell r="G34">
            <v>6.3085897946729367E-3</v>
          </cell>
          <cell r="H34">
            <v>544.60983254332098</v>
          </cell>
        </row>
        <row r="36">
          <cell r="C36">
            <v>277.20677530907403</v>
          </cell>
          <cell r="D36">
            <v>571.10273640381308</v>
          </cell>
          <cell r="E36">
            <v>113.85938628369962</v>
          </cell>
          <cell r="F36">
            <v>-356.95975522199279</v>
          </cell>
          <cell r="G36">
            <v>-2.8175607108753318</v>
          </cell>
          <cell r="H36">
            <v>488.41116300231869</v>
          </cell>
        </row>
        <row r="37">
          <cell r="C37">
            <v>347.60162816836663</v>
          </cell>
          <cell r="D37">
            <v>769.65194546711678</v>
          </cell>
          <cell r="E37">
            <v>3.1252659574468078E-4</v>
          </cell>
          <cell r="F37">
            <v>27.358064492021278</v>
          </cell>
          <cell r="G37">
            <v>4.5219457446808504E-2</v>
          </cell>
          <cell r="H37">
            <v>209.2778822942</v>
          </cell>
        </row>
        <row r="38">
          <cell r="C38">
            <v>11606.238959711625</v>
          </cell>
          <cell r="D38">
            <v>8736.9687748978849</v>
          </cell>
          <cell r="E38">
            <v>1025.5601868659978</v>
          </cell>
          <cell r="F38">
            <v>5220.876135712856</v>
          </cell>
          <cell r="G38">
            <v>95.842400248931753</v>
          </cell>
          <cell r="H38">
            <v>4198.1262187086468</v>
          </cell>
          <cell r="I38">
            <v>30883.612676145949</v>
          </cell>
        </row>
        <row r="68">
          <cell r="C68">
            <v>146.07801811267294</v>
          </cell>
          <cell r="D68">
            <v>5.5253955006253337</v>
          </cell>
        </row>
        <row r="69">
          <cell r="C69">
            <v>869.5704998962766</v>
          </cell>
          <cell r="D69">
            <v>5.3191492021276598E-2</v>
          </cell>
          <cell r="E69">
            <v>0</v>
          </cell>
          <cell r="F69">
            <v>14.361702127659575</v>
          </cell>
          <cell r="G69">
            <v>0</v>
          </cell>
          <cell r="H69">
            <v>98.98853717809979</v>
          </cell>
        </row>
        <row r="72">
          <cell r="C72">
            <v>453.51914217449297</v>
          </cell>
          <cell r="D72">
            <v>1184.5223822489236</v>
          </cell>
          <cell r="E72">
            <v>-5.2812065995424731E-3</v>
          </cell>
          <cell r="F72">
            <v>603.26440496849091</v>
          </cell>
          <cell r="G72">
            <v>-1.1564139958724956E-3</v>
          </cell>
          <cell r="H72">
            <v>646.83072463172095</v>
          </cell>
        </row>
        <row r="76">
          <cell r="E76">
            <v>97.744656328727615</v>
          </cell>
          <cell r="F76">
            <v>1175.1221406109205</v>
          </cell>
          <cell r="G76">
            <v>7.5244379224814901</v>
          </cell>
          <cell r="H76">
            <v>523.37587553025537</v>
          </cell>
        </row>
        <row r="77">
          <cell r="C77">
            <v>499.28633074374471</v>
          </cell>
          <cell r="D77">
            <v>32.435154002659573</v>
          </cell>
        </row>
        <row r="78">
          <cell r="C78">
            <v>0</v>
          </cell>
          <cell r="D78">
            <v>0</v>
          </cell>
        </row>
        <row r="79">
          <cell r="C79">
            <v>82.559321818347954</v>
          </cell>
          <cell r="D79">
            <v>19.274655666990643</v>
          </cell>
        </row>
        <row r="80">
          <cell r="C80">
            <v>1.2859936170212767</v>
          </cell>
          <cell r="D80">
            <v>237.63413114085103</v>
          </cell>
        </row>
        <row r="81">
          <cell r="C81">
            <v>3552.1914512153112</v>
          </cell>
          <cell r="D81">
            <v>445.24721235407708</v>
          </cell>
        </row>
        <row r="82">
          <cell r="C82">
            <v>4908.2823852388574</v>
          </cell>
          <cell r="D82">
            <v>139.79849637454672</v>
          </cell>
        </row>
        <row r="83">
          <cell r="C83">
            <v>211.17021276595753</v>
          </cell>
          <cell r="D83">
            <v>51.698623836808508</v>
          </cell>
        </row>
        <row r="84">
          <cell r="E84">
            <v>2.6525198579787231E-3</v>
          </cell>
          <cell r="F84">
            <v>1512.5788617214043</v>
          </cell>
          <cell r="G84">
            <v>3.189077345744681</v>
          </cell>
          <cell r="H84">
            <v>977.11074253819947</v>
          </cell>
        </row>
        <row r="86">
          <cell r="C86">
            <v>887.53280161925534</v>
          </cell>
          <cell r="D86">
            <v>2448.0704981387671</v>
          </cell>
        </row>
        <row r="89">
          <cell r="C89">
            <v>0</v>
          </cell>
          <cell r="D89">
            <v>508.88190618587964</v>
          </cell>
        </row>
        <row r="92">
          <cell r="C92">
            <v>766.98237712254002</v>
          </cell>
          <cell r="D92">
            <v>613.46269893978729</v>
          </cell>
        </row>
        <row r="93">
          <cell r="C93">
            <v>0</v>
          </cell>
          <cell r="D93">
            <v>524</v>
          </cell>
          <cell r="E93">
            <v>0</v>
          </cell>
          <cell r="F93">
            <v>64.3</v>
          </cell>
          <cell r="G93">
            <v>0</v>
          </cell>
          <cell r="H93">
            <v>0</v>
          </cell>
        </row>
        <row r="94">
          <cell r="E94">
            <v>0</v>
          </cell>
          <cell r="F94">
            <v>0</v>
          </cell>
          <cell r="G94">
            <v>0</v>
          </cell>
          <cell r="H94">
            <v>0</v>
          </cell>
        </row>
        <row r="95">
          <cell r="C95">
            <v>96.788941340505332</v>
          </cell>
          <cell r="D95">
            <v>2134.6454806454217</v>
          </cell>
          <cell r="E95">
            <v>-2.6861702127659578E-7</v>
          </cell>
          <cell r="F95">
            <v>68.043388895502417</v>
          </cell>
          <cell r="G95">
            <v>0</v>
          </cell>
          <cell r="H95">
            <v>1608.914535591465</v>
          </cell>
        </row>
        <row r="96">
          <cell r="C96">
            <v>165.20344647030626</v>
          </cell>
          <cell r="D96">
            <v>78.710208051963633</v>
          </cell>
        </row>
        <row r="97">
          <cell r="C97">
            <v>998.44738139790206</v>
          </cell>
          <cell r="D97">
            <v>771.31722489957031</v>
          </cell>
          <cell r="E97">
            <v>26.673636821068197</v>
          </cell>
          <cell r="F97">
            <v>243.82399130202464</v>
          </cell>
          <cell r="G97">
            <v>3.2912234042552983E-5</v>
          </cell>
          <cell r="H97">
            <v>377.56617761915948</v>
          </cell>
        </row>
        <row r="98">
          <cell r="C98">
            <v>13638.898303533191</v>
          </cell>
          <cell r="D98">
            <v>9195.2772594788948</v>
          </cell>
          <cell r="E98">
            <v>124.41566419443723</v>
          </cell>
          <cell r="F98">
            <v>3681.4944896260026</v>
          </cell>
          <cell r="G98">
            <v>10.712391766464343</v>
          </cell>
          <cell r="H98">
            <v>4232.7865930889002</v>
          </cell>
          <cell r="I98">
            <v>30883.584701687891</v>
          </cell>
        </row>
      </sheetData>
      <sheetData sheetId="1"/>
      <sheetData sheetId="2">
        <row r="16">
          <cell r="N16">
            <v>26202.881641647586</v>
          </cell>
          <cell r="AA16">
            <v>25709.512879372884</v>
          </cell>
        </row>
        <row r="17">
          <cell r="N17">
            <v>20343.199807906796</v>
          </cell>
          <cell r="AA17">
            <v>22834.190556504527</v>
          </cell>
        </row>
        <row r="23">
          <cell r="N23">
            <v>1486.0911409045316</v>
          </cell>
          <cell r="AA23">
            <v>1632.9628473088192</v>
          </cell>
        </row>
        <row r="36">
          <cell r="N36">
            <v>864.35889058726843</v>
          </cell>
          <cell r="AA36">
            <v>620.29005273328153</v>
          </cell>
        </row>
        <row r="76">
          <cell r="N76">
            <v>37.426724406833053</v>
          </cell>
          <cell r="AA76">
            <v>60.890519820913482</v>
          </cell>
        </row>
        <row r="82">
          <cell r="N82">
            <v>1855.9780341672817</v>
          </cell>
          <cell r="AA82">
            <v>1361.3749354102774</v>
          </cell>
        </row>
        <row r="103">
          <cell r="N103">
            <v>0.23912357180851065</v>
          </cell>
          <cell r="AA103">
            <v>27.594045625994696</v>
          </cell>
        </row>
        <row r="131">
          <cell r="N131">
            <v>434.38394238310042</v>
          </cell>
          <cell r="AA131">
            <v>1446.041627116289</v>
          </cell>
        </row>
        <row r="146">
          <cell r="N146">
            <v>2.2958532547074468</v>
          </cell>
          <cell r="AA146">
            <v>9.5744680851063837</v>
          </cell>
        </row>
        <row r="149">
          <cell r="N149">
            <v>0</v>
          </cell>
          <cell r="AA149">
            <v>15.347513149999997</v>
          </cell>
        </row>
        <row r="152">
          <cell r="AA152">
            <v>30883.588616355657</v>
          </cell>
        </row>
      </sheetData>
      <sheetData sheetId="3">
        <row r="14">
          <cell r="D14">
            <v>12727.632377945047</v>
          </cell>
          <cell r="G14">
            <v>13774.074812856656</v>
          </cell>
        </row>
        <row r="16">
          <cell r="D16">
            <v>12549.988642458557</v>
          </cell>
          <cell r="G16">
            <v>13108.969331683413</v>
          </cell>
        </row>
        <row r="17">
          <cell r="D17">
            <v>69.603908113979671</v>
          </cell>
          <cell r="G17">
            <v>91.645724702247037</v>
          </cell>
        </row>
        <row r="18">
          <cell r="D18">
            <v>0.53319596955319148</v>
          </cell>
          <cell r="G18">
            <v>0.54610495515116597</v>
          </cell>
        </row>
        <row r="19">
          <cell r="D19">
            <v>1.5364536861702127</v>
          </cell>
          <cell r="G19">
            <v>1.8175092305237699</v>
          </cell>
        </row>
        <row r="20">
          <cell r="D20">
            <v>1159.7902847936721</v>
          </cell>
          <cell r="G20">
            <v>1239.9641274467863</v>
          </cell>
        </row>
        <row r="21">
          <cell r="D21">
            <v>1260.6259447902344</v>
          </cell>
          <cell r="G21">
            <v>391.89255782110018</v>
          </cell>
        </row>
        <row r="22">
          <cell r="D22">
            <v>3112.9583269967147</v>
          </cell>
          <cell r="G22">
            <v>940.58855849463532</v>
          </cell>
        </row>
        <row r="23">
          <cell r="D23">
            <v>0.98867655168098334</v>
          </cell>
          <cell r="G23">
            <v>1334.1592525575893</v>
          </cell>
        </row>
        <row r="24">
          <cell r="G24">
            <v>30883.657979748099</v>
          </cell>
        </row>
      </sheetData>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2.4988416170212768</v>
          </cell>
          <cell r="D14">
            <v>0</v>
          </cell>
          <cell r="E14">
            <v>0</v>
          </cell>
          <cell r="F14">
            <v>0</v>
          </cell>
          <cell r="G14">
            <v>0</v>
          </cell>
          <cell r="H14">
            <v>418.09542712159572</v>
          </cell>
        </row>
        <row r="18">
          <cell r="C18">
            <v>75.73138672797873</v>
          </cell>
          <cell r="D18">
            <v>774.14307308778734</v>
          </cell>
          <cell r="E18">
            <v>273.49996359042558</v>
          </cell>
          <cell r="F18">
            <v>2421.4593068072336</v>
          </cell>
          <cell r="G18">
            <v>0.52385421808510646</v>
          </cell>
          <cell r="H18">
            <v>1881.1651607909362</v>
          </cell>
        </row>
        <row r="22">
          <cell r="E22">
            <v>201.67837173927663</v>
          </cell>
          <cell r="F22">
            <v>1025.6694540952039</v>
          </cell>
          <cell r="G22">
            <v>99.152888617021304</v>
          </cell>
          <cell r="H22">
            <v>620.56291856117502</v>
          </cell>
        </row>
        <row r="23">
          <cell r="C23">
            <v>979.51648683244684</v>
          </cell>
          <cell r="D23">
            <v>332.20782103191493</v>
          </cell>
        </row>
        <row r="24">
          <cell r="C24">
            <v>166.61739595553814</v>
          </cell>
          <cell r="D24">
            <v>7.144360512723404</v>
          </cell>
        </row>
        <row r="25">
          <cell r="C25">
            <v>105.04954225531915</v>
          </cell>
          <cell r="D25">
            <v>835.93477958457447</v>
          </cell>
        </row>
        <row r="26">
          <cell r="C26">
            <v>102.11333015425532</v>
          </cell>
          <cell r="D26">
            <v>81.607522423796496</v>
          </cell>
        </row>
        <row r="27">
          <cell r="C27">
            <v>2461.4847239139476</v>
          </cell>
          <cell r="D27">
            <v>1332.8655259161803</v>
          </cell>
        </row>
        <row r="28">
          <cell r="C28">
            <v>5608.5467953378457</v>
          </cell>
          <cell r="D28">
            <v>798.16540270838323</v>
          </cell>
        </row>
        <row r="29">
          <cell r="C29">
            <v>479.98441782865012</v>
          </cell>
          <cell r="D29">
            <v>312.35187187188296</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60.797537794829772</v>
          </cell>
          <cell r="D33">
            <v>1336.9106353359998</v>
          </cell>
          <cell r="E33">
            <v>3.3477321987449828</v>
          </cell>
          <cell r="F33">
            <v>342.16842266154976</v>
          </cell>
          <cell r="G33">
            <v>2.9321708753315647</v>
          </cell>
          <cell r="H33">
            <v>75.12820524656415</v>
          </cell>
        </row>
        <row r="34">
          <cell r="C34">
            <v>1077.3431892952101</v>
          </cell>
          <cell r="D34">
            <v>1649.3948883274643</v>
          </cell>
          <cell r="E34">
            <v>426.61204867021286</v>
          </cell>
          <cell r="F34">
            <v>1964.7451870917669</v>
          </cell>
          <cell r="G34">
            <v>6.3085897946729367E-3</v>
          </cell>
          <cell r="H34">
            <v>544.60983254332098</v>
          </cell>
        </row>
        <row r="36">
          <cell r="C36">
            <v>285.60993759966055</v>
          </cell>
          <cell r="D36">
            <v>574.03002618685866</v>
          </cell>
          <cell r="E36">
            <v>117.62812599456623</v>
          </cell>
          <cell r="F36">
            <v>-357.62924701604504</v>
          </cell>
          <cell r="G36">
            <v>-2.7825686631299735</v>
          </cell>
          <cell r="H36">
            <v>488.44915578355705</v>
          </cell>
        </row>
        <row r="37">
          <cell r="C37">
            <v>390.23951566671934</v>
          </cell>
          <cell r="D37">
            <v>760.21193009955255</v>
          </cell>
          <cell r="E37">
            <v>3.1291223404255318E-4</v>
          </cell>
          <cell r="F37">
            <v>27.467663111702127</v>
          </cell>
          <cell r="G37">
            <v>1.5327393617021277E-4</v>
          </cell>
          <cell r="H37">
            <v>209.15662014557813</v>
          </cell>
        </row>
        <row r="38">
          <cell r="C38">
            <v>11795.533100979423</v>
          </cell>
          <cell r="D38">
            <v>8794.9678370871188</v>
          </cell>
          <cell r="E38">
            <v>1022.7665551054604</v>
          </cell>
          <cell r="F38">
            <v>5423.8807867514106</v>
          </cell>
          <cell r="G38">
            <v>99.832806911038844</v>
          </cell>
          <cell r="H38">
            <v>4237.1673201927279</v>
          </cell>
          <cell r="I38">
            <v>31374.148407027176</v>
          </cell>
        </row>
        <row r="68">
          <cell r="C68">
            <v>138.39311635022528</v>
          </cell>
          <cell r="D68">
            <v>4.3698626336040558</v>
          </cell>
        </row>
        <row r="69">
          <cell r="C69">
            <v>972.52553026595751</v>
          </cell>
          <cell r="D69">
            <v>5.3191492021276598E-2</v>
          </cell>
          <cell r="E69">
            <v>0</v>
          </cell>
          <cell r="F69">
            <v>11.702127659574469</v>
          </cell>
          <cell r="G69">
            <v>0</v>
          </cell>
          <cell r="H69">
            <v>99.067163075385182</v>
          </cell>
        </row>
        <row r="72">
          <cell r="C72">
            <v>495.50730280434374</v>
          </cell>
          <cell r="D72">
            <v>1066.6294583367096</v>
          </cell>
          <cell r="E72">
            <v>5.3138677295706698</v>
          </cell>
          <cell r="F72">
            <v>573.48804395679826</v>
          </cell>
          <cell r="G72">
            <v>-1.1564139958724956E-3</v>
          </cell>
          <cell r="H72">
            <v>742.73071081570811</v>
          </cell>
        </row>
        <row r="76">
          <cell r="E76">
            <v>109.16664289159996</v>
          </cell>
          <cell r="F76">
            <v>1153.8940350818634</v>
          </cell>
          <cell r="G76">
            <v>7.2583517708857448</v>
          </cell>
          <cell r="H76">
            <v>534.56261637341368</v>
          </cell>
        </row>
        <row r="77">
          <cell r="C77">
            <v>505.34087894055318</v>
          </cell>
          <cell r="D77">
            <v>32.094827069148934</v>
          </cell>
        </row>
        <row r="78">
          <cell r="C78">
            <v>0</v>
          </cell>
          <cell r="D78">
            <v>0</v>
          </cell>
        </row>
        <row r="79">
          <cell r="C79">
            <v>85.292091891699016</v>
          </cell>
          <cell r="D79">
            <v>19.29113223082043</v>
          </cell>
        </row>
        <row r="80">
          <cell r="C80">
            <v>1.0909109042553191</v>
          </cell>
          <cell r="D80">
            <v>230.31652423999998</v>
          </cell>
        </row>
        <row r="81">
          <cell r="C81">
            <v>3514.7742892145866</v>
          </cell>
          <cell r="D81">
            <v>494.90277805498226</v>
          </cell>
        </row>
        <row r="82">
          <cell r="C82">
            <v>4960.9092799462915</v>
          </cell>
          <cell r="D82">
            <v>143.08867533731268</v>
          </cell>
        </row>
        <row r="83">
          <cell r="C83">
            <v>218.61702127659566</v>
          </cell>
          <cell r="D83">
            <v>52.227894663617022</v>
          </cell>
        </row>
        <row r="84">
          <cell r="E84">
            <v>2.6525198579787231E-3</v>
          </cell>
          <cell r="F84">
            <v>1504.2365837301086</v>
          </cell>
          <cell r="G84">
            <v>3.189077345744681</v>
          </cell>
          <cell r="H84">
            <v>1042.0882410527856</v>
          </cell>
        </row>
        <row r="86">
          <cell r="C86">
            <v>906.05183334180856</v>
          </cell>
          <cell r="D86">
            <v>2475.2110250192154</v>
          </cell>
        </row>
        <row r="89">
          <cell r="C89">
            <v>9.3345744680851066</v>
          </cell>
          <cell r="D89">
            <v>542.03365790619887</v>
          </cell>
        </row>
        <row r="92">
          <cell r="C92">
            <v>766.71188812444564</v>
          </cell>
          <cell r="D92">
            <v>668.1937695435106</v>
          </cell>
        </row>
        <row r="93">
          <cell r="C93">
            <v>0</v>
          </cell>
          <cell r="D93">
            <v>535.4</v>
          </cell>
          <cell r="E93">
            <v>0</v>
          </cell>
          <cell r="F93">
            <v>77.08</v>
          </cell>
          <cell r="G93">
            <v>0</v>
          </cell>
          <cell r="H93">
            <v>0</v>
          </cell>
        </row>
        <row r="94">
          <cell r="E94">
            <v>0</v>
          </cell>
          <cell r="F94">
            <v>0</v>
          </cell>
          <cell r="G94">
            <v>0</v>
          </cell>
          <cell r="H94">
            <v>0</v>
          </cell>
        </row>
        <row r="95">
          <cell r="C95">
            <v>98.05974987954788</v>
          </cell>
          <cell r="D95">
            <v>2130.687896605576</v>
          </cell>
          <cell r="E95">
            <v>-2.6861702127659578E-7</v>
          </cell>
          <cell r="F95">
            <v>67.935686918321693</v>
          </cell>
          <cell r="G95">
            <v>0</v>
          </cell>
          <cell r="H95">
            <v>1637.9556511553421</v>
          </cell>
        </row>
        <row r="96">
          <cell r="C96">
            <v>165.01529497030083</v>
          </cell>
          <cell r="D96">
            <v>78.552590963928367</v>
          </cell>
        </row>
        <row r="97">
          <cell r="C97">
            <v>1042.2227315537875</v>
          </cell>
          <cell r="D97">
            <v>815.46472412606704</v>
          </cell>
          <cell r="E97">
            <v>26.674170528834157</v>
          </cell>
          <cell r="F97">
            <v>235.05689788968422</v>
          </cell>
          <cell r="G97">
            <v>3.1800531914893425E-5</v>
          </cell>
          <cell r="H97">
            <v>374.39441632897422</v>
          </cell>
        </row>
        <row r="98">
          <cell r="C98">
            <v>13879.846493932484</v>
          </cell>
          <cell r="D98">
            <v>9288.5180082227125</v>
          </cell>
          <cell r="E98">
            <v>141.15733340124575</v>
          </cell>
          <cell r="F98">
            <v>3623.3933752363509</v>
          </cell>
          <cell r="G98">
            <v>10.44630450316647</v>
          </cell>
          <cell r="H98">
            <v>4430.7987988016093</v>
          </cell>
          <cell r="I98">
            <v>31374.160314097568</v>
          </cell>
        </row>
      </sheetData>
      <sheetData sheetId="1"/>
      <sheetData sheetId="2">
        <row r="16">
          <cell r="N16">
            <v>26455.80721822516</v>
          </cell>
          <cell r="AA16">
            <v>26010.739598780328</v>
          </cell>
        </row>
        <row r="17">
          <cell r="N17">
            <v>20590.493501687637</v>
          </cell>
          <cell r="AA17">
            <v>23168.559208131592</v>
          </cell>
        </row>
        <row r="23">
          <cell r="N23">
            <v>1489.7316082586469</v>
          </cell>
          <cell r="AA23">
            <v>1633.2526547250609</v>
          </cell>
        </row>
        <row r="36">
          <cell r="N36">
            <v>868.05306276415479</v>
          </cell>
          <cell r="AA36">
            <v>613.94953844552106</v>
          </cell>
        </row>
        <row r="76">
          <cell r="N76">
            <v>38.578901508757554</v>
          </cell>
          <cell r="AA76">
            <v>60.918747283785834</v>
          </cell>
        </row>
        <row r="82">
          <cell r="N82">
            <v>1901.7659839450114</v>
          </cell>
          <cell r="AA82">
            <v>1492.0015924922188</v>
          </cell>
        </row>
        <row r="103">
          <cell r="N103">
            <v>0.24944583226338959</v>
          </cell>
          <cell r="AA103">
            <v>27.098777352785145</v>
          </cell>
        </row>
        <row r="131">
          <cell r="N131">
            <v>617.31703918350445</v>
          </cell>
          <cell r="AA131">
            <v>1521.0254207668377</v>
          </cell>
        </row>
        <row r="146">
          <cell r="N146">
            <v>2.7690906483244686</v>
          </cell>
          <cell r="AA146">
            <v>9.8404255319148941</v>
          </cell>
        </row>
        <row r="149">
          <cell r="N149">
            <v>0</v>
          </cell>
          <cell r="AA149">
            <v>5.567987350000001</v>
          </cell>
        </row>
        <row r="152">
          <cell r="AA152">
            <v>31374.394288407497</v>
          </cell>
        </row>
      </sheetData>
      <sheetData sheetId="3">
        <row r="14">
          <cell r="D14">
            <v>12918.123786268428</v>
          </cell>
          <cell r="G14">
            <v>14031.501780863851</v>
          </cell>
        </row>
        <row r="16">
          <cell r="D16">
            <v>12799.525515391877</v>
          </cell>
          <cell r="G16">
            <v>13300.733246301346</v>
          </cell>
        </row>
        <row r="17">
          <cell r="D17">
            <v>121.02514726635785</v>
          </cell>
          <cell r="G17">
            <v>150.05214694899459</v>
          </cell>
        </row>
        <row r="18">
          <cell r="D18">
            <v>0.57809483021276598</v>
          </cell>
          <cell r="G18">
            <v>0.59057477511127243</v>
          </cell>
        </row>
        <row r="19">
          <cell r="D19">
            <v>1.5180100372340426</v>
          </cell>
          <cell r="G19">
            <v>1.8348960390344076</v>
          </cell>
        </row>
        <row r="20">
          <cell r="D20">
            <v>1175.1124424786829</v>
          </cell>
          <cell r="G20">
            <v>1268.5207255097982</v>
          </cell>
        </row>
        <row r="21">
          <cell r="D21">
            <v>1249.6518725308513</v>
          </cell>
          <cell r="G21">
            <v>348.41715374883495</v>
          </cell>
        </row>
        <row r="22">
          <cell r="D22">
            <v>3107.5641425717604</v>
          </cell>
          <cell r="G22">
            <v>994.96977325965281</v>
          </cell>
        </row>
        <row r="23">
          <cell r="D23">
            <v>1.0552877453191238</v>
          </cell>
          <cell r="G23">
            <v>1277.6212869449628</v>
          </cell>
        </row>
        <row r="24">
          <cell r="G24">
            <v>31374.241584391584</v>
          </cell>
        </row>
      </sheetData>
      <sheetData sheetId="4"/>
      <sheetData sheetId="5"/>
      <sheetData sheetId="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2.7425561382978727</v>
          </cell>
          <cell r="D14">
            <v>0</v>
          </cell>
          <cell r="E14">
            <v>0</v>
          </cell>
          <cell r="F14">
            <v>0</v>
          </cell>
          <cell r="G14">
            <v>0</v>
          </cell>
          <cell r="H14">
            <v>419.69117180244677</v>
          </cell>
        </row>
        <row r="18">
          <cell r="C18">
            <v>145.88590501236359</v>
          </cell>
          <cell r="D18">
            <v>1005.6811504663216</v>
          </cell>
          <cell r="E18">
            <v>274.30353563829789</v>
          </cell>
          <cell r="F18">
            <v>2575.2540611310901</v>
          </cell>
          <cell r="G18">
            <v>0.78284730319148932</v>
          </cell>
          <cell r="H18">
            <v>1976.9416274540888</v>
          </cell>
        </row>
        <row r="22">
          <cell r="E22">
            <v>204.38708383280849</v>
          </cell>
          <cell r="F22">
            <v>1079.7127469791544</v>
          </cell>
          <cell r="G22">
            <v>101.21648224999994</v>
          </cell>
          <cell r="H22">
            <v>596.37449191833377</v>
          </cell>
        </row>
        <row r="23">
          <cell r="C23">
            <v>974.72983886824238</v>
          </cell>
          <cell r="D23">
            <v>323.65283388043133</v>
          </cell>
        </row>
        <row r="24">
          <cell r="C24">
            <v>161.98491821660198</v>
          </cell>
          <cell r="D24">
            <v>5.1220911753829785</v>
          </cell>
        </row>
        <row r="25">
          <cell r="C25">
            <v>118.33261154787233</v>
          </cell>
          <cell r="D25">
            <v>863.44128855999986</v>
          </cell>
        </row>
        <row r="26">
          <cell r="C26">
            <v>94.320863093085094</v>
          </cell>
          <cell r="D26">
            <v>61.588927224420118</v>
          </cell>
        </row>
        <row r="27">
          <cell r="C27">
            <v>2531.0451668781307</v>
          </cell>
          <cell r="D27">
            <v>1293.2565236333792</v>
          </cell>
        </row>
        <row r="28">
          <cell r="C28">
            <v>5676.6582977231883</v>
          </cell>
          <cell r="D28">
            <v>809.49619046487237</v>
          </cell>
        </row>
        <row r="29">
          <cell r="C29">
            <v>472.63155589471387</v>
          </cell>
          <cell r="D29">
            <v>294.68902252868946</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58.763930576127649</v>
          </cell>
          <cell r="D33">
            <v>1435.0516087240217</v>
          </cell>
          <cell r="E33">
            <v>4.1848146455534927</v>
          </cell>
          <cell r="F33">
            <v>348.33353056274797</v>
          </cell>
          <cell r="G33">
            <v>2.9321708753315647</v>
          </cell>
          <cell r="H33">
            <v>116.54007395664372</v>
          </cell>
        </row>
        <row r="34">
          <cell r="C34">
            <v>1077.3352105718091</v>
          </cell>
          <cell r="D34">
            <v>1653.3950849883006</v>
          </cell>
          <cell r="E34">
            <v>426.62002739361708</v>
          </cell>
          <cell r="F34">
            <v>1963.1622846527132</v>
          </cell>
          <cell r="G34">
            <v>6.3085897946729367E-3</v>
          </cell>
          <cell r="H34">
            <v>544.92683254332098</v>
          </cell>
        </row>
        <row r="36">
          <cell r="C36">
            <v>277.8310520304492</v>
          </cell>
          <cell r="D36">
            <v>520.04090022789251</v>
          </cell>
          <cell r="E36">
            <v>134.42438034752919</v>
          </cell>
          <cell r="F36">
            <v>-357.29499923926267</v>
          </cell>
          <cell r="G36">
            <v>-2.9405430079575594</v>
          </cell>
          <cell r="H36">
            <v>488.61094054924149</v>
          </cell>
        </row>
        <row r="37">
          <cell r="C37">
            <v>316.62725028387052</v>
          </cell>
          <cell r="D37">
            <v>774.49067764683798</v>
          </cell>
          <cell r="E37">
            <v>3.1329787234042557E-4</v>
          </cell>
          <cell r="F37">
            <v>27.885940199680849</v>
          </cell>
          <cell r="G37">
            <v>1.5349202127659575E-4</v>
          </cell>
          <cell r="H37">
            <v>207.83138253582672</v>
          </cell>
        </row>
        <row r="38">
          <cell r="C38">
            <v>11908.889156834755</v>
          </cell>
          <cell r="D38">
            <v>9039.9062995205495</v>
          </cell>
          <cell r="E38">
            <v>1043.9201551556785</v>
          </cell>
          <cell r="F38">
            <v>5637.0535642861232</v>
          </cell>
          <cell r="G38">
            <v>101.99741950238138</v>
          </cell>
          <cell r="H38">
            <v>4350.9165207599026</v>
          </cell>
          <cell r="I38">
            <v>32082.68311605939</v>
          </cell>
        </row>
        <row r="68">
          <cell r="C68">
            <v>154.07953319647999</v>
          </cell>
          <cell r="D68">
            <v>4.4935024690747092</v>
          </cell>
        </row>
        <row r="69">
          <cell r="C69">
            <v>944.5453318085107</v>
          </cell>
          <cell r="D69">
            <v>5.3191492021276598E-2</v>
          </cell>
          <cell r="E69">
            <v>0</v>
          </cell>
          <cell r="F69">
            <v>11.702127659574469</v>
          </cell>
          <cell r="G69">
            <v>0</v>
          </cell>
          <cell r="H69">
            <v>87.718289156590387</v>
          </cell>
        </row>
        <row r="72">
          <cell r="C72">
            <v>727.24327127013441</v>
          </cell>
          <cell r="D72">
            <v>1220.6231197840243</v>
          </cell>
          <cell r="E72">
            <v>1E-8</v>
          </cell>
          <cell r="F72">
            <v>781.52242452381586</v>
          </cell>
          <cell r="G72">
            <v>1E-8</v>
          </cell>
          <cell r="H72">
            <v>785.44785790752769</v>
          </cell>
        </row>
        <row r="76">
          <cell r="E76">
            <v>88.489948821820818</v>
          </cell>
          <cell r="F76">
            <v>1144.3499717986178</v>
          </cell>
          <cell r="G76">
            <v>7.2427391835521799</v>
          </cell>
          <cell r="H76">
            <v>623.45198469659533</v>
          </cell>
        </row>
        <row r="77">
          <cell r="C77">
            <v>490.831694505163</v>
          </cell>
          <cell r="D77">
            <v>31.750577614553148</v>
          </cell>
        </row>
        <row r="78">
          <cell r="C78">
            <v>0</v>
          </cell>
          <cell r="D78">
            <v>0</v>
          </cell>
        </row>
        <row r="79">
          <cell r="C79">
            <v>82.701846945956135</v>
          </cell>
          <cell r="D79">
            <v>19.30328689403542</v>
          </cell>
        </row>
        <row r="80">
          <cell r="C80">
            <v>1.09653789893617</v>
          </cell>
          <cell r="D80">
            <v>222.63782593170214</v>
          </cell>
        </row>
        <row r="81">
          <cell r="C81">
            <v>3542.6334662910485</v>
          </cell>
          <cell r="D81">
            <v>443.40472078468787</v>
          </cell>
        </row>
        <row r="82">
          <cell r="C82">
            <v>5001.3428697376739</v>
          </cell>
          <cell r="D82">
            <v>133.52437682024095</v>
          </cell>
        </row>
        <row r="83">
          <cell r="C83">
            <v>197.34042553191497</v>
          </cell>
          <cell r="D83">
            <v>52.528925080425537</v>
          </cell>
        </row>
        <row r="84">
          <cell r="E84">
            <v>2.6525198579787231E-3</v>
          </cell>
          <cell r="F84">
            <v>1515.208437509687</v>
          </cell>
          <cell r="G84">
            <v>3.189077345744681</v>
          </cell>
          <cell r="H84">
            <v>1105.8130426597643</v>
          </cell>
        </row>
        <row r="86">
          <cell r="C86">
            <v>947.53450937119214</v>
          </cell>
          <cell r="D86">
            <v>2531.0511773877424</v>
          </cell>
        </row>
        <row r="89">
          <cell r="C89">
            <v>9.3625000000000007</v>
          </cell>
          <cell r="D89">
            <v>543.16338212932351</v>
          </cell>
        </row>
        <row r="92">
          <cell r="C92">
            <v>774.71724754213392</v>
          </cell>
          <cell r="D92">
            <v>663.87046464361708</v>
          </cell>
        </row>
        <row r="93">
          <cell r="C93">
            <v>0</v>
          </cell>
          <cell r="D93">
            <v>535.4</v>
          </cell>
          <cell r="E93">
            <v>0</v>
          </cell>
          <cell r="F93">
            <v>77.080072579999992</v>
          </cell>
          <cell r="G93">
            <v>0</v>
          </cell>
          <cell r="H93">
            <v>0</v>
          </cell>
        </row>
        <row r="94">
          <cell r="E94">
            <v>0</v>
          </cell>
          <cell r="F94">
            <v>0</v>
          </cell>
          <cell r="G94">
            <v>0</v>
          </cell>
          <cell r="H94">
            <v>0</v>
          </cell>
        </row>
        <row r="95">
          <cell r="C95">
            <v>97.966009945037229</v>
          </cell>
          <cell r="D95">
            <v>2181.3425931596125</v>
          </cell>
          <cell r="E95">
            <v>-2.6861702127659578E-7</v>
          </cell>
          <cell r="F95">
            <v>71.66746879577741</v>
          </cell>
          <cell r="G95">
            <v>0</v>
          </cell>
          <cell r="H95">
            <v>1594.5629327427669</v>
          </cell>
        </row>
        <row r="96">
          <cell r="C96">
            <v>170.09469515857845</v>
          </cell>
          <cell r="D96">
            <v>73.421545452199638</v>
          </cell>
        </row>
        <row r="97">
          <cell r="C97">
            <v>974.32533266108419</v>
          </cell>
          <cell r="D97">
            <v>779.96137313581585</v>
          </cell>
          <cell r="E97">
            <v>26.672405497428752</v>
          </cell>
          <cell r="F97">
            <v>238.9520143735495</v>
          </cell>
          <cell r="G97">
            <v>1.9976445832633174E-5</v>
          </cell>
          <cell r="H97">
            <v>367.19095231254897</v>
          </cell>
        </row>
        <row r="98">
          <cell r="C98">
            <v>14115.815271863845</v>
          </cell>
          <cell r="D98">
            <v>9436.5300627790766</v>
          </cell>
          <cell r="E98">
            <v>115.16500658049053</v>
          </cell>
          <cell r="F98">
            <v>3840.4825172410219</v>
          </cell>
          <cell r="G98">
            <v>10.431836515742695</v>
          </cell>
          <cell r="H98">
            <v>4564.1850594757934</v>
          </cell>
          <cell r="I98">
            <v>32082.609754455967</v>
          </cell>
        </row>
      </sheetData>
      <sheetData sheetId="1"/>
      <sheetData sheetId="2">
        <row r="16">
          <cell r="N16">
            <v>27038.715954623414</v>
          </cell>
          <cell r="AA16">
            <v>26662.954771485329</v>
          </cell>
        </row>
        <row r="17">
          <cell r="N17">
            <v>20948.791957092184</v>
          </cell>
          <cell r="AA17">
            <v>23552.28119473876</v>
          </cell>
        </row>
        <row r="23">
          <cell r="N23">
            <v>1543.1060293388455</v>
          </cell>
          <cell r="AA23">
            <v>1623.5195529504001</v>
          </cell>
        </row>
        <row r="36">
          <cell r="N36">
            <v>873.52436963516539</v>
          </cell>
          <cell r="AA36">
            <v>617.26589346202991</v>
          </cell>
        </row>
        <row r="76">
          <cell r="N76">
            <v>30.862407465879848</v>
          </cell>
          <cell r="AA76">
            <v>64.366225319016038</v>
          </cell>
        </row>
        <row r="82">
          <cell r="N82">
            <v>1947.0776068050664</v>
          </cell>
          <cell r="AA82">
            <v>1369.8514481550894</v>
          </cell>
        </row>
        <row r="103">
          <cell r="N103">
            <v>0.35331137842146854</v>
          </cell>
          <cell r="AA103">
            <v>28.341206904509285</v>
          </cell>
        </row>
        <row r="131">
          <cell r="N131">
            <v>646.30002941017699</v>
          </cell>
          <cell r="AA131">
            <v>1709.0631877292126</v>
          </cell>
        </row>
        <row r="146">
          <cell r="N146">
            <v>2.9157627227925538</v>
          </cell>
          <cell r="AA146">
            <v>9.8404255319148941</v>
          </cell>
        </row>
        <row r="149">
          <cell r="N149">
            <v>0</v>
          </cell>
          <cell r="AA149">
            <v>-2.6580007999999999</v>
          </cell>
        </row>
        <row r="152">
          <cell r="AA152">
            <v>32082.544438416542</v>
          </cell>
        </row>
      </sheetData>
      <sheetData sheetId="3">
        <row r="14">
          <cell r="D14">
            <v>13054.797748190676</v>
          </cell>
          <cell r="G14">
            <v>14241.453063865696</v>
          </cell>
        </row>
        <row r="16">
          <cell r="D16">
            <v>13204.444114013775</v>
          </cell>
          <cell r="G16">
            <v>13641.58948086137</v>
          </cell>
        </row>
        <row r="17">
          <cell r="D17">
            <v>134.70329132970215</v>
          </cell>
          <cell r="G17">
            <v>151.76124397014917</v>
          </cell>
        </row>
        <row r="18">
          <cell r="D18">
            <v>0.58455964689361695</v>
          </cell>
          <cell r="G18">
            <v>0.58498329270850868</v>
          </cell>
        </row>
        <row r="19">
          <cell r="D19">
            <v>0.73031764095744678</v>
          </cell>
          <cell r="G19">
            <v>0.78622992259848878</v>
          </cell>
        </row>
        <row r="20">
          <cell r="D20">
            <v>1104.7857438679255</v>
          </cell>
          <cell r="G20">
            <v>1203.0466399299019</v>
          </cell>
        </row>
        <row r="21">
          <cell r="D21">
            <v>1472.5996020286495</v>
          </cell>
          <cell r="G21">
            <v>557.76831667781289</v>
          </cell>
        </row>
        <row r="22">
          <cell r="D22">
            <v>3109.2394903780346</v>
          </cell>
          <cell r="G22">
            <v>1005.2372279140884</v>
          </cell>
        </row>
        <row r="23">
          <cell r="D23">
            <v>0.79987617351060436</v>
          </cell>
          <cell r="G23">
            <v>1280.483363232215</v>
          </cell>
        </row>
        <row r="24">
          <cell r="G24">
            <v>32082.710549666539</v>
          </cell>
        </row>
      </sheetData>
      <sheetData sheetId="4"/>
      <sheetData sheetId="5"/>
      <sheetData sheetId="6"/>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3.2734908643617024</v>
          </cell>
          <cell r="D14">
            <v>0</v>
          </cell>
          <cell r="E14">
            <v>0</v>
          </cell>
          <cell r="F14">
            <v>0</v>
          </cell>
          <cell r="G14">
            <v>0</v>
          </cell>
          <cell r="H14">
            <v>418.36138456840422</v>
          </cell>
        </row>
        <row r="18">
          <cell r="C18">
            <v>130.9171062178786</v>
          </cell>
          <cell r="D18">
            <v>845.48200670784831</v>
          </cell>
          <cell r="E18">
            <v>270.69390572872339</v>
          </cell>
          <cell r="F18">
            <v>2525.7110483824199</v>
          </cell>
          <cell r="G18">
            <v>2.0356356010638299</v>
          </cell>
          <cell r="H18">
            <v>1978.6487439845118</v>
          </cell>
        </row>
        <row r="22">
          <cell r="E22">
            <v>202.0944589837446</v>
          </cell>
          <cell r="F22">
            <v>1085.0810223532887</v>
          </cell>
          <cell r="G22">
            <v>99.893352055851039</v>
          </cell>
          <cell r="H22">
            <v>598.65472761753642</v>
          </cell>
        </row>
        <row r="23">
          <cell r="C23">
            <v>997.04193261270427</v>
          </cell>
          <cell r="D23">
            <v>336.51372716653054</v>
          </cell>
        </row>
        <row r="24">
          <cell r="C24">
            <v>164.53030839855037</v>
          </cell>
          <cell r="D24">
            <v>5.1364580732553193</v>
          </cell>
        </row>
        <row r="25">
          <cell r="C25">
            <v>121.52583831648936</v>
          </cell>
          <cell r="D25">
            <v>635.04187944130319</v>
          </cell>
        </row>
        <row r="26">
          <cell r="C26">
            <v>95.418488377659571</v>
          </cell>
          <cell r="D26">
            <v>59.973402937616413</v>
          </cell>
        </row>
        <row r="27">
          <cell r="C27">
            <v>2616.1500767083367</v>
          </cell>
          <cell r="D27">
            <v>1880.7740425708362</v>
          </cell>
        </row>
        <row r="28">
          <cell r="C28">
            <v>5730.6955690380901</v>
          </cell>
          <cell r="D28">
            <v>802.33000419402151</v>
          </cell>
        </row>
        <row r="29">
          <cell r="C29">
            <v>461.83229033086133</v>
          </cell>
          <cell r="D29">
            <v>309.83888088687411</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60.107168727234047</v>
          </cell>
          <cell r="D33">
            <v>1424.402585483979</v>
          </cell>
          <cell r="E33">
            <v>3.8289609221492382</v>
          </cell>
          <cell r="F33">
            <v>344.05347979694415</v>
          </cell>
          <cell r="G33">
            <v>2.9321708753315647</v>
          </cell>
          <cell r="H33">
            <v>133.92576213855466</v>
          </cell>
        </row>
        <row r="34">
          <cell r="C34">
            <v>1118.7794517952107</v>
          </cell>
          <cell r="D34">
            <v>1646.2283898313983</v>
          </cell>
          <cell r="E34">
            <v>385.17578617021286</v>
          </cell>
          <cell r="F34">
            <v>1929.2036859843784</v>
          </cell>
          <cell r="G34">
            <v>6.3085897946729367E-3</v>
          </cell>
          <cell r="H34">
            <v>544.62683254332092</v>
          </cell>
        </row>
        <row r="36">
          <cell r="C36">
            <v>281.85181204357679</v>
          </cell>
          <cell r="D36">
            <v>407.99795489495068</v>
          </cell>
          <cell r="E36">
            <v>138.82721975266233</v>
          </cell>
          <cell r="F36">
            <v>-365.42556172147209</v>
          </cell>
          <cell r="G36">
            <v>-3.1510371167108753</v>
          </cell>
          <cell r="H36">
            <v>490.56856285943564</v>
          </cell>
        </row>
        <row r="37">
          <cell r="C37">
            <v>306.43609067129967</v>
          </cell>
          <cell r="D37">
            <v>856.71628469201914</v>
          </cell>
          <cell r="E37">
            <v>3.1368351063829785E-4</v>
          </cell>
          <cell r="F37">
            <v>27.757502806063826</v>
          </cell>
          <cell r="G37">
            <v>-2.9043882978723406E-4</v>
          </cell>
          <cell r="H37">
            <v>206.99685142169514</v>
          </cell>
        </row>
        <row r="38">
          <cell r="C38">
            <v>12088.559624102258</v>
          </cell>
          <cell r="D38">
            <v>9210.4356168806316</v>
          </cell>
          <cell r="E38">
            <v>1000.6206452410031</v>
          </cell>
          <cell r="F38">
            <v>5546.3811776016228</v>
          </cell>
          <cell r="G38">
            <v>101.71613956650043</v>
          </cell>
          <cell r="H38">
            <v>4371.7828651334585</v>
          </cell>
          <cell r="I38">
            <v>32319.496068525477</v>
          </cell>
        </row>
        <row r="68">
          <cell r="C68">
            <v>137.76294142965676</v>
          </cell>
          <cell r="D68">
            <v>4.6431385382236448</v>
          </cell>
        </row>
        <row r="69">
          <cell r="C69">
            <v>848.4947347074467</v>
          </cell>
          <cell r="D69">
            <v>5.3191492021276598E-2</v>
          </cell>
          <cell r="E69">
            <v>0</v>
          </cell>
          <cell r="F69">
            <v>10.638297872340425</v>
          </cell>
          <cell r="G69">
            <v>0</v>
          </cell>
          <cell r="H69">
            <v>84.197821929150919</v>
          </cell>
        </row>
        <row r="72">
          <cell r="C72">
            <v>795.5857935110356</v>
          </cell>
          <cell r="D72">
            <v>1163.8624286836341</v>
          </cell>
          <cell r="E72">
            <v>12.235435884999999</v>
          </cell>
          <cell r="F72">
            <v>749.03459814874873</v>
          </cell>
          <cell r="G72">
            <v>1E-8</v>
          </cell>
          <cell r="H72">
            <v>869.04234074994918</v>
          </cell>
        </row>
        <row r="76">
          <cell r="E76">
            <v>87.018014534586783</v>
          </cell>
          <cell r="F76">
            <v>1148.0284234735966</v>
          </cell>
          <cell r="G76">
            <v>7.2465009229138824</v>
          </cell>
          <cell r="H76">
            <v>627.83356612863781</v>
          </cell>
        </row>
        <row r="77">
          <cell r="C77">
            <v>493.46793401048228</v>
          </cell>
          <cell r="D77">
            <v>31.675076215616986</v>
          </cell>
        </row>
        <row r="78">
          <cell r="C78">
            <v>0</v>
          </cell>
          <cell r="D78">
            <v>0</v>
          </cell>
        </row>
        <row r="79">
          <cell r="C79">
            <v>77.583317665690174</v>
          </cell>
          <cell r="D79">
            <v>19.315300620099251</v>
          </cell>
        </row>
        <row r="80">
          <cell r="C80">
            <v>1.1021648936170212</v>
          </cell>
          <cell r="D80">
            <v>221.57027934510637</v>
          </cell>
        </row>
        <row r="81">
          <cell r="C81">
            <v>3557.3114188763097</v>
          </cell>
          <cell r="D81">
            <v>396.69551964745392</v>
          </cell>
        </row>
        <row r="82">
          <cell r="C82">
            <v>5021.9943044229631</v>
          </cell>
          <cell r="D82">
            <v>147.34143363040053</v>
          </cell>
        </row>
        <row r="83">
          <cell r="C83">
            <v>186.19520627393626</v>
          </cell>
          <cell r="D83">
            <v>53.31770202148936</v>
          </cell>
        </row>
        <row r="84">
          <cell r="E84">
            <v>2.6525198579787231E-3</v>
          </cell>
          <cell r="F84">
            <v>1500.5601766655968</v>
          </cell>
          <cell r="G84">
            <v>3.189077345744681</v>
          </cell>
          <cell r="H84">
            <v>1085.9600317983356</v>
          </cell>
        </row>
        <row r="86">
          <cell r="C86">
            <v>944.71382661268126</v>
          </cell>
          <cell r="D86">
            <v>2567.9557196118049</v>
          </cell>
        </row>
        <row r="89">
          <cell r="C89">
            <v>19.085789893617019</v>
          </cell>
          <cell r="D89">
            <v>562.93548936245816</v>
          </cell>
        </row>
        <row r="92">
          <cell r="C92">
            <v>767.78206990851697</v>
          </cell>
          <cell r="D92">
            <v>660.89388561938472</v>
          </cell>
        </row>
        <row r="93">
          <cell r="C93">
            <v>0</v>
          </cell>
          <cell r="D93">
            <v>535.4</v>
          </cell>
          <cell r="E93">
            <v>0</v>
          </cell>
          <cell r="F93">
            <v>77.08</v>
          </cell>
          <cell r="G93">
            <v>0</v>
          </cell>
          <cell r="H93">
            <v>0</v>
          </cell>
        </row>
        <row r="94">
          <cell r="E94">
            <v>0</v>
          </cell>
          <cell r="F94">
            <v>0</v>
          </cell>
          <cell r="G94">
            <v>0</v>
          </cell>
          <cell r="H94">
            <v>0</v>
          </cell>
        </row>
        <row r="95">
          <cell r="C95">
            <v>97.288088564867039</v>
          </cell>
          <cell r="D95">
            <v>2252.6297200316289</v>
          </cell>
          <cell r="E95">
            <v>-2.6861702127659578E-7</v>
          </cell>
          <cell r="F95">
            <v>77.86449791801013</v>
          </cell>
          <cell r="G95">
            <v>0</v>
          </cell>
          <cell r="H95">
            <v>1753.6602748192397</v>
          </cell>
        </row>
        <row r="96">
          <cell r="C96">
            <v>169.79590743931382</v>
          </cell>
          <cell r="D96">
            <v>73.5712986531571</v>
          </cell>
        </row>
        <row r="97">
          <cell r="C97">
            <v>986.49769653398187</v>
          </cell>
          <cell r="D97">
            <v>785.29327782529617</v>
          </cell>
          <cell r="E97">
            <v>26.689356255407478</v>
          </cell>
          <cell r="F97">
            <v>256.18437430798355</v>
          </cell>
          <cell r="G97">
            <v>2.1316871364547869E-5</v>
          </cell>
          <cell r="H97">
            <v>361.10946279540781</v>
          </cell>
        </row>
        <row r="98">
          <cell r="C98">
            <v>14104.661194744116</v>
          </cell>
          <cell r="D98">
            <v>9477.1534612977775</v>
          </cell>
          <cell r="E98">
            <v>125.9454589262352</v>
          </cell>
          <cell r="F98">
            <v>3819.3903683862764</v>
          </cell>
          <cell r="G98">
            <v>10.435599595529929</v>
          </cell>
          <cell r="H98">
            <v>4781.8034982207218</v>
          </cell>
          <cell r="I98">
            <v>32319.38958117065</v>
          </cell>
        </row>
      </sheetData>
      <sheetData sheetId="1"/>
      <sheetData sheetId="2">
        <row r="16">
          <cell r="N16">
            <v>27274.385557844642</v>
          </cell>
          <cell r="AA16">
            <v>26662.836037647969</v>
          </cell>
        </row>
        <row r="17">
          <cell r="N17">
            <v>21298.987912353808</v>
          </cell>
          <cell r="AA17">
            <v>23581.76406946755</v>
          </cell>
        </row>
        <row r="23">
          <cell r="N23">
            <v>1582.3636959653368</v>
          </cell>
          <cell r="AA23">
            <v>1609.0290266634706</v>
          </cell>
        </row>
        <row r="36">
          <cell r="N36">
            <v>873.45888796035149</v>
          </cell>
          <cell r="AA36">
            <v>608.29165030637887</v>
          </cell>
        </row>
        <row r="76">
          <cell r="N76">
            <v>28.58266316683644</v>
          </cell>
          <cell r="AA76">
            <v>64.234230255186262</v>
          </cell>
        </row>
        <row r="82">
          <cell r="N82">
            <v>1899.5121906945312</v>
          </cell>
          <cell r="AA82">
            <v>1579.0778934253854</v>
          </cell>
        </row>
        <row r="103">
          <cell r="N103">
            <v>0.32906006701845475</v>
          </cell>
          <cell r="AA103">
            <v>25.141206904509286</v>
          </cell>
        </row>
        <row r="131">
          <cell r="N131">
            <v>658.08174764673572</v>
          </cell>
          <cell r="AA131">
            <v>1763.8236735185221</v>
          </cell>
        </row>
        <row r="146">
          <cell r="N146">
            <v>2.9455096908776599</v>
          </cell>
          <cell r="AA146">
            <v>9.8404255319148941</v>
          </cell>
        </row>
        <row r="149">
          <cell r="N149">
            <v>0</v>
          </cell>
          <cell r="AA149">
            <v>-2.8885017999999998</v>
          </cell>
        </row>
        <row r="152">
          <cell r="AA152">
            <v>32319.385300185433</v>
          </cell>
        </row>
      </sheetData>
      <sheetData sheetId="3">
        <row r="14">
          <cell r="D14">
            <v>13190.887837971641</v>
          </cell>
          <cell r="G14">
            <v>14241.109932155749</v>
          </cell>
        </row>
        <row r="16">
          <cell r="D16">
            <v>12916.434087063688</v>
          </cell>
          <cell r="G16">
            <v>13947.96613665161</v>
          </cell>
        </row>
        <row r="17">
          <cell r="D17">
            <v>128.99181552896425</v>
          </cell>
          <cell r="G17">
            <v>139.41201370651623</v>
          </cell>
        </row>
        <row r="18">
          <cell r="D18">
            <v>0.59206928299999995</v>
          </cell>
          <cell r="G18">
            <v>0.60731728741595548</v>
          </cell>
        </row>
        <row r="19">
          <cell r="D19">
            <v>0.72859287234042547</v>
          </cell>
          <cell r="G19">
            <v>0.7711145715346589</v>
          </cell>
        </row>
        <row r="20">
          <cell r="D20">
            <v>1064.6952620378515</v>
          </cell>
          <cell r="G20">
            <v>1205.3826364238403</v>
          </cell>
        </row>
        <row r="21">
          <cell r="D21">
            <v>1920.0312479841257</v>
          </cell>
          <cell r="G21">
            <v>460.24571166230857</v>
          </cell>
        </row>
        <row r="22">
          <cell r="D22">
            <v>3091.1382903849935</v>
          </cell>
          <cell r="G22">
            <v>1038.9504330542939</v>
          </cell>
        </row>
        <row r="23">
          <cell r="D23">
            <v>6.0420887458510517</v>
          </cell>
          <cell r="G23">
            <v>1285.0518025204017</v>
          </cell>
        </row>
        <row r="24">
          <cell r="G24">
            <v>32319.497098033677</v>
          </cell>
        </row>
      </sheetData>
      <sheetData sheetId="4"/>
      <sheetData sheetId="5"/>
      <sheetData sheetId="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3.3900206382978726</v>
          </cell>
          <cell r="D14">
            <v>0</v>
          </cell>
          <cell r="E14">
            <v>0</v>
          </cell>
          <cell r="F14">
            <v>0</v>
          </cell>
          <cell r="G14">
            <v>0</v>
          </cell>
          <cell r="H14">
            <v>438.27490445936166</v>
          </cell>
        </row>
        <row r="18">
          <cell r="C18">
            <v>151.55915803287235</v>
          </cell>
          <cell r="D18">
            <v>815.65585815038298</v>
          </cell>
          <cell r="E18">
            <v>279.49956932446804</v>
          </cell>
          <cell r="F18">
            <v>2413.5677467179785</v>
          </cell>
          <cell r="G18">
            <v>1.3074537952127661</v>
          </cell>
          <cell r="H18">
            <v>2135.8581947753478</v>
          </cell>
        </row>
        <row r="22">
          <cell r="E22">
            <v>203.97901337610639</v>
          </cell>
          <cell r="F22">
            <v>1544.6711669989897</v>
          </cell>
          <cell r="G22">
            <v>105.03367487499996</v>
          </cell>
          <cell r="H22">
            <v>614.15028561853933</v>
          </cell>
        </row>
        <row r="23">
          <cell r="C23">
            <v>909.65733191489369</v>
          </cell>
          <cell r="D23">
            <v>315.29876882446808</v>
          </cell>
        </row>
        <row r="24">
          <cell r="C24">
            <v>176.61593042391476</v>
          </cell>
          <cell r="D24">
            <v>5.1496927205957448</v>
          </cell>
        </row>
        <row r="25">
          <cell r="C25">
            <v>119.54125639627659</v>
          </cell>
          <cell r="D25">
            <v>627.11857664619674</v>
          </cell>
        </row>
        <row r="26">
          <cell r="C26">
            <v>171.28750800797874</v>
          </cell>
          <cell r="D26">
            <v>84.317247956028837</v>
          </cell>
        </row>
        <row r="27">
          <cell r="C27">
            <v>2510.7495182666958</v>
          </cell>
          <cell r="D27">
            <v>1329.8758154046286</v>
          </cell>
        </row>
        <row r="28">
          <cell r="C28">
            <v>5853.8427653595481</v>
          </cell>
          <cell r="D28">
            <v>823.59905369168132</v>
          </cell>
        </row>
        <row r="29">
          <cell r="C29">
            <v>476.77030993671241</v>
          </cell>
          <cell r="D29">
            <v>312.94832505339377</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60.730206612191495</v>
          </cell>
          <cell r="D33">
            <v>1446.9336705291364</v>
          </cell>
          <cell r="E33">
            <v>2.8480646459672863</v>
          </cell>
          <cell r="F33">
            <v>336.62752576045995</v>
          </cell>
          <cell r="G33">
            <v>2.9321708753315647</v>
          </cell>
          <cell r="H33">
            <v>115.79899863960438</v>
          </cell>
        </row>
        <row r="34">
          <cell r="C34">
            <v>1393.4120382207427</v>
          </cell>
          <cell r="D34">
            <v>1370.9469963458841</v>
          </cell>
          <cell r="E34">
            <v>385.17578617021286</v>
          </cell>
          <cell r="F34">
            <v>1928.8001278538923</v>
          </cell>
          <cell r="G34">
            <v>6.3085897946729367E-3</v>
          </cell>
          <cell r="H34">
            <v>544.62683254332092</v>
          </cell>
        </row>
        <row r="36">
          <cell r="C36">
            <v>277.50015691264321</v>
          </cell>
          <cell r="D36">
            <v>375.45470618529259</v>
          </cell>
          <cell r="E36">
            <v>149.58410941401866</v>
          </cell>
          <cell r="F36">
            <v>-366.09697695145923</v>
          </cell>
          <cell r="G36">
            <v>-3.2614556843501328</v>
          </cell>
          <cell r="H36">
            <v>490.4706285942483</v>
          </cell>
        </row>
        <row r="37">
          <cell r="C37">
            <v>352.01847166174838</v>
          </cell>
          <cell r="D37">
            <v>819.72252169166984</v>
          </cell>
          <cell r="E37">
            <v>3.1406914893617019E-4</v>
          </cell>
          <cell r="F37">
            <v>79.1274327790303</v>
          </cell>
          <cell r="G37">
            <v>3.147481914893617E-2</v>
          </cell>
          <cell r="H37">
            <v>188.47247090019485</v>
          </cell>
        </row>
        <row r="38">
          <cell r="C38">
            <v>12457.074672384515</v>
          </cell>
          <cell r="D38">
            <v>8326.9758971793599</v>
          </cell>
          <cell r="E38">
            <v>1021.0868569999221</v>
          </cell>
          <cell r="F38">
            <v>5936.6970231588921</v>
          </cell>
          <cell r="G38">
            <v>106.04962727013776</v>
          </cell>
          <cell r="H38">
            <v>4527.6523155306168</v>
          </cell>
          <cell r="I38">
            <v>32375.536392523441</v>
          </cell>
        </row>
        <row r="68">
          <cell r="C68">
            <v>133.63409110654197</v>
          </cell>
          <cell r="D68">
            <v>7.2554606871598146</v>
          </cell>
        </row>
        <row r="69">
          <cell r="C69">
            <v>965.26082395212745</v>
          </cell>
          <cell r="D69">
            <v>5.3191492021276598E-2</v>
          </cell>
          <cell r="E69">
            <v>0</v>
          </cell>
          <cell r="F69">
            <v>11.702127659574469</v>
          </cell>
          <cell r="G69">
            <v>0</v>
          </cell>
          <cell r="H69">
            <v>83.765873169613116</v>
          </cell>
        </row>
        <row r="72">
          <cell r="C72">
            <v>809.11929428994392</v>
          </cell>
          <cell r="D72">
            <v>1130.4997406177035</v>
          </cell>
          <cell r="E72">
            <v>13.300088661595744</v>
          </cell>
          <cell r="F72">
            <v>524.71611146928842</v>
          </cell>
          <cell r="G72">
            <v>1E-8</v>
          </cell>
          <cell r="H72">
            <v>969.48033010858819</v>
          </cell>
        </row>
        <row r="76">
          <cell r="E76">
            <v>88.657690446820808</v>
          </cell>
          <cell r="F76">
            <v>1142.9881948322595</v>
          </cell>
          <cell r="G76">
            <v>7.2532038537649468</v>
          </cell>
          <cell r="H76">
            <v>568.29721592268959</v>
          </cell>
        </row>
        <row r="77">
          <cell r="C77">
            <v>482.64074694665283</v>
          </cell>
          <cell r="D77">
            <v>31.326025462957411</v>
          </cell>
        </row>
        <row r="78">
          <cell r="C78">
            <v>0</v>
          </cell>
          <cell r="D78">
            <v>0</v>
          </cell>
        </row>
        <row r="79">
          <cell r="C79">
            <v>81.566333875796559</v>
          </cell>
          <cell r="D79">
            <v>19.324728920631166</v>
          </cell>
        </row>
        <row r="80">
          <cell r="C80">
            <v>0.90880797872340424</v>
          </cell>
          <cell r="D80">
            <v>196.51007961148935</v>
          </cell>
        </row>
        <row r="81">
          <cell r="C81">
            <v>3531.6237651231722</v>
          </cell>
          <cell r="D81">
            <v>402.46212643984467</v>
          </cell>
        </row>
        <row r="82">
          <cell r="C82">
            <v>5061.6045009841528</v>
          </cell>
          <cell r="D82">
            <v>146.10249408327286</v>
          </cell>
        </row>
        <row r="83">
          <cell r="C83">
            <v>202.70183300000016</v>
          </cell>
          <cell r="D83">
            <v>53.662757348297873</v>
          </cell>
        </row>
        <row r="84">
          <cell r="E84">
            <v>2.6525198579787231E-3</v>
          </cell>
          <cell r="F84">
            <v>1551.5341698967327</v>
          </cell>
          <cell r="G84">
            <v>3.189077345744681</v>
          </cell>
          <cell r="H84">
            <v>1252.3252749612807</v>
          </cell>
        </row>
        <row r="86">
          <cell r="C86">
            <v>983.2139907186388</v>
          </cell>
          <cell r="D86">
            <v>2618.2255365590563</v>
          </cell>
        </row>
        <row r="89">
          <cell r="C89">
            <v>9.8091941489361698</v>
          </cell>
          <cell r="D89">
            <v>536.12883765281958</v>
          </cell>
        </row>
        <row r="92">
          <cell r="C92">
            <v>772.97358636839806</v>
          </cell>
          <cell r="D92">
            <v>654.22803763563832</v>
          </cell>
        </row>
        <row r="93">
          <cell r="C93">
            <v>0</v>
          </cell>
          <cell r="D93">
            <v>535.4</v>
          </cell>
          <cell r="E93">
            <v>0</v>
          </cell>
          <cell r="F93">
            <v>77.08</v>
          </cell>
          <cell r="G93">
            <v>0</v>
          </cell>
          <cell r="H93">
            <v>0</v>
          </cell>
        </row>
        <row r="94">
          <cell r="E94">
            <v>0</v>
          </cell>
          <cell r="F94">
            <v>0</v>
          </cell>
          <cell r="G94">
            <v>0</v>
          </cell>
          <cell r="H94">
            <v>0</v>
          </cell>
        </row>
        <row r="95">
          <cell r="C95">
            <v>82.013735558505317</v>
          </cell>
          <cell r="D95">
            <v>2206.0837801765551</v>
          </cell>
          <cell r="E95">
            <v>-2.6861702127659578E-7</v>
          </cell>
          <cell r="F95">
            <v>42.103106771892683</v>
          </cell>
          <cell r="G95">
            <v>0</v>
          </cell>
          <cell r="H95">
            <v>1660.337316910103</v>
          </cell>
        </row>
        <row r="96">
          <cell r="C96">
            <v>191.31360283358723</v>
          </cell>
          <cell r="D96">
            <v>54.716736089992196</v>
          </cell>
        </row>
        <row r="97">
          <cell r="C97">
            <v>1027.6092531835143</v>
          </cell>
          <cell r="D97">
            <v>826.64813913180399</v>
          </cell>
          <cell r="E97">
            <v>26.672285297960666</v>
          </cell>
          <cell r="F97">
            <v>261.39678305138784</v>
          </cell>
          <cell r="G97">
            <v>3.8666806233066675E-2</v>
          </cell>
          <cell r="H97">
            <v>336.11520128742148</v>
          </cell>
        </row>
        <row r="98">
          <cell r="C98">
            <v>14335.993560068691</v>
          </cell>
          <cell r="D98">
            <v>9418.6276719092421</v>
          </cell>
          <cell r="E98">
            <v>128.63271665761815</v>
          </cell>
          <cell r="F98">
            <v>3611.520493681136</v>
          </cell>
          <cell r="G98">
            <v>10.480948015742696</v>
          </cell>
          <cell r="H98">
            <v>4870.3212123596968</v>
          </cell>
          <cell r="I98">
            <v>32375.576602692126</v>
          </cell>
        </row>
      </sheetData>
      <sheetData sheetId="1"/>
      <sheetData sheetId="2">
        <row r="16">
          <cell r="N16">
            <v>27195.640252993879</v>
          </cell>
          <cell r="AA16">
            <v>26559.927685490031</v>
          </cell>
        </row>
        <row r="17">
          <cell r="N17">
            <v>20784.147505224602</v>
          </cell>
          <cell r="AA17">
            <v>23754.59924684728</v>
          </cell>
        </row>
        <row r="23">
          <cell r="N23">
            <v>1714.1302628571696</v>
          </cell>
          <cell r="AA23">
            <v>1645.9420799931902</v>
          </cell>
        </row>
        <row r="36">
          <cell r="N36">
            <v>878.68323844661631</v>
          </cell>
          <cell r="AA36">
            <v>643.73130123824387</v>
          </cell>
        </row>
        <row r="76">
          <cell r="N76">
            <v>29.714813362403351</v>
          </cell>
          <cell r="AA76">
            <v>63.833036477633073</v>
          </cell>
        </row>
        <row r="82">
          <cell r="N82">
            <v>1926.2199036758191</v>
          </cell>
          <cell r="AA82">
            <v>1696.1637426503153</v>
          </cell>
        </row>
        <row r="103">
          <cell r="N103">
            <v>0.33433050134036912</v>
          </cell>
          <cell r="AA103">
            <v>25.537634368700264</v>
          </cell>
        </row>
        <row r="131">
          <cell r="N131">
            <v>622.52125079445136</v>
          </cell>
          <cell r="AA131">
            <v>1734.3043747314578</v>
          </cell>
        </row>
        <row r="146">
          <cell r="N146">
            <v>8.5775803557712766</v>
          </cell>
          <cell r="AA146">
            <v>9.0425531914893611</v>
          </cell>
        </row>
        <row r="149">
          <cell r="N149">
            <v>0</v>
          </cell>
          <cell r="AA149">
            <v>-2.8885027999999999</v>
          </cell>
        </row>
        <row r="152">
          <cell r="AA152">
            <v>32375.593412838414</v>
          </cell>
        </row>
      </sheetData>
      <sheetData sheetId="3">
        <row r="14">
          <cell r="D14">
            <v>13584.251149294221</v>
          </cell>
          <cell r="G14">
            <v>14475.11515238627</v>
          </cell>
        </row>
        <row r="16">
          <cell r="D16">
            <v>12617.733318806149</v>
          </cell>
          <cell r="G16">
            <v>13902.612226469768</v>
          </cell>
        </row>
        <row r="17">
          <cell r="D17">
            <v>89.267332822612772</v>
          </cell>
          <cell r="G17">
            <v>96.086193001232729</v>
          </cell>
        </row>
        <row r="18">
          <cell r="D18">
            <v>0.58941268802127678</v>
          </cell>
          <cell r="G18">
            <v>0.59285984258616842</v>
          </cell>
        </row>
        <row r="19">
          <cell r="D19">
            <v>0.72816146542553195</v>
          </cell>
          <cell r="G19">
            <v>0.49350327100274405</v>
          </cell>
        </row>
        <row r="20">
          <cell r="D20">
            <v>1127.722741271991</v>
          </cell>
          <cell r="G20">
            <v>1252.5543006471648</v>
          </cell>
        </row>
        <row r="21">
          <cell r="D21">
            <v>1845.9134637514305</v>
          </cell>
          <cell r="G21">
            <v>390.20496884392179</v>
          </cell>
        </row>
        <row r="22">
          <cell r="D22">
            <v>3100.2613991401099</v>
          </cell>
          <cell r="G22">
            <v>970.08326587482759</v>
          </cell>
        </row>
        <row r="23">
          <cell r="D23">
            <v>9.2181304404681814</v>
          </cell>
          <cell r="G23">
            <v>1287.8797898355201</v>
          </cell>
        </row>
        <row r="24">
          <cell r="G24">
            <v>32375.622260172291</v>
          </cell>
        </row>
      </sheetData>
      <sheetData sheetId="4"/>
      <sheetData sheetId="5"/>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2.8585028510638297</v>
          </cell>
          <cell r="D14">
            <v>0</v>
          </cell>
          <cell r="E14">
            <v>0</v>
          </cell>
          <cell r="F14">
            <v>0</v>
          </cell>
          <cell r="G14">
            <v>0</v>
          </cell>
          <cell r="H14">
            <v>439.34325563755317</v>
          </cell>
        </row>
        <row r="18">
          <cell r="C18">
            <v>194.04507317648932</v>
          </cell>
          <cell r="D18">
            <v>964.21578583509029</v>
          </cell>
          <cell r="E18">
            <v>272.43683388031917</v>
          </cell>
          <cell r="F18">
            <v>2433.0264717631912</v>
          </cell>
          <cell r="G18">
            <v>0.52968898138297871</v>
          </cell>
          <cell r="H18">
            <v>2087.1156439163051</v>
          </cell>
        </row>
        <row r="22">
          <cell r="E22">
            <v>205.2835915277021</v>
          </cell>
          <cell r="F22">
            <v>1532.4047401827536</v>
          </cell>
          <cell r="G22">
            <v>108.1542114015957</v>
          </cell>
          <cell r="H22">
            <v>575.96185129939045</v>
          </cell>
        </row>
        <row r="23">
          <cell r="C23">
            <v>962.88545684308519</v>
          </cell>
          <cell r="D23">
            <v>329.96867817819151</v>
          </cell>
        </row>
        <row r="24">
          <cell r="C24">
            <v>164.35799949838278</v>
          </cell>
          <cell r="D24">
            <v>5.1639535158085108</v>
          </cell>
        </row>
        <row r="25">
          <cell r="C25">
            <v>123.83096485106381</v>
          </cell>
          <cell r="D25">
            <v>662.03808067337764</v>
          </cell>
        </row>
        <row r="26">
          <cell r="C26">
            <v>118.22201871010638</v>
          </cell>
          <cell r="D26">
            <v>125.68082323528417</v>
          </cell>
        </row>
        <row r="27">
          <cell r="C27">
            <v>2358.7829777830657</v>
          </cell>
          <cell r="D27">
            <v>1315.4456729923945</v>
          </cell>
        </row>
        <row r="28">
          <cell r="C28">
            <v>5991.3291533216434</v>
          </cell>
          <cell r="D28">
            <v>867.69929810125552</v>
          </cell>
        </row>
        <row r="29">
          <cell r="C29">
            <v>438.7257681867124</v>
          </cell>
          <cell r="D29">
            <v>340.09866126615975</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60.16063854836171</v>
          </cell>
          <cell r="D33">
            <v>1446.9336705291364</v>
          </cell>
          <cell r="E33">
            <v>3.4812321991587756</v>
          </cell>
          <cell r="F33">
            <v>383.04626075128442</v>
          </cell>
          <cell r="G33">
            <v>2.9321708753315647</v>
          </cell>
          <cell r="H33">
            <v>115.23843215024267</v>
          </cell>
        </row>
        <row r="34">
          <cell r="C34">
            <v>1167.0880708111683</v>
          </cell>
          <cell r="D34">
            <v>1595.2852139283311</v>
          </cell>
          <cell r="E34">
            <v>385.17578617021286</v>
          </cell>
          <cell r="F34">
            <v>1928.8001278538923</v>
          </cell>
          <cell r="G34">
            <v>6.3085897946729367E-3</v>
          </cell>
          <cell r="H34">
            <v>544.62683254332092</v>
          </cell>
        </row>
        <row r="36">
          <cell r="C36">
            <v>190.83865522353912</v>
          </cell>
          <cell r="D36">
            <v>368.80577001507982</v>
          </cell>
          <cell r="E36">
            <v>91.691268717210065</v>
          </cell>
          <cell r="F36">
            <v>-366.09697695145923</v>
          </cell>
          <cell r="G36">
            <v>-3.2614556843501328</v>
          </cell>
          <cell r="H36">
            <v>490.4706285942483</v>
          </cell>
        </row>
        <row r="37">
          <cell r="C37">
            <v>443.74132245711706</v>
          </cell>
          <cell r="D37">
            <v>861.32118701081879</v>
          </cell>
          <cell r="E37">
            <v>3.1445478723404253E-4</v>
          </cell>
          <cell r="F37">
            <v>53.009768892021285</v>
          </cell>
          <cell r="G37">
            <v>1.539281914893617E-4</v>
          </cell>
          <cell r="H37">
            <v>152.90810804028845</v>
          </cell>
        </row>
        <row r="38">
          <cell r="C38">
            <v>12216.866602261798</v>
          </cell>
          <cell r="D38">
            <v>8882.6114592609301</v>
          </cell>
          <cell r="E38">
            <v>958.06902694939004</v>
          </cell>
          <cell r="F38">
            <v>5964.1903924916842</v>
          </cell>
          <cell r="G38">
            <v>108.36107809194627</v>
          </cell>
          <cell r="H38">
            <v>4405.6647521813484</v>
          </cell>
          <cell r="I38">
            <v>32535.763311237097</v>
          </cell>
        </row>
        <row r="68">
          <cell r="C68">
            <v>139.98352420082389</v>
          </cell>
          <cell r="D68">
            <v>8.2358391313087562</v>
          </cell>
        </row>
        <row r="69">
          <cell r="C69">
            <v>933.32227438563837</v>
          </cell>
          <cell r="D69">
            <v>4.5744680877659576</v>
          </cell>
          <cell r="E69">
            <v>0</v>
          </cell>
          <cell r="F69">
            <v>10.106382978723405</v>
          </cell>
          <cell r="G69">
            <v>0</v>
          </cell>
          <cell r="H69">
            <v>86.992782004719515</v>
          </cell>
        </row>
        <row r="72">
          <cell r="C72">
            <v>905.74882732773119</v>
          </cell>
          <cell r="D72">
            <v>1075.9207913771634</v>
          </cell>
          <cell r="E72">
            <v>1E-8</v>
          </cell>
          <cell r="F72">
            <v>525.08467242140716</v>
          </cell>
          <cell r="G72">
            <v>1E-8</v>
          </cell>
          <cell r="H72">
            <v>916.46912882310198</v>
          </cell>
        </row>
        <row r="76">
          <cell r="E76">
            <v>69.723116053203796</v>
          </cell>
          <cell r="F76">
            <v>1114.6728197898342</v>
          </cell>
          <cell r="G76">
            <v>4.5952784229138839</v>
          </cell>
          <cell r="H76">
            <v>538.58246922426395</v>
          </cell>
        </row>
        <row r="77">
          <cell r="C77">
            <v>465.1116983482483</v>
          </cell>
          <cell r="D77">
            <v>32.489866228914856</v>
          </cell>
        </row>
        <row r="78">
          <cell r="C78">
            <v>0</v>
          </cell>
          <cell r="D78">
            <v>0</v>
          </cell>
        </row>
        <row r="79">
          <cell r="C79">
            <v>75.572735822711465</v>
          </cell>
          <cell r="D79">
            <v>19.314098941907762</v>
          </cell>
        </row>
        <row r="80">
          <cell r="C80">
            <v>0.91349645478723407</v>
          </cell>
          <cell r="D80">
            <v>298.46778608600442</v>
          </cell>
        </row>
        <row r="81">
          <cell r="C81">
            <v>3571.3200653824792</v>
          </cell>
          <cell r="D81">
            <v>349.64469496001061</v>
          </cell>
        </row>
        <row r="82">
          <cell r="C82">
            <v>5142.9333267633538</v>
          </cell>
          <cell r="D82">
            <v>162.34267645795373</v>
          </cell>
        </row>
        <row r="83">
          <cell r="C83">
            <v>178.45744680851072</v>
          </cell>
          <cell r="D83">
            <v>53.928714795106387</v>
          </cell>
        </row>
        <row r="84">
          <cell r="E84">
            <v>2.6525198579787231E-3</v>
          </cell>
          <cell r="F84">
            <v>1574.5459823843294</v>
          </cell>
          <cell r="G84">
            <v>3.535205723404256</v>
          </cell>
          <cell r="H84">
            <v>1240.8293228290552</v>
          </cell>
        </row>
        <row r="86">
          <cell r="C86">
            <v>961.73316198991552</v>
          </cell>
          <cell r="D86">
            <v>2807.6115307297223</v>
          </cell>
        </row>
        <row r="89">
          <cell r="C89">
            <v>9.8411090425531906</v>
          </cell>
          <cell r="D89">
            <v>552.9798635677131</v>
          </cell>
        </row>
        <row r="92">
          <cell r="C92">
            <v>772.58909367424917</v>
          </cell>
          <cell r="D92">
            <v>648.19313721542562</v>
          </cell>
        </row>
        <row r="93">
          <cell r="C93">
            <v>0</v>
          </cell>
          <cell r="D93">
            <v>535.4</v>
          </cell>
          <cell r="E93">
            <v>0</v>
          </cell>
          <cell r="F93">
            <v>77.08</v>
          </cell>
          <cell r="G93">
            <v>0</v>
          </cell>
          <cell r="H93">
            <v>0</v>
          </cell>
        </row>
        <row r="94">
          <cell r="E94">
            <v>0</v>
          </cell>
          <cell r="F94">
            <v>0</v>
          </cell>
          <cell r="G94">
            <v>0</v>
          </cell>
          <cell r="H94">
            <v>0</v>
          </cell>
        </row>
        <row r="95">
          <cell r="C95">
            <v>82.036819744675526</v>
          </cell>
          <cell r="D95">
            <v>2209.3335751950126</v>
          </cell>
          <cell r="E95">
            <v>-2.6861702127659578E-7</v>
          </cell>
          <cell r="F95">
            <v>49.267476911810633</v>
          </cell>
          <cell r="G95">
            <v>0</v>
          </cell>
          <cell r="H95">
            <v>1652.7855716198717</v>
          </cell>
        </row>
        <row r="96">
          <cell r="C96">
            <v>168.96238803046964</v>
          </cell>
          <cell r="D96">
            <v>75.925818050098584</v>
          </cell>
        </row>
        <row r="97">
          <cell r="C97">
            <v>977.74629209202351</v>
          </cell>
          <cell r="D97">
            <v>836.37150214333747</v>
          </cell>
          <cell r="E97">
            <v>26.672295114450034</v>
          </cell>
          <cell r="F97">
            <v>260.86136019234527</v>
          </cell>
          <cell r="G97">
            <v>3.8695300913917742E-2</v>
          </cell>
          <cell r="H97">
            <v>326.85780969167683</v>
          </cell>
        </row>
        <row r="98">
          <cell r="C98">
            <v>14386.27226006817</v>
          </cell>
          <cell r="D98">
            <v>9670.7343629674433</v>
          </cell>
          <cell r="E98">
            <v>96.398063428894787</v>
          </cell>
          <cell r="F98">
            <v>3611.6186946784501</v>
          </cell>
          <cell r="G98">
            <v>8.1691794572320582</v>
          </cell>
          <cell r="H98">
            <v>4762.5170841926893</v>
          </cell>
          <cell r="I98">
            <v>32535.709644792885</v>
          </cell>
        </row>
      </sheetData>
      <sheetData sheetId="1"/>
      <sheetData sheetId="2">
        <row r="16">
          <cell r="N16">
            <v>27476.268945761549</v>
          </cell>
          <cell r="AA16">
            <v>26842.831653148845</v>
          </cell>
        </row>
        <row r="17">
          <cell r="N17">
            <v>21099.618158710007</v>
          </cell>
          <cell r="AA17">
            <v>24057.064570992821</v>
          </cell>
        </row>
        <row r="23">
          <cell r="N23">
            <v>1662.9558193598293</v>
          </cell>
          <cell r="AA23">
            <v>1650.9432126902223</v>
          </cell>
        </row>
        <row r="36">
          <cell r="N36">
            <v>879.03962631097795</v>
          </cell>
          <cell r="AA36">
            <v>617.49618294988738</v>
          </cell>
        </row>
        <row r="76">
          <cell r="N76">
            <v>29.02296029325441</v>
          </cell>
          <cell r="AA76">
            <v>63.970065876569244</v>
          </cell>
        </row>
        <row r="82">
          <cell r="N82">
            <v>1881.2317098185722</v>
          </cell>
          <cell r="AA82">
            <v>1549.4392103575101</v>
          </cell>
        </row>
        <row r="103">
          <cell r="N103">
            <v>0.40103736836164566</v>
          </cell>
          <cell r="AA103">
            <v>25.537634368700264</v>
          </cell>
        </row>
        <row r="131">
          <cell r="N131">
            <v>604.35293146732363</v>
          </cell>
          <cell r="AA131">
            <v>1779.6730320899037</v>
          </cell>
        </row>
        <row r="146">
          <cell r="N146">
            <v>2.8639676696010641</v>
          </cell>
          <cell r="AA146">
            <v>8.5106382978723403</v>
          </cell>
        </row>
        <row r="149">
          <cell r="N149">
            <v>0</v>
          </cell>
          <cell r="AA149">
            <v>-2.8885027999999999</v>
          </cell>
        </row>
        <row r="152">
          <cell r="AA152">
            <v>32535.512634476861</v>
          </cell>
        </row>
      </sheetData>
      <sheetData sheetId="3">
        <row r="14">
          <cell r="D14">
            <v>13283.449957160783</v>
          </cell>
          <cell r="G14">
            <v>14490.961409327459</v>
          </cell>
        </row>
        <row r="16">
          <cell r="D16">
            <v>13032.541413977491</v>
          </cell>
          <cell r="G16">
            <v>14050.409705363942</v>
          </cell>
        </row>
        <row r="17">
          <cell r="D17">
            <v>77.929906047812793</v>
          </cell>
          <cell r="G17">
            <v>85.384818621299715</v>
          </cell>
        </row>
        <row r="18">
          <cell r="D18">
            <v>0.58957891142553198</v>
          </cell>
          <cell r="G18">
            <v>0.59264407264201935</v>
          </cell>
        </row>
        <row r="19">
          <cell r="D19">
            <v>0.46464041489361707</v>
          </cell>
          <cell r="G19">
            <v>0.71412446249210482</v>
          </cell>
        </row>
        <row r="20">
          <cell r="D20">
            <v>1085.7056666283738</v>
          </cell>
          <cell r="G20">
            <v>1205.7967023719002</v>
          </cell>
        </row>
        <row r="21">
          <cell r="D21">
            <v>1863.5288403757918</v>
          </cell>
          <cell r="G21">
            <v>393.48271709229988</v>
          </cell>
        </row>
        <row r="22">
          <cell r="D22">
            <v>3183.1801898305757</v>
          </cell>
          <cell r="G22">
            <v>1030.4042575111407</v>
          </cell>
        </row>
        <row r="23">
          <cell r="D23">
            <v>8.5787304484467484</v>
          </cell>
          <cell r="G23">
            <v>1278.2814265511554</v>
          </cell>
        </row>
        <row r="24">
          <cell r="G24">
            <v>32536.001209629645</v>
          </cell>
        </row>
      </sheetData>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13.217019565999999</v>
          </cell>
          <cell r="D14">
            <v>118.85900000000001</v>
          </cell>
        </row>
        <row r="18">
          <cell r="C18">
            <v>289.294055023</v>
          </cell>
          <cell r="D18">
            <v>829.077816816</v>
          </cell>
        </row>
        <row r="23">
          <cell r="C23">
            <v>1196.721096466923</v>
          </cell>
          <cell r="D23">
            <v>203.952817103</v>
          </cell>
        </row>
        <row r="24">
          <cell r="C24">
            <v>700.31592979499987</v>
          </cell>
          <cell r="D24">
            <v>100.976458302</v>
          </cell>
        </row>
        <row r="25">
          <cell r="C25">
            <v>167.9243986143</v>
          </cell>
          <cell r="D25">
            <v>429.86505781436369</v>
          </cell>
        </row>
        <row r="26">
          <cell r="C26">
            <v>220.18368279299997</v>
          </cell>
          <cell r="D26">
            <v>241.25660767076002</v>
          </cell>
        </row>
        <row r="27">
          <cell r="C27">
            <v>2459.6739511200553</v>
          </cell>
          <cell r="D27">
            <v>1240.9454427186809</v>
          </cell>
        </row>
        <row r="28">
          <cell r="C28">
            <v>5250.0133028242035</v>
          </cell>
          <cell r="D28">
            <v>1035.4439935821883</v>
          </cell>
        </row>
        <row r="29">
          <cell r="C29">
            <v>223.17754358400003</v>
          </cell>
          <cell r="D29">
            <v>34.954000000000001</v>
          </cell>
        </row>
        <row r="30">
          <cell r="C30">
            <v>0</v>
          </cell>
          <cell r="D30">
            <v>6.8</v>
          </cell>
        </row>
        <row r="31">
          <cell r="C31">
            <v>0.01</v>
          </cell>
          <cell r="D31">
            <v>6.5060000000000002</v>
          </cell>
        </row>
        <row r="33">
          <cell r="C33">
            <v>229.13810088489993</v>
          </cell>
          <cell r="D33">
            <v>44.768725748818419</v>
          </cell>
        </row>
        <row r="34">
          <cell r="C34">
            <v>1551.4611097560012</v>
          </cell>
          <cell r="D34">
            <v>394.89551353206991</v>
          </cell>
        </row>
        <row r="36">
          <cell r="C36">
            <v>1056.3373703087375</v>
          </cell>
          <cell r="D36">
            <v>88.360006833890537</v>
          </cell>
        </row>
        <row r="37">
          <cell r="C37">
            <v>302.91797562771063</v>
          </cell>
          <cell r="D37">
            <v>373.96276748887897</v>
          </cell>
        </row>
        <row r="38">
          <cell r="C38">
            <v>13660.386415363833</v>
          </cell>
          <cell r="D38">
            <v>5150.624207610651</v>
          </cell>
          <cell r="E38">
            <v>656.58215096555784</v>
          </cell>
          <cell r="F38">
            <v>9413.2174847204478</v>
          </cell>
          <cell r="G38">
            <v>568.79990299539679</v>
          </cell>
          <cell r="H38">
            <v>5079.2464100491488</v>
          </cell>
          <cell r="I38">
            <v>34528.85657170503</v>
          </cell>
        </row>
        <row r="40">
          <cell r="I40">
            <v>6859.7342700845293</v>
          </cell>
        </row>
        <row r="68">
          <cell r="C68">
            <v>134.82169120864918</v>
          </cell>
          <cell r="D68">
            <v>5.0260889142660723</v>
          </cell>
        </row>
        <row r="69">
          <cell r="C69">
            <v>1311.5875345573197</v>
          </cell>
          <cell r="D69">
            <v>2.0000001E-2</v>
          </cell>
        </row>
        <row r="72">
          <cell r="C72">
            <v>469.13503749877583</v>
          </cell>
          <cell r="D72">
            <v>605.65239590672513</v>
          </cell>
        </row>
        <row r="76">
          <cell r="C76">
            <v>7887.3460368570122</v>
          </cell>
          <cell r="D76">
            <v>1999.9671593426856</v>
          </cell>
        </row>
        <row r="77">
          <cell r="C77">
            <v>257.5694058549999</v>
          </cell>
          <cell r="D77">
            <v>84.621559523000002</v>
          </cell>
        </row>
        <row r="78">
          <cell r="C78">
            <v>0</v>
          </cell>
          <cell r="D78">
            <v>0</v>
          </cell>
        </row>
        <row r="79">
          <cell r="C79">
            <v>99.094708775995954</v>
          </cell>
          <cell r="D79">
            <v>140.01143201978849</v>
          </cell>
        </row>
        <row r="80">
          <cell r="C80">
            <v>23.738744150999999</v>
          </cell>
          <cell r="D80">
            <v>471.16080931399995</v>
          </cell>
        </row>
        <row r="81">
          <cell r="C81">
            <v>2776.5367403631399</v>
          </cell>
          <cell r="D81">
            <v>996.99371437563923</v>
          </cell>
        </row>
        <row r="82">
          <cell r="C82">
            <v>4627.7064377118768</v>
          </cell>
          <cell r="D82">
            <v>283.47964411025816</v>
          </cell>
        </row>
        <row r="83">
          <cell r="C83">
            <v>102.69999999999999</v>
          </cell>
          <cell r="D83">
            <v>23.700000000000003</v>
          </cell>
        </row>
        <row r="84">
          <cell r="E84">
            <v>1.6494660016295146E-7</v>
          </cell>
          <cell r="F84">
            <v>2938.7225648385001</v>
          </cell>
          <cell r="G84">
            <v>14.326184258000001</v>
          </cell>
          <cell r="H84">
            <v>2337.3643182851488</v>
          </cell>
        </row>
        <row r="86">
          <cell r="C86">
            <v>3963.611002006</v>
          </cell>
          <cell r="D86">
            <v>1229.5383848779786</v>
          </cell>
        </row>
        <row r="89">
          <cell r="C89">
            <v>4.8774491999999406E-2</v>
          </cell>
          <cell r="D89">
            <v>127.27416057553</v>
          </cell>
        </row>
        <row r="92">
          <cell r="C92">
            <v>353.13461237000007</v>
          </cell>
          <cell r="D92">
            <v>50.805129514000001</v>
          </cell>
        </row>
        <row r="93">
          <cell r="C93">
            <v>0.10200000000000001</v>
          </cell>
          <cell r="D93">
            <v>18.826052600000001</v>
          </cell>
        </row>
        <row r="95">
          <cell r="C95">
            <v>120.05771261732053</v>
          </cell>
          <cell r="D95">
            <v>862.99106195077002</v>
          </cell>
        </row>
        <row r="96">
          <cell r="C96">
            <v>134.41151194036007</v>
          </cell>
          <cell r="D96">
            <v>11.182928746157881</v>
          </cell>
        </row>
        <row r="97">
          <cell r="C97">
            <v>542.53476637351434</v>
          </cell>
          <cell r="D97">
            <v>158.903736505469</v>
          </cell>
        </row>
        <row r="98">
          <cell r="C98">
            <v>14916.788431475921</v>
          </cell>
          <cell r="D98">
            <v>5070.1870989345825</v>
          </cell>
          <cell r="E98">
            <v>294.54055993748875</v>
          </cell>
          <cell r="F98">
            <v>8004.3878470927948</v>
          </cell>
          <cell r="G98">
            <v>108.08152247300001</v>
          </cell>
          <cell r="H98">
            <v>6134.9532360981484</v>
          </cell>
          <cell r="I98">
            <v>34528.897963875432</v>
          </cell>
        </row>
        <row r="100">
          <cell r="I100">
            <v>6858.9059831085287</v>
          </cell>
        </row>
      </sheetData>
      <sheetData sheetId="1">
        <row r="15">
          <cell r="C15">
            <v>726.37608036599988</v>
          </cell>
          <cell r="D15">
            <v>680.07884588799993</v>
          </cell>
          <cell r="E15">
            <v>167.96660321940001</v>
          </cell>
          <cell r="F15">
            <v>220.090147148</v>
          </cell>
          <cell r="G15">
            <v>2445.7135822900555</v>
          </cell>
          <cell r="H15">
            <v>5461.3914258789318</v>
          </cell>
          <cell r="I15">
            <v>9701.6166847903896</v>
          </cell>
          <cell r="K15">
            <v>192.64919385901999</v>
          </cell>
        </row>
        <row r="16">
          <cell r="E16">
            <v>100.76456666040001</v>
          </cell>
          <cell r="F16">
            <v>43.325405193000002</v>
          </cell>
          <cell r="G16">
            <v>1216.1702897990001</v>
          </cell>
          <cell r="H16">
            <v>771.54303287222865</v>
          </cell>
        </row>
        <row r="17">
          <cell r="E17">
            <v>3.3426110269999998</v>
          </cell>
          <cell r="F17">
            <v>58.269549323</v>
          </cell>
          <cell r="G17">
            <v>167.86915434100001</v>
          </cell>
          <cell r="H17">
            <v>2748.5465086447193</v>
          </cell>
        </row>
        <row r="18">
          <cell r="E18">
            <v>63.859425531999996</v>
          </cell>
          <cell r="F18">
            <v>118.49519263200001</v>
          </cell>
          <cell r="G18">
            <v>1061.7041381500555</v>
          </cell>
          <cell r="H18">
            <v>1941.3018843619839</v>
          </cell>
        </row>
        <row r="19">
          <cell r="E19">
            <v>0</v>
          </cell>
          <cell r="F19">
            <v>0</v>
          </cell>
          <cell r="G19">
            <v>0</v>
          </cell>
          <cell r="H19">
            <v>0</v>
          </cell>
        </row>
        <row r="20">
          <cell r="I20">
            <v>1.6018152000000001E-2</v>
          </cell>
        </row>
        <row r="21">
          <cell r="I21">
            <v>516.41201333719505</v>
          </cell>
        </row>
        <row r="23">
          <cell r="C23">
            <v>203.98281710299997</v>
          </cell>
          <cell r="D23">
            <v>100.96645830199999</v>
          </cell>
          <cell r="E23">
            <v>429.86783481436373</v>
          </cell>
          <cell r="F23">
            <v>239.49090767076004</v>
          </cell>
          <cell r="G23">
            <v>1232.0655048013039</v>
          </cell>
          <cell r="H23">
            <v>1070.2979925821883</v>
          </cell>
          <cell r="I23">
            <v>3276.6715152736156</v>
          </cell>
          <cell r="K23">
            <v>4367.1282599852984</v>
          </cell>
        </row>
        <row r="24">
          <cell r="E24">
            <v>99.445459978958809</v>
          </cell>
          <cell r="F24">
            <v>194.54341569675998</v>
          </cell>
          <cell r="G24">
            <v>477.36460851571297</v>
          </cell>
          <cell r="H24">
            <v>110.38788298330418</v>
          </cell>
        </row>
        <row r="25">
          <cell r="E25">
            <v>0.43881905699999996</v>
          </cell>
          <cell r="F25">
            <v>10.795758865</v>
          </cell>
          <cell r="G25">
            <v>29.098476306000002</v>
          </cell>
          <cell r="H25">
            <v>166.51669871199996</v>
          </cell>
        </row>
        <row r="26">
          <cell r="E26">
            <v>329.98355577840493</v>
          </cell>
          <cell r="F26">
            <v>34.151733108999998</v>
          </cell>
          <cell r="G26">
            <v>725.60241997959088</v>
          </cell>
          <cell r="H26">
            <v>793.39341088688388</v>
          </cell>
        </row>
        <row r="27">
          <cell r="E27">
            <v>0</v>
          </cell>
          <cell r="F27">
            <v>0</v>
          </cell>
          <cell r="G27">
            <v>0</v>
          </cell>
          <cell r="H27">
            <v>0</v>
          </cell>
        </row>
        <row r="28">
          <cell r="I28">
            <v>0</v>
          </cell>
        </row>
        <row r="29">
          <cell r="I29">
            <v>10.782999999999999</v>
          </cell>
        </row>
      </sheetData>
      <sheetData sheetId="2">
        <row r="16">
          <cell r="N16">
            <v>28814.5547469025</v>
          </cell>
          <cell r="AA16">
            <v>28427.709973377016</v>
          </cell>
        </row>
        <row r="17">
          <cell r="B17">
            <v>1050.0130015081024</v>
          </cell>
          <cell r="C17">
            <v>65.525694661963172</v>
          </cell>
          <cell r="D17">
            <v>0</v>
          </cell>
          <cell r="E17">
            <v>8.9140307375928174</v>
          </cell>
          <cell r="F17">
            <v>0</v>
          </cell>
          <cell r="G17">
            <v>1731.8548774161409</v>
          </cell>
          <cell r="H17">
            <v>4104.44621938003</v>
          </cell>
          <cell r="I17">
            <v>188.64433048044185</v>
          </cell>
          <cell r="J17">
            <v>2.4659249920000001</v>
          </cell>
          <cell r="K17">
            <v>112.2937473832892</v>
          </cell>
          <cell r="L17">
            <v>1.638458961</v>
          </cell>
          <cell r="M17">
            <v>11545.24491609793</v>
          </cell>
          <cell r="N17">
            <v>18811.01655186549</v>
          </cell>
          <cell r="O17">
            <v>862.49242322907685</v>
          </cell>
          <cell r="P17">
            <v>62.760019443671482</v>
          </cell>
          <cell r="Q17">
            <v>2.9438150000000024E-3</v>
          </cell>
          <cell r="R17">
            <v>3.6406747553800014</v>
          </cell>
          <cell r="S17">
            <v>0</v>
          </cell>
          <cell r="T17">
            <v>2263.494910930176</v>
          </cell>
          <cell r="U17">
            <v>4287.7337281217751</v>
          </cell>
          <cell r="V17">
            <v>89.858211130605255</v>
          </cell>
          <cell r="W17">
            <v>19.66385648</v>
          </cell>
          <cell r="X17">
            <v>35.658506679797313</v>
          </cell>
          <cell r="Y17">
            <v>2.9620000000000015</v>
          </cell>
          <cell r="Z17">
            <v>12358.747590103854</v>
          </cell>
          <cell r="AA17">
            <v>19986.988421793343</v>
          </cell>
        </row>
        <row r="23">
          <cell r="N23">
            <v>1466.0361341026837</v>
          </cell>
          <cell r="AA23">
            <v>1018.9454561665648</v>
          </cell>
        </row>
        <row r="36">
          <cell r="N36">
            <v>1615.5761511040448</v>
          </cell>
          <cell r="AA36">
            <v>1687.4367484987765</v>
          </cell>
        </row>
        <row r="76">
          <cell r="N76">
            <v>10.937973936999999</v>
          </cell>
          <cell r="AA76">
            <v>147.5090961716059</v>
          </cell>
        </row>
        <row r="82">
          <cell r="N82">
            <v>1680.6060288876765</v>
          </cell>
          <cell r="AA82">
            <v>1733.2717545641513</v>
          </cell>
        </row>
        <row r="103">
          <cell r="N103">
            <v>6.3936636130000002</v>
          </cell>
          <cell r="AA103">
            <v>111.500034</v>
          </cell>
        </row>
        <row r="131">
          <cell r="N131">
            <v>835.22945750416886</v>
          </cell>
          <cell r="AA131">
            <v>1350.4217908161486</v>
          </cell>
        </row>
        <row r="146">
          <cell r="N146">
            <v>1.9662641929000002</v>
          </cell>
          <cell r="AA146">
            <v>52.059832869651338</v>
          </cell>
        </row>
        <row r="149">
          <cell r="N149">
            <v>97.577643340000009</v>
          </cell>
          <cell r="AA149">
            <v>0</v>
          </cell>
        </row>
        <row r="152">
          <cell r="B152">
            <v>7150.0359221549706</v>
          </cell>
          <cell r="C152">
            <v>693.56176187396329</v>
          </cell>
          <cell r="D152">
            <v>18.473956564999998</v>
          </cell>
          <cell r="E152">
            <v>351.65202370659284</v>
          </cell>
          <cell r="F152">
            <v>18.602006999999997</v>
          </cell>
          <cell r="G152">
            <v>4412.8603878742661</v>
          </cell>
          <cell r="H152">
            <v>8543.6086447923935</v>
          </cell>
          <cell r="I152">
            <v>764.83396684444176</v>
          </cell>
          <cell r="J152">
            <v>2.4659249920000001</v>
          </cell>
          <cell r="K152">
            <v>192.33630959749217</v>
          </cell>
          <cell r="L152">
            <v>1.739458961</v>
          </cell>
          <cell r="M152">
            <v>12378.72443366785</v>
          </cell>
          <cell r="O152">
            <v>3497.2308035090741</v>
          </cell>
          <cell r="P152">
            <v>426.59679189945348</v>
          </cell>
          <cell r="Q152">
            <v>2.8108302837434898</v>
          </cell>
          <cell r="R152">
            <v>215.36829127883024</v>
          </cell>
          <cell r="S152">
            <v>1.1568421462087932</v>
          </cell>
          <cell r="T152">
            <v>3530.6165014952139</v>
          </cell>
          <cell r="U152">
            <v>11760.318344654539</v>
          </cell>
          <cell r="V152">
            <v>528.61557489787924</v>
          </cell>
          <cell r="W152">
            <v>20.998077810000002</v>
          </cell>
          <cell r="X152">
            <v>468.85117982423225</v>
          </cell>
          <cell r="Y152">
            <v>34.367164000000002</v>
          </cell>
          <cell r="Z152">
            <v>14041.876484854736</v>
          </cell>
          <cell r="AA152">
            <v>34528.805064493914</v>
          </cell>
        </row>
      </sheetData>
      <sheetData sheetId="3">
        <row r="14">
          <cell r="D14">
            <v>14885.754082654792</v>
          </cell>
          <cell r="G14">
            <v>15319.393635397284</v>
          </cell>
        </row>
        <row r="16">
          <cell r="D16">
            <v>15068.529342882764</v>
          </cell>
          <cell r="G16">
            <v>14644.262791775587</v>
          </cell>
        </row>
        <row r="17">
          <cell r="D17">
            <v>543.99558548299899</v>
          </cell>
          <cell r="G17">
            <v>686.91983636101759</v>
          </cell>
        </row>
        <row r="18">
          <cell r="D18">
            <v>20.941007739</v>
          </cell>
          <cell r="G18">
            <v>24.108160590743491</v>
          </cell>
        </row>
        <row r="19">
          <cell r="D19">
            <v>20.341465961000001</v>
          </cell>
          <cell r="G19">
            <v>35.424091392452596</v>
          </cell>
        </row>
        <row r="20">
          <cell r="D20">
            <v>1458.527774799097</v>
          </cell>
          <cell r="G20">
            <v>1134.6355022456387</v>
          </cell>
        </row>
        <row r="21">
          <cell r="D21">
            <v>651.04251794543677</v>
          </cell>
          <cell r="G21">
            <v>204.90293693421052</v>
          </cell>
        </row>
        <row r="22">
          <cell r="D22">
            <v>1806.7599887367107</v>
          </cell>
          <cell r="G22">
            <v>2154.7788289010191</v>
          </cell>
        </row>
        <row r="23">
          <cell r="D23">
            <v>73.049650883000055</v>
          </cell>
          <cell r="G23">
            <v>324.5028175387273</v>
          </cell>
        </row>
        <row r="24">
          <cell r="G24">
            <v>34528.903980400682</v>
          </cell>
        </row>
      </sheetData>
      <sheetData sheetId="4">
        <row r="10">
          <cell r="D10">
            <v>5241.8139733530415</v>
          </cell>
        </row>
        <row r="11">
          <cell r="D11">
            <v>4.6569558475642383</v>
          </cell>
        </row>
        <row r="12">
          <cell r="D12">
            <v>124.64073616559639</v>
          </cell>
        </row>
        <row r="15">
          <cell r="D15">
            <v>1872.8997378422098</v>
          </cell>
        </row>
        <row r="20">
          <cell r="D20">
            <v>1043.1346844288389</v>
          </cell>
        </row>
        <row r="29">
          <cell r="D29">
            <v>1120.3326992281395</v>
          </cell>
        </row>
        <row r="37">
          <cell r="D37">
            <v>239.14400963728792</v>
          </cell>
        </row>
        <row r="42">
          <cell r="D42">
            <v>837.0051502034039</v>
          </cell>
        </row>
        <row r="43">
          <cell r="D43">
            <v>125.02674564106846</v>
          </cell>
        </row>
        <row r="45">
          <cell r="D45">
            <v>141.93598492645719</v>
          </cell>
        </row>
        <row r="48">
          <cell r="D48">
            <v>4303.3008222916842</v>
          </cell>
        </row>
        <row r="49">
          <cell r="D49">
            <v>1863.894708368801</v>
          </cell>
        </row>
        <row r="50">
          <cell r="D50">
            <v>96.563893614578205</v>
          </cell>
        </row>
        <row r="51">
          <cell r="D51">
            <v>175.25505795899548</v>
          </cell>
        </row>
        <row r="52">
          <cell r="D52">
            <v>1343.1416636896993</v>
          </cell>
        </row>
        <row r="53">
          <cell r="D53">
            <v>76.791424634111621</v>
          </cell>
        </row>
        <row r="54">
          <cell r="D54">
            <v>747.65407402549806</v>
          </cell>
        </row>
        <row r="55">
          <cell r="D55">
            <v>342.21842877499552</v>
          </cell>
        </row>
        <row r="58">
          <cell r="D58">
            <v>9887.3332244197209</v>
          </cell>
        </row>
      </sheetData>
      <sheetData sheetId="5"/>
      <sheetData sheetId="6"/>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2.8185153776595739</v>
          </cell>
          <cell r="D14">
            <v>0</v>
          </cell>
          <cell r="E14">
            <v>0</v>
          </cell>
          <cell r="F14">
            <v>0</v>
          </cell>
          <cell r="G14">
            <v>0</v>
          </cell>
          <cell r="H14">
            <v>438.60142294340426</v>
          </cell>
        </row>
        <row r="18">
          <cell r="C18">
            <v>205.94165341425534</v>
          </cell>
          <cell r="D18">
            <v>841.47657832793641</v>
          </cell>
          <cell r="E18">
            <v>277.49064866489363</v>
          </cell>
          <cell r="F18">
            <v>2407.1438838285103</v>
          </cell>
          <cell r="G18">
            <v>0.66768518351063832</v>
          </cell>
          <cell r="H18">
            <v>2358.6625847329615</v>
          </cell>
        </row>
        <row r="22">
          <cell r="E22">
            <v>199.29503625955317</v>
          </cell>
          <cell r="F22">
            <v>1378.123092581664</v>
          </cell>
          <cell r="G22">
            <v>112.05937408776585</v>
          </cell>
          <cell r="H22">
            <v>596.98538201077895</v>
          </cell>
        </row>
        <row r="23">
          <cell r="C23">
            <v>804.99917302393624</v>
          </cell>
          <cell r="D23">
            <v>309.42511458244678</v>
          </cell>
        </row>
        <row r="24">
          <cell r="C24">
            <v>154.58356242678789</v>
          </cell>
          <cell r="D24">
            <v>15.837501554319148</v>
          </cell>
        </row>
        <row r="25">
          <cell r="C25">
            <v>129.64438121276595</v>
          </cell>
          <cell r="D25">
            <v>659.93637738515963</v>
          </cell>
        </row>
        <row r="26">
          <cell r="C26">
            <v>169.35372521010638</v>
          </cell>
          <cell r="D26">
            <v>121.16159843227383</v>
          </cell>
        </row>
        <row r="27">
          <cell r="C27">
            <v>2304.5758580112133</v>
          </cell>
          <cell r="D27">
            <v>1206.7961139505212</v>
          </cell>
        </row>
        <row r="28">
          <cell r="C28">
            <v>6113.7502331273126</v>
          </cell>
          <cell r="D28">
            <v>875.64553038348936</v>
          </cell>
        </row>
        <row r="29">
          <cell r="C29">
            <v>431.77261076717969</v>
          </cell>
          <cell r="D29">
            <v>396.10252433559259</v>
          </cell>
        </row>
        <row r="30">
          <cell r="C30">
            <v>0</v>
          </cell>
          <cell r="D30">
            <v>0</v>
          </cell>
          <cell r="E30">
            <v>0</v>
          </cell>
          <cell r="F30">
            <v>0</v>
          </cell>
          <cell r="G30">
            <v>0</v>
          </cell>
          <cell r="H30">
            <v>0</v>
          </cell>
        </row>
        <row r="31">
          <cell r="C31">
            <v>0</v>
          </cell>
          <cell r="D31">
            <v>0</v>
          </cell>
          <cell r="E31">
            <v>0</v>
          </cell>
          <cell r="F31">
            <v>0</v>
          </cell>
          <cell r="G31">
            <v>0</v>
          </cell>
          <cell r="H31">
            <v>0</v>
          </cell>
        </row>
        <row r="32">
          <cell r="E32">
            <v>0</v>
          </cell>
          <cell r="F32">
            <v>0</v>
          </cell>
          <cell r="G32">
            <v>0</v>
          </cell>
          <cell r="H32">
            <v>0</v>
          </cell>
        </row>
        <row r="33">
          <cell r="C33">
            <v>69.049279055382982</v>
          </cell>
          <cell r="D33">
            <v>1693.4701253294252</v>
          </cell>
          <cell r="E33">
            <v>4.3621356382354728</v>
          </cell>
          <cell r="F33">
            <v>437.63414067534188</v>
          </cell>
          <cell r="G33">
            <v>2.9321708753315647</v>
          </cell>
          <cell r="H33">
            <v>180.63562264382978</v>
          </cell>
        </row>
        <row r="34">
          <cell r="C34">
            <v>1167.5585072499996</v>
          </cell>
          <cell r="D34">
            <v>1564.7035453913106</v>
          </cell>
          <cell r="E34">
            <v>385.17578617021286</v>
          </cell>
          <cell r="F34">
            <v>1919.8604247648557</v>
          </cell>
          <cell r="G34">
            <v>6.3085897946729367E-3</v>
          </cell>
          <cell r="H34">
            <v>544.62683254332092</v>
          </cell>
        </row>
        <row r="36">
          <cell r="C36">
            <v>228.85758798965497</v>
          </cell>
          <cell r="D36">
            <v>245.83263699277936</v>
          </cell>
          <cell r="E36">
            <v>88.522764887422838</v>
          </cell>
          <cell r="F36">
            <v>-444.36367805038759</v>
          </cell>
          <cell r="G36">
            <v>-3.3451952042440318</v>
          </cell>
          <cell r="H36">
            <v>468.36466463021873</v>
          </cell>
        </row>
        <row r="37">
          <cell r="C37">
            <v>567.18347282545926</v>
          </cell>
          <cell r="D37">
            <v>798.44857575164792</v>
          </cell>
          <cell r="E37">
            <v>3.1445478723404253E-4</v>
          </cell>
          <cell r="F37">
            <v>25.889617528510641</v>
          </cell>
          <cell r="G37">
            <v>1.539281914893617E-4</v>
          </cell>
          <cell r="H37">
            <v>200.07991462498998</v>
          </cell>
        </row>
        <row r="38">
          <cell r="C38">
            <v>12350.088559691714</v>
          </cell>
          <cell r="D38">
            <v>8728.8362224169032</v>
          </cell>
          <cell r="E38">
            <v>954.84668607510503</v>
          </cell>
          <cell r="F38">
            <v>5724.2874813284943</v>
          </cell>
          <cell r="G38">
            <v>112.32049746035017</v>
          </cell>
          <cell r="H38">
            <v>4787.9564241295047</v>
          </cell>
          <cell r="I38">
            <v>32658.335871102066</v>
          </cell>
        </row>
        <row r="68">
          <cell r="C68">
            <v>156.06718837818531</v>
          </cell>
          <cell r="D68">
            <v>8.0428734524787711</v>
          </cell>
        </row>
        <row r="69">
          <cell r="C69">
            <v>992.97968519148935</v>
          </cell>
          <cell r="D69">
            <v>5.3191492021276598E-2</v>
          </cell>
          <cell r="E69">
            <v>0</v>
          </cell>
          <cell r="F69">
            <v>13.031914893617023</v>
          </cell>
          <cell r="G69">
            <v>0</v>
          </cell>
          <cell r="H69">
            <v>79.863098358400578</v>
          </cell>
        </row>
        <row r="72">
          <cell r="C72">
            <v>1003.0178701178916</v>
          </cell>
          <cell r="D72">
            <v>1077.7588719346631</v>
          </cell>
          <cell r="E72">
            <v>1E-8</v>
          </cell>
          <cell r="F72">
            <v>425.4789892848143</v>
          </cell>
          <cell r="G72">
            <v>1E-8</v>
          </cell>
          <cell r="H72">
            <v>863.80310215457087</v>
          </cell>
        </row>
        <row r="76">
          <cell r="E76">
            <v>69.847915579912922</v>
          </cell>
          <cell r="F76">
            <v>1042.3257007871102</v>
          </cell>
          <cell r="G76">
            <v>4.6003407290421094</v>
          </cell>
          <cell r="H76">
            <v>574.29042965199733</v>
          </cell>
        </row>
        <row r="77">
          <cell r="C77">
            <v>462.76211816729324</v>
          </cell>
          <cell r="D77">
            <v>32.221406505410982</v>
          </cell>
        </row>
        <row r="78">
          <cell r="C78">
            <v>0</v>
          </cell>
          <cell r="D78">
            <v>0</v>
          </cell>
        </row>
        <row r="79">
          <cell r="C79">
            <v>73.676113784506995</v>
          </cell>
          <cell r="D79">
            <v>19.314007912652439</v>
          </cell>
        </row>
        <row r="80">
          <cell r="C80">
            <v>0.9074468085106383</v>
          </cell>
          <cell r="D80">
            <v>289.4843362453604</v>
          </cell>
        </row>
        <row r="81">
          <cell r="C81">
            <v>3523.8058655069767</v>
          </cell>
          <cell r="D81">
            <v>430.65256737861671</v>
          </cell>
        </row>
        <row r="82">
          <cell r="C82">
            <v>5202.4598144754573</v>
          </cell>
          <cell r="D82">
            <v>166.68873974690709</v>
          </cell>
        </row>
        <row r="83">
          <cell r="C83">
            <v>181.38316201063853</v>
          </cell>
          <cell r="D83">
            <v>53.226550125106385</v>
          </cell>
        </row>
        <row r="84">
          <cell r="E84">
            <v>2.648304857978723E-3</v>
          </cell>
          <cell r="F84">
            <v>1503.281931539608</v>
          </cell>
          <cell r="G84">
            <v>3.535205723404256</v>
          </cell>
          <cell r="H84">
            <v>1188.8580164875023</v>
          </cell>
        </row>
        <row r="86">
          <cell r="C86">
            <v>818.21233109680827</v>
          </cell>
          <cell r="D86">
            <v>2796.3111145540065</v>
          </cell>
        </row>
        <row r="89">
          <cell r="C89">
            <v>12.429157840037606</v>
          </cell>
          <cell r="D89">
            <v>553.36689153302029</v>
          </cell>
        </row>
        <row r="92">
          <cell r="C92">
            <v>760.48886509329634</v>
          </cell>
          <cell r="D92">
            <v>615.13909466223402</v>
          </cell>
        </row>
        <row r="93">
          <cell r="C93">
            <v>0</v>
          </cell>
          <cell r="D93">
            <v>535.4</v>
          </cell>
          <cell r="E93">
            <v>0</v>
          </cell>
          <cell r="F93">
            <v>77.08</v>
          </cell>
          <cell r="G93">
            <v>0</v>
          </cell>
          <cell r="H93">
            <v>0</v>
          </cell>
        </row>
        <row r="94">
          <cell r="E94">
            <v>0</v>
          </cell>
          <cell r="F94">
            <v>0</v>
          </cell>
          <cell r="G94">
            <v>0</v>
          </cell>
          <cell r="H94">
            <v>0</v>
          </cell>
        </row>
        <row r="95">
          <cell r="C95">
            <v>80.402282327015953</v>
          </cell>
          <cell r="D95">
            <v>2493.4002492378386</v>
          </cell>
          <cell r="E95">
            <v>-2.6861702127659578E-7</v>
          </cell>
          <cell r="F95">
            <v>111.57566675319863</v>
          </cell>
          <cell r="G95">
            <v>0</v>
          </cell>
          <cell r="H95">
            <v>1793.6754973106383</v>
          </cell>
        </row>
        <row r="96">
          <cell r="C96">
            <v>171.68675038662207</v>
          </cell>
          <cell r="D96">
            <v>77.053405428183709</v>
          </cell>
        </row>
        <row r="97">
          <cell r="C97">
            <v>965.34306763025245</v>
          </cell>
          <cell r="D97">
            <v>763.44953615812472</v>
          </cell>
          <cell r="E97">
            <v>26.672258981034311</v>
          </cell>
          <cell r="F97">
            <v>244.99616779892088</v>
          </cell>
          <cell r="G97">
            <v>-5.3832334642482339E-3</v>
          </cell>
          <cell r="H97">
            <v>318.13601103816916</v>
          </cell>
        </row>
        <row r="98">
          <cell r="C98">
            <v>14405.62171881498</v>
          </cell>
          <cell r="D98">
            <v>9911.5628363666256</v>
          </cell>
          <cell r="E98">
            <v>96.522822607188203</v>
          </cell>
          <cell r="F98">
            <v>3417.7703710572696</v>
          </cell>
          <cell r="G98">
            <v>8.1301632289821182</v>
          </cell>
          <cell r="H98">
            <v>4818.6261550012778</v>
          </cell>
          <cell r="I98">
            <v>32658.234067076322</v>
          </cell>
        </row>
      </sheetData>
      <sheetData sheetId="1"/>
      <sheetData sheetId="2">
        <row r="16">
          <cell r="N16">
            <v>27188.582596414006</v>
          </cell>
          <cell r="AA16">
            <v>26961.870649486755</v>
          </cell>
        </row>
        <row r="17">
          <cell r="N17">
            <v>21079.075121835791</v>
          </cell>
          <cell r="AA17">
            <v>24316.995471271759</v>
          </cell>
        </row>
        <row r="23">
          <cell r="N23">
            <v>1628.9483879271766</v>
          </cell>
          <cell r="AA23">
            <v>1607.9445813058214</v>
          </cell>
        </row>
        <row r="36">
          <cell r="N36">
            <v>881.11822309894558</v>
          </cell>
          <cell r="AA36">
            <v>621.87452167756919</v>
          </cell>
        </row>
        <row r="76">
          <cell r="N76">
            <v>19.821719417097466</v>
          </cell>
          <cell r="AA76">
            <v>63.855530445564575</v>
          </cell>
        </row>
        <row r="82">
          <cell r="N82">
            <v>2221.964874649384</v>
          </cell>
          <cell r="AA82">
            <v>1662.6907358598633</v>
          </cell>
        </row>
        <row r="103">
          <cell r="N103">
            <v>0.39787304123398609</v>
          </cell>
          <cell r="AA103">
            <v>25.100793445623342</v>
          </cell>
        </row>
        <row r="131">
          <cell r="N131">
            <v>715.3666964836159</v>
          </cell>
          <cell r="AA131">
            <v>1708.5216433994569</v>
          </cell>
        </row>
        <row r="146">
          <cell r="N146">
            <v>2.4059205685372338</v>
          </cell>
          <cell r="AA146">
            <v>9.0425531914893611</v>
          </cell>
        </row>
        <row r="149">
          <cell r="N149">
            <v>0</v>
          </cell>
          <cell r="AA149">
            <v>-2.8885027999999999</v>
          </cell>
        </row>
        <row r="152">
          <cell r="AA152">
            <v>32658.012506012146</v>
          </cell>
        </row>
      </sheetData>
      <sheetData sheetId="3">
        <row r="14">
          <cell r="D14">
            <v>13417.307532581106</v>
          </cell>
          <cell r="G14">
            <v>14510.271952621422</v>
          </cell>
        </row>
        <row r="16">
          <cell r="D16">
            <v>13244.735278065014</v>
          </cell>
          <cell r="G16">
            <v>14213.869088234453</v>
          </cell>
        </row>
        <row r="17">
          <cell r="D17">
            <v>78.488921970216481</v>
          </cell>
          <cell r="G17">
            <v>85.421455500848538</v>
          </cell>
        </row>
        <row r="18">
          <cell r="D18">
            <v>0.59619862780851063</v>
          </cell>
          <cell r="G18">
            <v>0.59936281271604763</v>
          </cell>
        </row>
        <row r="19">
          <cell r="D19">
            <v>0.44389379521276601</v>
          </cell>
          <cell r="G19">
            <v>1.0431259287624732</v>
          </cell>
        </row>
        <row r="20">
          <cell r="D20">
            <v>1064.8473926945424</v>
          </cell>
          <cell r="G20">
            <v>1166.5817749950138</v>
          </cell>
        </row>
        <row r="21">
          <cell r="D21">
            <v>1696.6986098840962</v>
          </cell>
          <cell r="G21">
            <v>367.57101870155276</v>
          </cell>
        </row>
        <row r="22">
          <cell r="D22">
            <v>3148.9533315297899</v>
          </cell>
          <cell r="G22">
            <v>1046.5643440754479</v>
          </cell>
        </row>
        <row r="23">
          <cell r="D23">
            <v>6.2505979949362303</v>
          </cell>
          <cell r="G23">
            <v>1266.250375949583</v>
          </cell>
        </row>
        <row r="24">
          <cell r="G24">
            <v>32658.181589289015</v>
          </cell>
        </row>
      </sheetData>
      <sheetData sheetId="4"/>
      <sheetData sheetId="5"/>
      <sheetData sheetId="6">
        <row r="16">
          <cell r="B16">
            <v>405.14759663082003</v>
          </cell>
          <cell r="C16">
            <v>766.22957705782017</v>
          </cell>
          <cell r="D16">
            <v>0</v>
          </cell>
          <cell r="E16">
            <v>979.04144345374652</v>
          </cell>
          <cell r="F16">
            <v>2150.4186171423867</v>
          </cell>
          <cell r="G16">
            <v>7219.2685280903424</v>
          </cell>
          <cell r="H16">
            <v>2171.2544134071932</v>
          </cell>
          <cell r="I16">
            <v>8.9808469361702166</v>
          </cell>
          <cell r="J16">
            <v>1423.3849724046793</v>
          </cell>
          <cell r="K16">
            <v>10822.888760838385</v>
          </cell>
          <cell r="L16">
            <v>7518.8575017429748</v>
          </cell>
          <cell r="M16">
            <v>5698.3611824372947</v>
          </cell>
          <cell r="N16">
            <v>397.99834963638307</v>
          </cell>
          <cell r="O16">
            <v>7890.1618870459979</v>
          </cell>
          <cell r="P16">
            <v>21505.378920862644</v>
          </cell>
          <cell r="Q16">
            <v>34478.686298843422</v>
          </cell>
        </row>
        <row r="17">
          <cell r="B17">
            <v>0</v>
          </cell>
          <cell r="C17">
            <v>2.2959999999999998</v>
          </cell>
          <cell r="D17">
            <v>0</v>
          </cell>
          <cell r="E17">
            <v>0.34380173243503376</v>
          </cell>
          <cell r="F17">
            <v>2.6398017324350338</v>
          </cell>
          <cell r="G17">
            <v>225.98742789893615</v>
          </cell>
          <cell r="H17">
            <v>66.23260209300534</v>
          </cell>
          <cell r="I17">
            <v>0</v>
          </cell>
          <cell r="J17">
            <v>81.381328890531904</v>
          </cell>
          <cell r="K17">
            <v>373.60135888247339</v>
          </cell>
          <cell r="L17">
            <v>432.32308839038473</v>
          </cell>
          <cell r="M17">
            <v>286.13215973632441</v>
          </cell>
          <cell r="N17">
            <v>193.00000001999999</v>
          </cell>
          <cell r="O17">
            <v>33.246250737915673</v>
          </cell>
          <cell r="P17">
            <v>944.70149888462481</v>
          </cell>
          <cell r="Q17">
            <v>1320.9426594995334</v>
          </cell>
        </row>
        <row r="18">
          <cell r="B18">
            <v>0</v>
          </cell>
          <cell r="C18">
            <v>0</v>
          </cell>
          <cell r="D18">
            <v>0</v>
          </cell>
          <cell r="E18">
            <v>0</v>
          </cell>
          <cell r="F18">
            <v>0</v>
          </cell>
          <cell r="G18">
            <v>218.9951504494681</v>
          </cell>
          <cell r="H18">
            <v>484.0644899414894</v>
          </cell>
          <cell r="I18">
            <v>0</v>
          </cell>
          <cell r="J18">
            <v>181.16901061702126</v>
          </cell>
          <cell r="K18">
            <v>884.22865100797867</v>
          </cell>
          <cell r="L18">
            <v>852.60759402525036</v>
          </cell>
          <cell r="M18">
            <v>1236.8650815071708</v>
          </cell>
          <cell r="N18">
            <v>76.256999999857968</v>
          </cell>
          <cell r="O18">
            <v>3148.0302299441237</v>
          </cell>
          <cell r="P18">
            <v>5313.7599054764023</v>
          </cell>
          <cell r="Q18">
            <v>6197.9885564843798</v>
          </cell>
        </row>
        <row r="19">
          <cell r="B19">
            <v>385.66489281914897</v>
          </cell>
          <cell r="C19">
            <v>374.38238894287201</v>
          </cell>
          <cell r="D19">
            <v>0</v>
          </cell>
          <cell r="E19">
            <v>319.4856846303245</v>
          </cell>
          <cell r="F19">
            <v>1079.5329663923453</v>
          </cell>
          <cell r="G19">
            <v>5031.4789302501276</v>
          </cell>
          <cell r="H19">
            <v>858.71951871372198</v>
          </cell>
          <cell r="I19">
            <v>2.1774253617021313</v>
          </cell>
          <cell r="J19">
            <v>483.0587134750495</v>
          </cell>
          <cell r="K19">
            <v>6375.4345878006015</v>
          </cell>
          <cell r="L19">
            <v>1438.9270587412691</v>
          </cell>
          <cell r="M19">
            <v>1771.754770982398</v>
          </cell>
          <cell r="N19">
            <v>5.4125310044615302</v>
          </cell>
          <cell r="O19">
            <v>934.60061465446097</v>
          </cell>
          <cell r="P19">
            <v>4150.6949753825893</v>
          </cell>
          <cell r="Q19">
            <v>11605.662529575537</v>
          </cell>
        </row>
        <row r="20">
          <cell r="B20">
            <v>0</v>
          </cell>
          <cell r="C20">
            <v>0</v>
          </cell>
          <cell r="D20">
            <v>0</v>
          </cell>
          <cell r="E20">
            <v>9.0425531914893611</v>
          </cell>
          <cell r="F20">
            <v>9.0425531914893611</v>
          </cell>
          <cell r="G20">
            <v>1586.158083321596</v>
          </cell>
          <cell r="H20">
            <v>30.325777734042553</v>
          </cell>
          <cell r="I20">
            <v>6.8034215744680848</v>
          </cell>
          <cell r="J20">
            <v>1.9137045797872341</v>
          </cell>
          <cell r="K20">
            <v>1625.2009872098938</v>
          </cell>
          <cell r="L20">
            <v>803.88351339090968</v>
          </cell>
          <cell r="M20">
            <v>210.98003759424353</v>
          </cell>
          <cell r="N20">
            <v>19.384554284574467</v>
          </cell>
          <cell r="O20">
            <v>160.01193391297875</v>
          </cell>
          <cell r="P20">
            <v>1194.2600391827068</v>
          </cell>
          <cell r="Q20">
            <v>2828.5035795840899</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B22">
            <v>4.5093545517241305</v>
          </cell>
          <cell r="C22">
            <v>28.498607421702125</v>
          </cell>
          <cell r="D22">
            <v>0</v>
          </cell>
          <cell r="E22">
            <v>105.77644266283346</v>
          </cell>
          <cell r="F22">
            <v>138.78440463625969</v>
          </cell>
          <cell r="G22">
            <v>0</v>
          </cell>
          <cell r="H22">
            <v>0</v>
          </cell>
          <cell r="I22">
            <v>0</v>
          </cell>
          <cell r="J22">
            <v>146.74902944827588</v>
          </cell>
          <cell r="K22">
            <v>146.74902944827588</v>
          </cell>
          <cell r="L22">
            <v>393.02630386435703</v>
          </cell>
          <cell r="M22">
            <v>96.66392719691396</v>
          </cell>
          <cell r="N22">
            <v>2.4365049598933175</v>
          </cell>
          <cell r="O22">
            <v>220.93747362177811</v>
          </cell>
          <cell r="P22">
            <v>713.06420964294239</v>
          </cell>
          <cell r="Q22">
            <v>998.59764372747793</v>
          </cell>
        </row>
        <row r="23">
          <cell r="B23">
            <v>0</v>
          </cell>
          <cell r="C23">
            <v>0</v>
          </cell>
          <cell r="D23">
            <v>0</v>
          </cell>
          <cell r="E23">
            <v>2.3936170212765959</v>
          </cell>
          <cell r="F23">
            <v>2.3936170212765959</v>
          </cell>
          <cell r="G23">
            <v>87.234042553191486</v>
          </cell>
          <cell r="H23">
            <v>0</v>
          </cell>
          <cell r="I23">
            <v>0</v>
          </cell>
          <cell r="J23">
            <v>0</v>
          </cell>
          <cell r="K23">
            <v>87.234042553191486</v>
          </cell>
          <cell r="L23">
            <v>168.22311469954525</v>
          </cell>
          <cell r="M23">
            <v>0</v>
          </cell>
          <cell r="N23">
            <v>16.087823555585103</v>
          </cell>
          <cell r="O23">
            <v>0</v>
          </cell>
          <cell r="P23">
            <v>184.31093825513034</v>
          </cell>
          <cell r="Q23">
            <v>273.93859782959845</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B25">
            <v>0</v>
          </cell>
          <cell r="C25">
            <v>131.57498526595745</v>
          </cell>
          <cell r="D25">
            <v>0</v>
          </cell>
          <cell r="E25">
            <v>16.223404255319149</v>
          </cell>
          <cell r="F25">
            <v>147.79838952127662</v>
          </cell>
          <cell r="G25">
            <v>0.26595744680851063</v>
          </cell>
          <cell r="H25">
            <v>0</v>
          </cell>
          <cell r="I25">
            <v>0</v>
          </cell>
          <cell r="J25">
            <v>0</v>
          </cell>
          <cell r="K25">
            <v>0.26595744680851063</v>
          </cell>
          <cell r="L25">
            <v>795.68720379531635</v>
          </cell>
          <cell r="M25">
            <v>40.295964519999998</v>
          </cell>
          <cell r="N25">
            <v>0</v>
          </cell>
          <cell r="O25">
            <v>-2.1E-7</v>
          </cell>
          <cell r="P25">
            <v>835.98316810531628</v>
          </cell>
          <cell r="Q25">
            <v>984.04751507340143</v>
          </cell>
        </row>
        <row r="26">
          <cell r="B26">
            <v>14.973349259946927</v>
          </cell>
          <cell r="C26">
            <v>18.119304070000013</v>
          </cell>
          <cell r="D26">
            <v>0</v>
          </cell>
          <cell r="E26">
            <v>32.245027469999997</v>
          </cell>
          <cell r="F26">
            <v>65.337680799946938</v>
          </cell>
          <cell r="G26">
            <v>0</v>
          </cell>
          <cell r="H26">
            <v>719.01202492493439</v>
          </cell>
          <cell r="I26">
            <v>0</v>
          </cell>
          <cell r="J26">
            <v>147.22169603231146</v>
          </cell>
          <cell r="K26">
            <v>866.23372095724585</v>
          </cell>
          <cell r="L26">
            <v>409.1954141668084</v>
          </cell>
          <cell r="M26">
            <v>305.73053973910908</v>
          </cell>
          <cell r="N26">
            <v>2.6483049999999997E-3</v>
          </cell>
          <cell r="O26">
            <v>985.76053361059735</v>
          </cell>
          <cell r="P26">
            <v>1700.689135821515</v>
          </cell>
          <cell r="Q26">
            <v>2632.2605375787075</v>
          </cell>
        </row>
        <row r="27">
          <cell r="B27">
            <v>0</v>
          </cell>
          <cell r="C27">
            <v>0</v>
          </cell>
          <cell r="D27">
            <v>0</v>
          </cell>
          <cell r="E27">
            <v>0</v>
          </cell>
          <cell r="F27">
            <v>0</v>
          </cell>
          <cell r="G27">
            <v>0</v>
          </cell>
          <cell r="H27">
            <v>0</v>
          </cell>
          <cell r="I27">
            <v>0</v>
          </cell>
          <cell r="J27">
            <v>372.58297872340427</v>
          </cell>
          <cell r="K27">
            <v>372.58297872340427</v>
          </cell>
          <cell r="L27">
            <v>-1.0824468085106382E-6</v>
          </cell>
          <cell r="M27">
            <v>0</v>
          </cell>
          <cell r="N27">
            <v>0</v>
          </cell>
          <cell r="O27">
            <v>0</v>
          </cell>
          <cell r="P27">
            <v>-1.0824468085106382E-6</v>
          </cell>
          <cell r="Q27">
            <v>372.58297764095744</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B29">
            <v>0</v>
          </cell>
          <cell r="C29">
            <v>211.35829135728849</v>
          </cell>
          <cell r="D29">
            <v>0</v>
          </cell>
          <cell r="E29">
            <v>0</v>
          </cell>
          <cell r="F29">
            <v>211.35829135728849</v>
          </cell>
          <cell r="G29">
            <v>0</v>
          </cell>
          <cell r="H29">
            <v>0</v>
          </cell>
          <cell r="I29">
            <v>0</v>
          </cell>
          <cell r="J29">
            <v>0</v>
          </cell>
          <cell r="K29">
            <v>0</v>
          </cell>
          <cell r="L29">
            <v>1.9695184448692309</v>
          </cell>
          <cell r="M29">
            <v>0</v>
          </cell>
          <cell r="N29">
            <v>0</v>
          </cell>
          <cell r="O29">
            <v>2.5615254598283464E-9</v>
          </cell>
          <cell r="P29">
            <v>1.9695184474307563</v>
          </cell>
          <cell r="Q29">
            <v>213.32780980471924</v>
          </cell>
        </row>
        <row r="30">
          <cell r="B30">
            <v>0</v>
          </cell>
          <cell r="C30">
            <v>0</v>
          </cell>
          <cell r="D30">
            <v>0</v>
          </cell>
          <cell r="E30">
            <v>16.223404255319149</v>
          </cell>
          <cell r="F30">
            <v>16.223404255319149</v>
          </cell>
          <cell r="G30">
            <v>0</v>
          </cell>
          <cell r="H30">
            <v>0</v>
          </cell>
          <cell r="I30">
            <v>0</v>
          </cell>
          <cell r="J30">
            <v>0</v>
          </cell>
          <cell r="K30">
            <v>0</v>
          </cell>
          <cell r="L30">
            <v>106.41859639488828</v>
          </cell>
          <cell r="M30">
            <v>886.45031537612749</v>
          </cell>
          <cell r="N30">
            <v>3.535205723404256</v>
          </cell>
          <cell r="O30">
            <v>1473.3166596561475</v>
          </cell>
          <cell r="P30">
            <v>2469.7207771505673</v>
          </cell>
          <cell r="Q30">
            <v>2485.9441814058864</v>
          </cell>
        </row>
        <row r="31">
          <cell r="L31">
            <v>174.94396024662203</v>
          </cell>
          <cell r="M31">
            <v>53.200338822183696</v>
          </cell>
          <cell r="N31">
            <v>0</v>
          </cell>
          <cell r="O31">
            <v>0.34004993</v>
          </cell>
          <cell r="P31">
            <v>228.48434899880573</v>
          </cell>
          <cell r="Q31">
            <v>228.48434899880573</v>
          </cell>
        </row>
        <row r="32">
          <cell r="L32">
            <v>620.2675137146615</v>
          </cell>
          <cell r="M32">
            <v>58.410309667151495</v>
          </cell>
          <cell r="N32">
            <v>0</v>
          </cell>
          <cell r="O32">
            <v>440.68618979874418</v>
          </cell>
          <cell r="P32">
            <v>1119.3640131805571</v>
          </cell>
          <cell r="Q32">
            <v>1119.3640131805571</v>
          </cell>
        </row>
        <row r="33">
          <cell r="B33">
            <v>0</v>
          </cell>
          <cell r="C33">
            <v>0</v>
          </cell>
          <cell r="D33">
            <v>0</v>
          </cell>
          <cell r="E33">
            <v>477.30750823474932</v>
          </cell>
          <cell r="F33">
            <v>477.30750823474932</v>
          </cell>
          <cell r="G33">
            <v>69.148936170212764</v>
          </cell>
          <cell r="H33">
            <v>12.9</v>
          </cell>
          <cell r="I33">
            <v>0</v>
          </cell>
          <cell r="J33">
            <v>9.3085106382978715</v>
          </cell>
          <cell r="K33">
            <v>91.357446808510645</v>
          </cell>
          <cell r="L33">
            <v>1321.3846229505382</v>
          </cell>
          <cell r="M33">
            <v>751.87773729567243</v>
          </cell>
          <cell r="N33">
            <v>81.882081783606424</v>
          </cell>
          <cell r="O33">
            <v>493.23195138668956</v>
          </cell>
          <cell r="P33">
            <v>2648.3763934165067</v>
          </cell>
          <cell r="Q33">
            <v>3217.0413484597671</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Tans."/>
      <sheetName val="POS by sector"/>
    </sheetNames>
    <sheetDataSet>
      <sheetData sheetId="0">
        <row r="10">
          <cell r="C10">
            <v>2906988</v>
          </cell>
          <cell r="D10">
            <v>442121</v>
          </cell>
          <cell r="E10">
            <v>1738452</v>
          </cell>
          <cell r="F10">
            <v>869537</v>
          </cell>
        </row>
        <row r="11">
          <cell r="C11">
            <v>59827086.297000013</v>
          </cell>
          <cell r="D11">
            <v>14889310.834000001</v>
          </cell>
          <cell r="E11">
            <v>92390759.370000035</v>
          </cell>
          <cell r="F11">
            <v>36210542.797999933</v>
          </cell>
        </row>
        <row r="12">
          <cell r="E12">
            <v>38126</v>
          </cell>
        </row>
      </sheetData>
      <sheetData sheetId="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Tans."/>
      <sheetName val="POS by sector"/>
    </sheetNames>
    <sheetDataSet>
      <sheetData sheetId="0">
        <row r="10">
          <cell r="C10">
            <v>2718455</v>
          </cell>
          <cell r="D10">
            <v>328661</v>
          </cell>
          <cell r="E10">
            <v>1731367</v>
          </cell>
          <cell r="F10">
            <v>519486</v>
          </cell>
        </row>
        <row r="11">
          <cell r="C11">
            <v>61016589.614000008</v>
          </cell>
          <cell r="D11">
            <v>11059845.692</v>
          </cell>
          <cell r="E11">
            <v>100692217.25700001</v>
          </cell>
          <cell r="F11">
            <v>22880429.175999999</v>
          </cell>
        </row>
        <row r="12">
          <cell r="E12">
            <v>39039</v>
          </cell>
        </row>
      </sheetData>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3054496</v>
          </cell>
          <cell r="D10">
            <v>577241</v>
          </cell>
          <cell r="E10">
            <v>1883589</v>
          </cell>
          <cell r="F10">
            <v>785799</v>
          </cell>
        </row>
        <row r="11">
          <cell r="C11">
            <v>63712127.112999924</v>
          </cell>
          <cell r="D11">
            <v>17469631.863000009</v>
          </cell>
          <cell r="E11">
            <v>95680028.866000012</v>
          </cell>
          <cell r="F11">
            <v>31071695.499999989</v>
          </cell>
        </row>
        <row r="12">
          <cell r="E12">
            <v>39808</v>
          </cell>
        </row>
      </sheetData>
      <sheetData sheetId="1"/>
      <sheetData sheetId="2"/>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3328221</v>
          </cell>
          <cell r="D10">
            <v>583317</v>
          </cell>
          <cell r="E10">
            <v>1713235</v>
          </cell>
          <cell r="F10">
            <v>859504</v>
          </cell>
        </row>
        <row r="11">
          <cell r="C11">
            <v>69378234.883000135</v>
          </cell>
          <cell r="D11">
            <v>17280511.757999998</v>
          </cell>
          <cell r="E11">
            <v>105636902.47699954</v>
          </cell>
          <cell r="F11">
            <v>32322461.426999997</v>
          </cell>
        </row>
        <row r="12">
          <cell r="E12">
            <v>38579</v>
          </cell>
        </row>
      </sheetData>
      <sheetData sheetId="1"/>
      <sheetData sheetId="2"/>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2930507</v>
          </cell>
          <cell r="D10">
            <v>707719</v>
          </cell>
          <cell r="E10">
            <v>1779532</v>
          </cell>
          <cell r="F10">
            <v>819778</v>
          </cell>
        </row>
        <row r="11">
          <cell r="C11">
            <v>59769286.312999845</v>
          </cell>
          <cell r="D11">
            <v>21162838.834999926</v>
          </cell>
          <cell r="E11">
            <v>86140226.923999786</v>
          </cell>
          <cell r="F11">
            <v>31268912.756999966</v>
          </cell>
        </row>
        <row r="12">
          <cell r="E12">
            <v>39786</v>
          </cell>
        </row>
      </sheetData>
      <sheetData sheetId="1"/>
      <sheetData sheetId="2"/>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3044935</v>
          </cell>
          <cell r="D10">
            <v>533558</v>
          </cell>
          <cell r="E10">
            <v>1890567</v>
          </cell>
          <cell r="F10">
            <v>681365</v>
          </cell>
        </row>
        <row r="11">
          <cell r="C11">
            <v>59749881.220000178</v>
          </cell>
          <cell r="D11">
            <v>15767316.21699998</v>
          </cell>
          <cell r="E11">
            <v>91678715.094000131</v>
          </cell>
          <cell r="F11">
            <v>26853895.023000006</v>
          </cell>
        </row>
        <row r="12">
          <cell r="E12">
            <v>40506</v>
          </cell>
        </row>
      </sheetData>
      <sheetData sheetId="1">
        <row r="10">
          <cell r="C10">
            <v>7332</v>
          </cell>
          <cell r="D10">
            <v>1447765.6719999998</v>
          </cell>
          <cell r="E10">
            <v>269</v>
          </cell>
          <cell r="F10">
            <v>125971.64600000001</v>
          </cell>
          <cell r="G10">
            <v>6965</v>
          </cell>
          <cell r="H10">
            <v>2338144.0960000004</v>
          </cell>
          <cell r="I10">
            <v>695</v>
          </cell>
          <cell r="J10">
            <v>250933.12899999999</v>
          </cell>
        </row>
        <row r="11">
          <cell r="C11">
            <v>18278</v>
          </cell>
          <cell r="D11">
            <v>544803.49899999972</v>
          </cell>
          <cell r="E11">
            <v>67874</v>
          </cell>
          <cell r="F11">
            <v>3352558.9400000116</v>
          </cell>
          <cell r="G11">
            <v>17100</v>
          </cell>
          <cell r="H11">
            <v>1001179.6089999996</v>
          </cell>
          <cell r="I11">
            <v>82441</v>
          </cell>
          <cell r="J11">
            <v>8591661.6370000094</v>
          </cell>
        </row>
        <row r="12">
          <cell r="C12">
            <v>568456</v>
          </cell>
          <cell r="D12">
            <v>3667159.7619999992</v>
          </cell>
          <cell r="E12">
            <v>112397</v>
          </cell>
          <cell r="F12">
            <v>1616344.0709999967</v>
          </cell>
          <cell r="G12">
            <v>274344</v>
          </cell>
          <cell r="H12">
            <v>2321583.1300000106</v>
          </cell>
          <cell r="I12">
            <v>127823</v>
          </cell>
          <cell r="J12">
            <v>1664324.4149999989</v>
          </cell>
        </row>
        <row r="13">
          <cell r="C13">
            <v>130064</v>
          </cell>
          <cell r="D13">
            <v>3163752.4699999988</v>
          </cell>
          <cell r="E13">
            <v>6776</v>
          </cell>
          <cell r="F13">
            <v>312404.19200000004</v>
          </cell>
          <cell r="G13">
            <v>89214</v>
          </cell>
          <cell r="H13">
            <v>2618501.8000000003</v>
          </cell>
          <cell r="I13">
            <v>7386</v>
          </cell>
          <cell r="J13">
            <v>394689.47</v>
          </cell>
        </row>
        <row r="14">
          <cell r="C14">
            <v>87429</v>
          </cell>
          <cell r="D14">
            <v>4794572.0180000002</v>
          </cell>
          <cell r="E14">
            <v>5951</v>
          </cell>
          <cell r="F14">
            <v>233604.60299999997</v>
          </cell>
          <cell r="G14">
            <v>177126</v>
          </cell>
          <cell r="H14">
            <v>43359501.589999996</v>
          </cell>
          <cell r="I14">
            <v>18517</v>
          </cell>
          <cell r="J14">
            <v>928155.47899999993</v>
          </cell>
        </row>
        <row r="15">
          <cell r="C15">
            <v>33528</v>
          </cell>
          <cell r="D15">
            <v>1274216.7</v>
          </cell>
          <cell r="E15">
            <v>15476</v>
          </cell>
          <cell r="F15">
            <v>509829.17299999995</v>
          </cell>
          <cell r="G15">
            <v>21896</v>
          </cell>
          <cell r="H15">
            <v>1955825.1000000015</v>
          </cell>
          <cell r="I15">
            <v>7407</v>
          </cell>
          <cell r="J15">
            <v>335824.96200000006</v>
          </cell>
        </row>
        <row r="16">
          <cell r="C16">
            <v>518143</v>
          </cell>
          <cell r="D16">
            <v>5238393.4179999856</v>
          </cell>
          <cell r="E16">
            <v>38309</v>
          </cell>
          <cell r="F16">
            <v>472821.06400000164</v>
          </cell>
          <cell r="G16">
            <v>289079</v>
          </cell>
          <cell r="H16">
            <v>3276342.1549999909</v>
          </cell>
          <cell r="I16">
            <v>32137</v>
          </cell>
          <cell r="J16">
            <v>481679.34199999925</v>
          </cell>
        </row>
        <row r="17">
          <cell r="C17">
            <v>11262</v>
          </cell>
          <cell r="D17">
            <v>1112149.3</v>
          </cell>
          <cell r="E17">
            <v>3122</v>
          </cell>
          <cell r="F17">
            <v>829412.32</v>
          </cell>
          <cell r="G17">
            <v>8354</v>
          </cell>
          <cell r="H17">
            <v>1925137.3620000002</v>
          </cell>
          <cell r="I17">
            <v>3644</v>
          </cell>
          <cell r="J17">
            <v>1365804.4019999995</v>
          </cell>
        </row>
        <row r="18">
          <cell r="C18">
            <v>461719</v>
          </cell>
          <cell r="D18">
            <v>9017494.8789999876</v>
          </cell>
          <cell r="E18">
            <v>25480</v>
          </cell>
          <cell r="F18">
            <v>559688.55300000007</v>
          </cell>
          <cell r="G18">
            <v>255932</v>
          </cell>
          <cell r="H18">
            <v>5751356.4310000008</v>
          </cell>
          <cell r="I18">
            <v>34608</v>
          </cell>
          <cell r="J18">
            <v>862655.29</v>
          </cell>
        </row>
        <row r="19">
          <cell r="C19">
            <v>176560</v>
          </cell>
          <cell r="D19">
            <v>3694297.7029999993</v>
          </cell>
          <cell r="E19">
            <v>44600</v>
          </cell>
          <cell r="F19">
            <v>1777347.5060000001</v>
          </cell>
          <cell r="G19">
            <v>93906</v>
          </cell>
          <cell r="H19">
            <v>2411789.6069999994</v>
          </cell>
          <cell r="I19">
            <v>52867</v>
          </cell>
          <cell r="J19">
            <v>2317237.6970000002</v>
          </cell>
        </row>
        <row r="20">
          <cell r="C20">
            <v>28656</v>
          </cell>
          <cell r="D20">
            <v>1364134.9259999972</v>
          </cell>
          <cell r="E20">
            <v>6029</v>
          </cell>
          <cell r="F20">
            <v>256333.51800000001</v>
          </cell>
          <cell r="G20">
            <v>23754</v>
          </cell>
          <cell r="H20">
            <v>1758520.9640000034</v>
          </cell>
          <cell r="I20">
            <v>6305</v>
          </cell>
          <cell r="J20">
            <v>333302.88299999997</v>
          </cell>
        </row>
        <row r="21">
          <cell r="C21">
            <v>15167</v>
          </cell>
          <cell r="D21">
            <v>1276108.6909999999</v>
          </cell>
          <cell r="E21">
            <v>855</v>
          </cell>
          <cell r="F21">
            <v>36798.57</v>
          </cell>
          <cell r="G21">
            <v>13017</v>
          </cell>
          <cell r="H21">
            <v>1575369.6410000005</v>
          </cell>
          <cell r="I21">
            <v>1079</v>
          </cell>
          <cell r="J21">
            <v>74318.89899999999</v>
          </cell>
        </row>
        <row r="22">
          <cell r="C22">
            <v>32012</v>
          </cell>
          <cell r="D22">
            <v>1049125.8619999997</v>
          </cell>
          <cell r="E22">
            <v>4108</v>
          </cell>
          <cell r="F22">
            <v>102426.53899999995</v>
          </cell>
          <cell r="G22">
            <v>118230</v>
          </cell>
          <cell r="H22">
            <v>3879187.4869999993</v>
          </cell>
          <cell r="I22">
            <v>10285</v>
          </cell>
          <cell r="J22">
            <v>234826.55299999996</v>
          </cell>
        </row>
        <row r="23">
          <cell r="C23">
            <v>44823</v>
          </cell>
          <cell r="D23">
            <v>401527.31700000004</v>
          </cell>
          <cell r="E23">
            <v>489</v>
          </cell>
          <cell r="F23">
            <v>25741.652999999998</v>
          </cell>
          <cell r="G23">
            <v>3949</v>
          </cell>
          <cell r="H23">
            <v>206608.38000000009</v>
          </cell>
          <cell r="I23">
            <v>1451</v>
          </cell>
          <cell r="J23">
            <v>115260.26699999999</v>
          </cell>
        </row>
        <row r="24">
          <cell r="C24">
            <v>32854</v>
          </cell>
          <cell r="D24">
            <v>1207926.4389999998</v>
          </cell>
          <cell r="E24">
            <v>1922</v>
          </cell>
          <cell r="F24">
            <v>189977.63799999998</v>
          </cell>
          <cell r="G24">
            <v>27359</v>
          </cell>
          <cell r="H24">
            <v>3057956.135000004</v>
          </cell>
          <cell r="I24">
            <v>2398</v>
          </cell>
          <cell r="J24">
            <v>413538.696</v>
          </cell>
        </row>
        <row r="25">
          <cell r="C25">
            <v>3538</v>
          </cell>
          <cell r="D25">
            <v>581482.78599999996</v>
          </cell>
          <cell r="E25">
            <v>1054</v>
          </cell>
          <cell r="F25">
            <v>99457.47099999999</v>
          </cell>
          <cell r="G25">
            <v>4811</v>
          </cell>
          <cell r="H25">
            <v>1487793.398</v>
          </cell>
          <cell r="I25">
            <v>1545</v>
          </cell>
          <cell r="J25">
            <v>235248.86700000003</v>
          </cell>
        </row>
        <row r="26">
          <cell r="C26">
            <v>67282</v>
          </cell>
          <cell r="D26">
            <v>1090549.0079999992</v>
          </cell>
          <cell r="E26">
            <v>29832</v>
          </cell>
          <cell r="F26">
            <v>389615.82399999996</v>
          </cell>
          <cell r="G26">
            <v>52785</v>
          </cell>
          <cell r="H26">
            <v>1086308.8089999955</v>
          </cell>
          <cell r="I26">
            <v>44506</v>
          </cell>
          <cell r="J26">
            <v>663662.55000000016</v>
          </cell>
        </row>
        <row r="27">
          <cell r="C27">
            <v>16427</v>
          </cell>
          <cell r="D27">
            <v>1069728.9160000011</v>
          </cell>
          <cell r="E27">
            <v>4678</v>
          </cell>
          <cell r="F27">
            <v>247113.18999999989</v>
          </cell>
          <cell r="G27">
            <v>17979</v>
          </cell>
          <cell r="H27">
            <v>1597339.1050000051</v>
          </cell>
          <cell r="I27">
            <v>4480</v>
          </cell>
          <cell r="J27">
            <v>371042.34399999992</v>
          </cell>
        </row>
        <row r="28">
          <cell r="C28">
            <v>7294</v>
          </cell>
          <cell r="D28">
            <v>98444.450000000012</v>
          </cell>
          <cell r="E28">
            <v>2274</v>
          </cell>
          <cell r="F28">
            <v>26604.381999999987</v>
          </cell>
          <cell r="G28">
            <v>6504</v>
          </cell>
          <cell r="H28">
            <v>155511.99499999915</v>
          </cell>
          <cell r="I28">
            <v>895</v>
          </cell>
          <cell r="J28">
            <v>15172.239999999998</v>
          </cell>
        </row>
        <row r="29">
          <cell r="C29">
            <v>784111</v>
          </cell>
          <cell r="D29">
            <v>17656247.403999999</v>
          </cell>
          <cell r="E29">
            <v>162063</v>
          </cell>
          <cell r="F29">
            <v>4603265.3640000001</v>
          </cell>
          <cell r="G29">
            <v>388263</v>
          </cell>
          <cell r="H29">
            <v>9914758.2990000024</v>
          </cell>
          <cell r="I29">
            <v>240896</v>
          </cell>
          <cell r="J29">
            <v>7204555.8960000006</v>
          </cell>
        </row>
        <row r="30">
          <cell r="C30">
            <v>3044935</v>
          </cell>
          <cell r="D30">
            <v>59749881.219999984</v>
          </cell>
          <cell r="E30">
            <v>533558</v>
          </cell>
          <cell r="F30">
            <v>15767316.217000011</v>
          </cell>
          <cell r="G30">
            <v>1890567</v>
          </cell>
          <cell r="H30">
            <v>91678715.093000025</v>
          </cell>
          <cell r="I30">
            <v>681365</v>
          </cell>
          <cell r="J30">
            <v>26853895.018000007</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3470509</v>
          </cell>
          <cell r="D10">
            <v>517980</v>
          </cell>
          <cell r="E10">
            <v>2010543</v>
          </cell>
          <cell r="F10">
            <v>666856</v>
          </cell>
        </row>
        <row r="11">
          <cell r="C11">
            <v>65223650.751000449</v>
          </cell>
          <cell r="D11">
            <v>15153600.151999993</v>
          </cell>
          <cell r="E11">
            <v>100639826.96300042</v>
          </cell>
          <cell r="F11">
            <v>25770648.938000023</v>
          </cell>
        </row>
        <row r="12">
          <cell r="E12">
            <v>40944</v>
          </cell>
        </row>
      </sheetData>
      <sheetData sheetId="1">
        <row r="10">
          <cell r="C10">
            <v>6196</v>
          </cell>
          <cell r="D10">
            <v>1025348.9839999999</v>
          </cell>
          <cell r="E10">
            <v>220</v>
          </cell>
          <cell r="F10">
            <v>64178.168999999994</v>
          </cell>
          <cell r="G10">
            <v>5163</v>
          </cell>
          <cell r="H10">
            <v>1457969.83</v>
          </cell>
          <cell r="I10">
            <v>512</v>
          </cell>
          <cell r="J10">
            <v>150132.38699999999</v>
          </cell>
        </row>
        <row r="11">
          <cell r="C11">
            <v>18624</v>
          </cell>
          <cell r="D11">
            <v>540055.78800000006</v>
          </cell>
          <cell r="E11">
            <v>60129</v>
          </cell>
          <cell r="F11">
            <v>2911551.7880000114</v>
          </cell>
          <cell r="G11">
            <v>17060</v>
          </cell>
          <cell r="H11">
            <v>969340.57299999928</v>
          </cell>
          <cell r="I11">
            <v>75335</v>
          </cell>
          <cell r="J11">
            <v>7755696.9920000052</v>
          </cell>
        </row>
        <row r="12">
          <cell r="C12">
            <v>684604</v>
          </cell>
          <cell r="D12">
            <v>4155180.8810000001</v>
          </cell>
          <cell r="E12">
            <v>109394</v>
          </cell>
          <cell r="F12">
            <v>1571658.9289999956</v>
          </cell>
          <cell r="G12">
            <v>303459</v>
          </cell>
          <cell r="H12">
            <v>2440360.3920000209</v>
          </cell>
          <cell r="I12">
            <v>124717</v>
          </cell>
          <cell r="J12">
            <v>1643031.6610000005</v>
          </cell>
        </row>
        <row r="13">
          <cell r="C13">
            <v>157046</v>
          </cell>
          <cell r="D13">
            <v>3714345.0130000012</v>
          </cell>
          <cell r="E13">
            <v>7258</v>
          </cell>
          <cell r="F13">
            <v>360829.02999999985</v>
          </cell>
          <cell r="G13">
            <v>98850</v>
          </cell>
          <cell r="H13">
            <v>2976111.5460000038</v>
          </cell>
          <cell r="I13">
            <v>8121</v>
          </cell>
          <cell r="J13">
            <v>455740.53800000006</v>
          </cell>
        </row>
        <row r="14">
          <cell r="C14">
            <v>111676</v>
          </cell>
          <cell r="D14">
            <v>5942164.3509999998</v>
          </cell>
          <cell r="E14">
            <v>5643</v>
          </cell>
          <cell r="F14">
            <v>191913.83799999999</v>
          </cell>
          <cell r="G14">
            <v>203296</v>
          </cell>
          <cell r="H14">
            <v>48008123.139999986</v>
          </cell>
          <cell r="I14">
            <v>21054</v>
          </cell>
          <cell r="J14">
            <v>913998.32000000007</v>
          </cell>
        </row>
        <row r="15">
          <cell r="C15">
            <v>50429</v>
          </cell>
          <cell r="D15">
            <v>1615500.8209999988</v>
          </cell>
          <cell r="E15">
            <v>14888</v>
          </cell>
          <cell r="F15">
            <v>479046.46399999759</v>
          </cell>
          <cell r="G15">
            <v>29828</v>
          </cell>
          <cell r="H15">
            <v>2472775.4610000011</v>
          </cell>
          <cell r="I15">
            <v>7260</v>
          </cell>
          <cell r="J15">
            <v>286944.49300000019</v>
          </cell>
        </row>
        <row r="16">
          <cell r="C16">
            <v>577983</v>
          </cell>
          <cell r="D16">
            <v>5445787.6299999841</v>
          </cell>
          <cell r="E16">
            <v>40664</v>
          </cell>
          <cell r="F16">
            <v>490819.57500000205</v>
          </cell>
          <cell r="G16">
            <v>304766</v>
          </cell>
          <cell r="H16">
            <v>3313283.4749999726</v>
          </cell>
          <cell r="I16">
            <v>32693</v>
          </cell>
          <cell r="J16">
            <v>485409.51900000044</v>
          </cell>
        </row>
        <row r="17">
          <cell r="C17">
            <v>14780</v>
          </cell>
          <cell r="D17">
            <v>1581356.3210000002</v>
          </cell>
          <cell r="E17">
            <v>3098</v>
          </cell>
          <cell r="F17">
            <v>948916.97500000033</v>
          </cell>
          <cell r="G17">
            <v>10925</v>
          </cell>
          <cell r="H17">
            <v>2877540.3479999988</v>
          </cell>
          <cell r="I17">
            <v>4021</v>
          </cell>
          <cell r="J17">
            <v>1522919.838</v>
          </cell>
        </row>
        <row r="18">
          <cell r="C18">
            <v>475482</v>
          </cell>
          <cell r="D18">
            <v>8947925.7639999334</v>
          </cell>
          <cell r="E18">
            <v>23533</v>
          </cell>
          <cell r="F18">
            <v>525119.39199999976</v>
          </cell>
          <cell r="G18">
            <v>248156</v>
          </cell>
          <cell r="H18">
            <v>5428921.8819999984</v>
          </cell>
          <cell r="I18">
            <v>33274</v>
          </cell>
          <cell r="J18">
            <v>777217.28899999999</v>
          </cell>
        </row>
        <row r="19">
          <cell r="C19">
            <v>188960</v>
          </cell>
          <cell r="D19">
            <v>4055047.8039999995</v>
          </cell>
          <cell r="E19">
            <v>43787</v>
          </cell>
          <cell r="F19">
            <v>1802696.4520000003</v>
          </cell>
          <cell r="G19">
            <v>92620</v>
          </cell>
          <cell r="H19">
            <v>2586997.6999999988</v>
          </cell>
          <cell r="I19">
            <v>51721</v>
          </cell>
          <cell r="J19">
            <v>2374292.8479999998</v>
          </cell>
        </row>
        <row r="20">
          <cell r="C20">
            <v>33896</v>
          </cell>
          <cell r="D20">
            <v>1575747.51399999</v>
          </cell>
          <cell r="E20">
            <v>5837</v>
          </cell>
          <cell r="F20">
            <v>260744.62700000004</v>
          </cell>
          <cell r="G20">
            <v>26432</v>
          </cell>
          <cell r="H20">
            <v>2089500.5480000018</v>
          </cell>
          <cell r="I20">
            <v>6211</v>
          </cell>
          <cell r="J20">
            <v>341008.30099999998</v>
          </cell>
        </row>
        <row r="21">
          <cell r="C21">
            <v>18913</v>
          </cell>
          <cell r="D21">
            <v>1563859.4980000001</v>
          </cell>
          <cell r="E21">
            <v>881</v>
          </cell>
          <cell r="F21">
            <v>34204.642999999996</v>
          </cell>
          <cell r="G21">
            <v>15430</v>
          </cell>
          <cell r="H21">
            <v>1880659.3360000006</v>
          </cell>
          <cell r="I21">
            <v>1081</v>
          </cell>
          <cell r="J21">
            <v>71873.187999999995</v>
          </cell>
        </row>
        <row r="22">
          <cell r="C22">
            <v>38708</v>
          </cell>
          <cell r="D22">
            <v>1332370.3609999996</v>
          </cell>
          <cell r="E22">
            <v>4217</v>
          </cell>
          <cell r="F22">
            <v>131962.94700000001</v>
          </cell>
          <cell r="G22">
            <v>123117</v>
          </cell>
          <cell r="H22">
            <v>4145406.4019999988</v>
          </cell>
          <cell r="I22">
            <v>10961</v>
          </cell>
          <cell r="J22">
            <v>216921.95799999996</v>
          </cell>
        </row>
        <row r="23">
          <cell r="C23">
            <v>52303</v>
          </cell>
          <cell r="D23">
            <v>475145.68800000002</v>
          </cell>
          <cell r="E23">
            <v>589</v>
          </cell>
          <cell r="F23">
            <v>22283.797000000002</v>
          </cell>
          <cell r="G23">
            <v>4505</v>
          </cell>
          <cell r="H23">
            <v>252941.37400000007</v>
          </cell>
          <cell r="I23">
            <v>1777</v>
          </cell>
          <cell r="J23">
            <v>95680.701000000001</v>
          </cell>
        </row>
        <row r="24">
          <cell r="C24">
            <v>44860</v>
          </cell>
          <cell r="D24">
            <v>1461919.6740000017</v>
          </cell>
          <cell r="E24">
            <v>2090</v>
          </cell>
          <cell r="F24">
            <v>180621.253</v>
          </cell>
          <cell r="G24">
            <v>33371</v>
          </cell>
          <cell r="H24">
            <v>4362052.6029999992</v>
          </cell>
          <cell r="I24">
            <v>2653</v>
          </cell>
          <cell r="J24">
            <v>375075.39</v>
          </cell>
        </row>
        <row r="25">
          <cell r="C25">
            <v>4064</v>
          </cell>
          <cell r="D25">
            <v>622424.75699999998</v>
          </cell>
          <cell r="E25">
            <v>1040</v>
          </cell>
          <cell r="F25">
            <v>102800.02699999999</v>
          </cell>
          <cell r="G25">
            <v>5165</v>
          </cell>
          <cell r="H25">
            <v>1655959.8959999997</v>
          </cell>
          <cell r="I25">
            <v>1431</v>
          </cell>
          <cell r="J25">
            <v>233705.21</v>
          </cell>
        </row>
        <row r="26">
          <cell r="C26">
            <v>85307</v>
          </cell>
          <cell r="D26">
            <v>1245308.915999999</v>
          </cell>
          <cell r="E26">
            <v>33483</v>
          </cell>
          <cell r="F26">
            <v>412404.83900000015</v>
          </cell>
          <cell r="G26">
            <v>61697</v>
          </cell>
          <cell r="H26">
            <v>1125982.5079999955</v>
          </cell>
          <cell r="I26">
            <v>46931</v>
          </cell>
          <cell r="J26">
            <v>648417.34499999997</v>
          </cell>
        </row>
        <row r="27">
          <cell r="C27">
            <v>18280</v>
          </cell>
          <cell r="D27">
            <v>1222432.8680000005</v>
          </cell>
          <cell r="E27">
            <v>4433</v>
          </cell>
          <cell r="F27">
            <v>250655.38799999998</v>
          </cell>
          <cell r="G27">
            <v>18700</v>
          </cell>
          <cell r="H27">
            <v>1788799.2000000053</v>
          </cell>
          <cell r="I27">
            <v>4697</v>
          </cell>
          <cell r="J27">
            <v>397593.37900000002</v>
          </cell>
        </row>
        <row r="28">
          <cell r="C28">
            <v>6415</v>
          </cell>
          <cell r="D28">
            <v>74194.116000000053</v>
          </cell>
          <cell r="E28">
            <v>1985</v>
          </cell>
          <cell r="F28">
            <v>25235.957999999999</v>
          </cell>
          <cell r="G28">
            <v>4882</v>
          </cell>
          <cell r="H28">
            <v>86178.347999999984</v>
          </cell>
          <cell r="I28">
            <v>893</v>
          </cell>
          <cell r="J28">
            <v>19330.664000000001</v>
          </cell>
        </row>
        <row r="29">
          <cell r="C29">
            <v>881983</v>
          </cell>
          <cell r="D29">
            <v>18627533.958000001</v>
          </cell>
          <cell r="E29">
            <v>154811</v>
          </cell>
          <cell r="F29">
            <v>4385956.0239999993</v>
          </cell>
          <cell r="G29">
            <v>403121</v>
          </cell>
          <cell r="H29">
            <v>10720922.354000006</v>
          </cell>
          <cell r="I29">
            <v>231513</v>
          </cell>
          <cell r="J29">
            <v>7005658.881000001</v>
          </cell>
        </row>
        <row r="30">
          <cell r="C30">
            <v>3470509</v>
          </cell>
          <cell r="D30">
            <v>65223650.706999913</v>
          </cell>
          <cell r="E30">
            <v>517980</v>
          </cell>
          <cell r="F30">
            <v>15153600.11500001</v>
          </cell>
          <cell r="G30">
            <v>2010543</v>
          </cell>
          <cell r="H30">
            <v>100639826.91599998</v>
          </cell>
          <cell r="I30">
            <v>666856</v>
          </cell>
          <cell r="J30">
            <v>25770648.902000014</v>
          </cell>
        </row>
      </sheetData>
      <sheetData sheetId="2"/>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 val="cons"/>
    </sheetNames>
    <sheetDataSet>
      <sheetData sheetId="0">
        <row r="10">
          <cell r="C10">
            <v>3366782</v>
          </cell>
          <cell r="D10">
            <v>660372</v>
          </cell>
          <cell r="E10">
            <v>2059599</v>
          </cell>
          <cell r="F10">
            <v>693997</v>
          </cell>
        </row>
        <row r="11">
          <cell r="C11">
            <v>64034535.949999996</v>
          </cell>
          <cell r="D11">
            <v>21141163.946999997</v>
          </cell>
          <cell r="E11">
            <v>98474861.370000005</v>
          </cell>
          <cell r="F11">
            <v>33755144.401000008</v>
          </cell>
        </row>
        <row r="12">
          <cell r="E12">
            <v>41545</v>
          </cell>
        </row>
      </sheetData>
      <sheetData sheetId="1">
        <row r="10">
          <cell r="C10">
            <v>5444</v>
          </cell>
          <cell r="D10">
            <v>728590.56299999997</v>
          </cell>
          <cell r="E10">
            <v>228</v>
          </cell>
          <cell r="F10">
            <v>63922.796000000002</v>
          </cell>
          <cell r="G10">
            <v>5207</v>
          </cell>
          <cell r="H10">
            <v>1203163.9839999999</v>
          </cell>
          <cell r="I10">
            <v>552</v>
          </cell>
          <cell r="J10">
            <v>131405.23000000001</v>
          </cell>
        </row>
        <row r="11">
          <cell r="C11">
            <v>15039</v>
          </cell>
          <cell r="D11">
            <v>509227.21200000006</v>
          </cell>
          <cell r="E11">
            <v>65800</v>
          </cell>
          <cell r="F11">
            <v>3286453.466</v>
          </cell>
          <cell r="G11">
            <v>16097</v>
          </cell>
          <cell r="H11">
            <v>1000647.3329999999</v>
          </cell>
          <cell r="I11">
            <v>84924</v>
          </cell>
          <cell r="J11">
            <v>9067941.5030000024</v>
          </cell>
        </row>
        <row r="12">
          <cell r="C12">
            <v>690569</v>
          </cell>
          <cell r="D12">
            <v>4361774.3150000004</v>
          </cell>
          <cell r="E12">
            <v>141772</v>
          </cell>
          <cell r="F12">
            <v>1973405.3530000001</v>
          </cell>
          <cell r="G12">
            <v>325316</v>
          </cell>
          <cell r="H12">
            <v>2749143.8889999995</v>
          </cell>
          <cell r="I12">
            <v>137526</v>
          </cell>
          <cell r="J12">
            <v>1861993.7600000002</v>
          </cell>
        </row>
        <row r="13">
          <cell r="C13">
            <v>143111</v>
          </cell>
          <cell r="D13">
            <v>3445741.1859999998</v>
          </cell>
          <cell r="E13">
            <v>7594</v>
          </cell>
          <cell r="F13">
            <v>388002.49799999996</v>
          </cell>
          <cell r="G13">
            <v>95329</v>
          </cell>
          <cell r="H13">
            <v>2760213.2659999998</v>
          </cell>
          <cell r="I13">
            <v>7587</v>
          </cell>
          <cell r="J13">
            <v>428525.09700000001</v>
          </cell>
        </row>
        <row r="14">
          <cell r="C14">
            <v>98508</v>
          </cell>
          <cell r="D14">
            <v>5204139.3719999995</v>
          </cell>
          <cell r="E14">
            <v>6319</v>
          </cell>
          <cell r="F14">
            <v>226714.802</v>
          </cell>
          <cell r="G14">
            <v>183594</v>
          </cell>
          <cell r="H14">
            <v>42194831.691</v>
          </cell>
          <cell r="I14">
            <v>21077</v>
          </cell>
          <cell r="J14">
            <v>710888.26199999999</v>
          </cell>
        </row>
        <row r="15">
          <cell r="C15">
            <v>57389</v>
          </cell>
          <cell r="D15">
            <v>1815757.9149999998</v>
          </cell>
          <cell r="E15">
            <v>17960</v>
          </cell>
          <cell r="F15">
            <v>602874.48100000003</v>
          </cell>
          <cell r="G15">
            <v>34306</v>
          </cell>
          <cell r="H15">
            <v>2541204.2699999996</v>
          </cell>
          <cell r="I15">
            <v>7676</v>
          </cell>
          <cell r="J15">
            <v>343019.60499999998</v>
          </cell>
        </row>
        <row r="16">
          <cell r="C16">
            <v>553153</v>
          </cell>
          <cell r="D16">
            <v>5168495.8279999997</v>
          </cell>
          <cell r="E16">
            <v>49194</v>
          </cell>
          <cell r="F16">
            <v>614074.11699999997</v>
          </cell>
          <cell r="G16">
            <v>305139</v>
          </cell>
          <cell r="H16">
            <v>3278043.733</v>
          </cell>
          <cell r="I16">
            <v>35249</v>
          </cell>
          <cell r="J16">
            <v>557816.07300000009</v>
          </cell>
        </row>
        <row r="17">
          <cell r="C17">
            <v>19215</v>
          </cell>
          <cell r="D17">
            <v>2735096.713</v>
          </cell>
          <cell r="E17">
            <v>6142</v>
          </cell>
          <cell r="F17">
            <v>3020133.1010000003</v>
          </cell>
          <cell r="G17">
            <v>14815</v>
          </cell>
          <cell r="H17">
            <v>7275554.1579999998</v>
          </cell>
          <cell r="I17">
            <v>7310</v>
          </cell>
          <cell r="J17">
            <v>7189064.4850000003</v>
          </cell>
        </row>
        <row r="18">
          <cell r="C18">
            <v>452729</v>
          </cell>
          <cell r="D18">
            <v>8442520.2750000004</v>
          </cell>
          <cell r="E18">
            <v>28127</v>
          </cell>
          <cell r="F18">
            <v>622095.70400000003</v>
          </cell>
          <cell r="G18">
            <v>245894</v>
          </cell>
          <cell r="H18">
            <v>5074388.4450000003</v>
          </cell>
          <cell r="I18">
            <v>34735</v>
          </cell>
          <cell r="J18">
            <v>805909.92300000018</v>
          </cell>
        </row>
        <row r="19">
          <cell r="C19">
            <v>216832</v>
          </cell>
          <cell r="D19">
            <v>4907110.7089999998</v>
          </cell>
          <cell r="E19">
            <v>66714</v>
          </cell>
          <cell r="F19">
            <v>2814031.469</v>
          </cell>
          <cell r="G19">
            <v>113133</v>
          </cell>
          <cell r="H19">
            <v>3199925.1870000004</v>
          </cell>
          <cell r="I19">
            <v>56883</v>
          </cell>
          <cell r="J19">
            <v>2843982.3460000004</v>
          </cell>
        </row>
        <row r="20">
          <cell r="C20">
            <v>34900</v>
          </cell>
          <cell r="D20">
            <v>1702534.673</v>
          </cell>
          <cell r="E20">
            <v>7505</v>
          </cell>
          <cell r="F20">
            <v>333009.53000000003</v>
          </cell>
          <cell r="G20">
            <v>28125</v>
          </cell>
          <cell r="H20">
            <v>2100721.4849999999</v>
          </cell>
          <cell r="I20">
            <v>7207</v>
          </cell>
          <cell r="J20">
            <v>411471.60499999998</v>
          </cell>
        </row>
        <row r="21">
          <cell r="C21">
            <v>15631</v>
          </cell>
          <cell r="D21">
            <v>1320303.2349999999</v>
          </cell>
          <cell r="E21">
            <v>1130</v>
          </cell>
          <cell r="F21">
            <v>35174.262000000002</v>
          </cell>
          <cell r="G21">
            <v>13522</v>
          </cell>
          <cell r="H21">
            <v>1648414.9000000001</v>
          </cell>
          <cell r="I21">
            <v>856</v>
          </cell>
          <cell r="J21">
            <v>83187.552999999985</v>
          </cell>
        </row>
        <row r="22">
          <cell r="C22">
            <v>34904</v>
          </cell>
          <cell r="D22">
            <v>1240819.2169999999</v>
          </cell>
          <cell r="E22">
            <v>4531</v>
          </cell>
          <cell r="F22">
            <v>139105.486</v>
          </cell>
          <cell r="G22">
            <v>114711</v>
          </cell>
          <cell r="H22">
            <v>3831051.6239999998</v>
          </cell>
          <cell r="I22">
            <v>10538</v>
          </cell>
          <cell r="J22">
            <v>212221.35799999998</v>
          </cell>
        </row>
        <row r="23">
          <cell r="C23">
            <v>48793</v>
          </cell>
          <cell r="D23">
            <v>437937.20599999995</v>
          </cell>
          <cell r="E23">
            <v>1117</v>
          </cell>
          <cell r="F23">
            <v>25718.165000000001</v>
          </cell>
          <cell r="G23">
            <v>33055</v>
          </cell>
          <cell r="H23">
            <v>409757.05799999996</v>
          </cell>
          <cell r="I23">
            <v>2348</v>
          </cell>
          <cell r="J23">
            <v>304936.76500000001</v>
          </cell>
        </row>
        <row r="24">
          <cell r="C24">
            <v>58835</v>
          </cell>
          <cell r="D24">
            <v>1385370.8959999999</v>
          </cell>
          <cell r="E24">
            <v>2671</v>
          </cell>
          <cell r="F24">
            <v>206338.65900000001</v>
          </cell>
          <cell r="G24">
            <v>45255</v>
          </cell>
          <cell r="H24">
            <v>4070604.8339999998</v>
          </cell>
          <cell r="I24">
            <v>3528</v>
          </cell>
          <cell r="J24">
            <v>470621.17200000002</v>
          </cell>
        </row>
        <row r="25">
          <cell r="C25">
            <v>3735</v>
          </cell>
          <cell r="D25">
            <v>598641.83900000004</v>
          </cell>
          <cell r="E25">
            <v>894</v>
          </cell>
          <cell r="F25">
            <v>97830.748000000007</v>
          </cell>
          <cell r="G25">
            <v>5035</v>
          </cell>
          <cell r="H25">
            <v>1342243.4880000001</v>
          </cell>
          <cell r="I25">
            <v>1305</v>
          </cell>
          <cell r="J25">
            <v>241787.53999999998</v>
          </cell>
        </row>
        <row r="26">
          <cell r="C26">
            <v>63497</v>
          </cell>
          <cell r="D26">
            <v>1000528.7080000001</v>
          </cell>
          <cell r="E26">
            <v>33230</v>
          </cell>
          <cell r="F26">
            <v>437244.2969999999</v>
          </cell>
          <cell r="G26">
            <v>50926</v>
          </cell>
          <cell r="H26">
            <v>991808.26399999997</v>
          </cell>
          <cell r="I26">
            <v>34256</v>
          </cell>
          <cell r="J26">
            <v>552555.50899999996</v>
          </cell>
        </row>
        <row r="27">
          <cell r="C27">
            <v>18060</v>
          </cell>
          <cell r="D27">
            <v>1114832.3099999998</v>
          </cell>
          <cell r="E27">
            <v>5589</v>
          </cell>
          <cell r="F27">
            <v>267567.26999999996</v>
          </cell>
          <cell r="G27">
            <v>20165</v>
          </cell>
          <cell r="H27">
            <v>1833646.4380000001</v>
          </cell>
          <cell r="I27">
            <v>4875</v>
          </cell>
          <cell r="J27">
            <v>414042.16800000006</v>
          </cell>
        </row>
        <row r="28">
          <cell r="C28">
            <v>5305</v>
          </cell>
          <cell r="D28">
            <v>57052.202000000005</v>
          </cell>
          <cell r="E28">
            <v>2343</v>
          </cell>
          <cell r="F28">
            <v>26632.161999999997</v>
          </cell>
          <cell r="G28">
            <v>4186</v>
          </cell>
          <cell r="H28">
            <v>78546.988000000012</v>
          </cell>
          <cell r="I28">
            <v>1036</v>
          </cell>
          <cell r="J28">
            <v>25611.131999999998</v>
          </cell>
        </row>
        <row r="29">
          <cell r="C29">
            <v>831133</v>
          </cell>
          <cell r="D29">
            <v>17858061.576000001</v>
          </cell>
          <cell r="E29">
            <v>211512</v>
          </cell>
          <cell r="F29">
            <v>5960835.5809999993</v>
          </cell>
          <cell r="G29">
            <v>405789</v>
          </cell>
          <cell r="H29">
            <v>10890950.245000001</v>
          </cell>
          <cell r="I29">
            <v>234529</v>
          </cell>
          <cell r="J29">
            <v>7098163.2750000004</v>
          </cell>
        </row>
        <row r="30">
          <cell r="C30">
            <v>3366782</v>
          </cell>
          <cell r="D30">
            <v>64034535.950000003</v>
          </cell>
          <cell r="E30">
            <v>660372</v>
          </cell>
          <cell r="F30">
            <v>21141163.946999997</v>
          </cell>
          <cell r="G30">
            <v>2059599</v>
          </cell>
          <cell r="H30">
            <v>98474861.280000016</v>
          </cell>
          <cell r="I30">
            <v>693997</v>
          </cell>
          <cell r="J30">
            <v>33755144.361000001</v>
          </cell>
        </row>
      </sheetData>
      <sheetData sheetId="2"/>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s>
    <sheetDataSet>
      <sheetData sheetId="0">
        <row r="10">
          <cell r="C10">
            <v>3719859</v>
          </cell>
          <cell r="D10">
            <v>766744</v>
          </cell>
          <cell r="E10">
            <v>2289614</v>
          </cell>
          <cell r="F10">
            <v>721978</v>
          </cell>
        </row>
        <row r="11">
          <cell r="C11">
            <v>71206411.775000006</v>
          </cell>
          <cell r="D11">
            <v>22308836.639000002</v>
          </cell>
          <cell r="E11">
            <v>109695642.257</v>
          </cell>
          <cell r="F11">
            <v>29298702.400999986</v>
          </cell>
        </row>
        <row r="12">
          <cell r="E12">
            <v>40262</v>
          </cell>
        </row>
      </sheetData>
      <sheetData sheetId="1">
        <row r="10">
          <cell r="C10">
            <v>6046</v>
          </cell>
          <cell r="D10">
            <v>995436.59499999997</v>
          </cell>
          <cell r="E10">
            <v>225</v>
          </cell>
          <cell r="F10">
            <v>71755.911000000007</v>
          </cell>
          <cell r="G10">
            <v>5378</v>
          </cell>
          <cell r="H10">
            <v>1467921.3289999999</v>
          </cell>
          <cell r="I10">
            <v>523</v>
          </cell>
          <cell r="J10">
            <v>146001.772</v>
          </cell>
        </row>
        <row r="11">
          <cell r="C11">
            <v>17536</v>
          </cell>
          <cell r="D11">
            <v>611561.84600000002</v>
          </cell>
          <cell r="E11">
            <v>74550</v>
          </cell>
          <cell r="F11">
            <v>3557193.8370000003</v>
          </cell>
          <cell r="G11">
            <v>16782</v>
          </cell>
          <cell r="H11">
            <v>1347875.291</v>
          </cell>
          <cell r="I11">
            <v>82565</v>
          </cell>
          <cell r="J11">
            <v>8171263.5440000016</v>
          </cell>
        </row>
        <row r="12">
          <cell r="C12">
            <v>784829</v>
          </cell>
          <cell r="D12">
            <v>5055028.5360000003</v>
          </cell>
          <cell r="E12">
            <v>162410</v>
          </cell>
          <cell r="F12">
            <v>2263777.7680000002</v>
          </cell>
          <cell r="G12">
            <v>349754</v>
          </cell>
          <cell r="H12">
            <v>2975323.4169999994</v>
          </cell>
          <cell r="I12">
            <v>144709</v>
          </cell>
          <cell r="J12">
            <v>2011371.5770000005</v>
          </cell>
        </row>
        <row r="13">
          <cell r="C13">
            <v>154721</v>
          </cell>
          <cell r="D13">
            <v>3641388.9349999996</v>
          </cell>
          <cell r="E13">
            <v>7854</v>
          </cell>
          <cell r="F13">
            <v>425073.64400000003</v>
          </cell>
          <cell r="G13">
            <v>100615</v>
          </cell>
          <cell r="H13">
            <v>3018670.4160000002</v>
          </cell>
          <cell r="I13">
            <v>7835</v>
          </cell>
          <cell r="J13">
            <v>426807.86099999998</v>
          </cell>
        </row>
        <row r="14">
          <cell r="C14">
            <v>100138</v>
          </cell>
          <cell r="D14">
            <v>5150150.03</v>
          </cell>
          <cell r="E14">
            <v>6703</v>
          </cell>
          <cell r="F14">
            <v>253073.77300000004</v>
          </cell>
          <cell r="G14">
            <v>190889</v>
          </cell>
          <cell r="H14">
            <v>51953589.474999994</v>
          </cell>
          <cell r="I14">
            <v>21152</v>
          </cell>
          <cell r="J14">
            <v>892782.30500000005</v>
          </cell>
        </row>
        <row r="15">
          <cell r="C15">
            <v>65962</v>
          </cell>
          <cell r="D15">
            <v>1976505.5780000002</v>
          </cell>
          <cell r="E15">
            <v>21608</v>
          </cell>
          <cell r="F15">
            <v>632370.37800000003</v>
          </cell>
          <cell r="G15">
            <v>37290</v>
          </cell>
          <cell r="H15">
            <v>2523599.0609999998</v>
          </cell>
          <cell r="I15">
            <v>8261</v>
          </cell>
          <cell r="J15">
            <v>337018.97100000002</v>
          </cell>
        </row>
        <row r="16">
          <cell r="C16">
            <v>568087</v>
          </cell>
          <cell r="D16">
            <v>5472977.5710000005</v>
          </cell>
          <cell r="E16">
            <v>56036</v>
          </cell>
          <cell r="F16">
            <v>810732.38799999992</v>
          </cell>
          <cell r="G16">
            <v>298840</v>
          </cell>
          <cell r="H16">
            <v>3337538.7149999999</v>
          </cell>
          <cell r="I16">
            <v>37501</v>
          </cell>
          <cell r="J16">
            <v>614092.74700000009</v>
          </cell>
        </row>
        <row r="17">
          <cell r="C17">
            <v>21020</v>
          </cell>
          <cell r="D17">
            <v>2489769.1320000002</v>
          </cell>
          <cell r="E17">
            <v>4959</v>
          </cell>
          <cell r="F17">
            <v>1541695.389</v>
          </cell>
          <cell r="G17">
            <v>14129</v>
          </cell>
          <cell r="H17">
            <v>3825065.159</v>
          </cell>
          <cell r="I17">
            <v>5936</v>
          </cell>
          <cell r="J17">
            <v>2750764.9</v>
          </cell>
        </row>
        <row r="18">
          <cell r="C18">
            <v>483371</v>
          </cell>
          <cell r="D18">
            <v>9030187.3990000002</v>
          </cell>
          <cell r="E18">
            <v>31218</v>
          </cell>
          <cell r="F18">
            <v>645102.75599999994</v>
          </cell>
          <cell r="G18">
            <v>259476</v>
          </cell>
          <cell r="H18">
            <v>5430589</v>
          </cell>
          <cell r="I18">
            <v>35953</v>
          </cell>
          <cell r="J18">
            <v>843855.69200000004</v>
          </cell>
        </row>
        <row r="19">
          <cell r="C19">
            <v>282025</v>
          </cell>
          <cell r="D19">
            <v>6208504.0060000001</v>
          </cell>
          <cell r="E19">
            <v>82151</v>
          </cell>
          <cell r="F19">
            <v>3494314.3119999995</v>
          </cell>
          <cell r="G19">
            <v>150544</v>
          </cell>
          <cell r="H19">
            <v>4164370.037</v>
          </cell>
          <cell r="I19">
            <v>65349</v>
          </cell>
          <cell r="J19">
            <v>3198650.4360000007</v>
          </cell>
        </row>
        <row r="20">
          <cell r="C20">
            <v>37913</v>
          </cell>
          <cell r="D20">
            <v>1774538.736</v>
          </cell>
          <cell r="E20">
            <v>7364</v>
          </cell>
          <cell r="F20">
            <v>306266.78100000002</v>
          </cell>
          <cell r="G20">
            <v>29413</v>
          </cell>
          <cell r="H20">
            <v>2097258.6320000002</v>
          </cell>
          <cell r="I20">
            <v>7012</v>
          </cell>
          <cell r="J20">
            <v>416778.4850000001</v>
          </cell>
        </row>
        <row r="21">
          <cell r="C21">
            <v>17392</v>
          </cell>
          <cell r="D21">
            <v>1547833.3609999998</v>
          </cell>
          <cell r="E21">
            <v>1438</v>
          </cell>
          <cell r="F21">
            <v>44697.366000000002</v>
          </cell>
          <cell r="G21">
            <v>14551</v>
          </cell>
          <cell r="H21">
            <v>1824975.8429999999</v>
          </cell>
          <cell r="I21">
            <v>1263</v>
          </cell>
          <cell r="J21">
            <v>81686.656000000003</v>
          </cell>
        </row>
        <row r="22">
          <cell r="C22">
            <v>37888</v>
          </cell>
          <cell r="D22">
            <v>1293738.665</v>
          </cell>
          <cell r="E22">
            <v>4519</v>
          </cell>
          <cell r="F22">
            <v>124312.03</v>
          </cell>
          <cell r="G22">
            <v>122184</v>
          </cell>
          <cell r="H22">
            <v>4175239.4789999994</v>
          </cell>
          <cell r="I22">
            <v>10258</v>
          </cell>
          <cell r="J22">
            <v>207121.17</v>
          </cell>
        </row>
        <row r="23">
          <cell r="C23">
            <v>50784</v>
          </cell>
          <cell r="D23">
            <v>487036.11</v>
          </cell>
          <cell r="E23">
            <v>1959</v>
          </cell>
          <cell r="F23">
            <v>41031.166000000005</v>
          </cell>
          <cell r="G23">
            <v>125734</v>
          </cell>
          <cell r="H23">
            <v>1000291.3879999999</v>
          </cell>
          <cell r="I23">
            <v>6396</v>
          </cell>
          <cell r="J23">
            <v>113137.94</v>
          </cell>
        </row>
        <row r="24">
          <cell r="C24">
            <v>63310</v>
          </cell>
          <cell r="D24">
            <v>1488914.6169999999</v>
          </cell>
          <cell r="E24">
            <v>3032</v>
          </cell>
          <cell r="F24">
            <v>213905.18799999999</v>
          </cell>
          <cell r="G24">
            <v>44704</v>
          </cell>
          <cell r="H24">
            <v>3887095.1410000003</v>
          </cell>
          <cell r="I24">
            <v>3706</v>
          </cell>
          <cell r="J24">
            <v>462303.97600000002</v>
          </cell>
        </row>
        <row r="25">
          <cell r="C25">
            <v>4071</v>
          </cell>
          <cell r="D25">
            <v>809431.23499999999</v>
          </cell>
          <cell r="E25">
            <v>1351</v>
          </cell>
          <cell r="F25">
            <v>189271.1</v>
          </cell>
          <cell r="G25">
            <v>5229</v>
          </cell>
          <cell r="H25">
            <v>1708038.4449999998</v>
          </cell>
          <cell r="I25">
            <v>1138</v>
          </cell>
          <cell r="J25">
            <v>221893.77899999998</v>
          </cell>
        </row>
        <row r="26">
          <cell r="C26">
            <v>74495</v>
          </cell>
          <cell r="D26">
            <v>1115568.341</v>
          </cell>
          <cell r="E26">
            <v>37417</v>
          </cell>
          <cell r="F26">
            <v>473716.94299999997</v>
          </cell>
          <cell r="G26">
            <v>58164</v>
          </cell>
          <cell r="H26">
            <v>1152007.152</v>
          </cell>
          <cell r="I26">
            <v>34922</v>
          </cell>
          <cell r="J26">
            <v>556401.73900000006</v>
          </cell>
        </row>
        <row r="27">
          <cell r="C27">
            <v>22566</v>
          </cell>
          <cell r="D27">
            <v>1426643.73</v>
          </cell>
          <cell r="E27">
            <v>5954</v>
          </cell>
          <cell r="F27">
            <v>324167.82400000002</v>
          </cell>
          <cell r="G27">
            <v>24777</v>
          </cell>
          <cell r="H27">
            <v>2309335.4440000001</v>
          </cell>
          <cell r="I27">
            <v>5570</v>
          </cell>
          <cell r="J27">
            <v>534417.25899999996</v>
          </cell>
        </row>
        <row r="28">
          <cell r="C28">
            <v>5091</v>
          </cell>
          <cell r="D28">
            <v>56960.791000000005</v>
          </cell>
          <cell r="E28">
            <v>853</v>
          </cell>
          <cell r="F28">
            <v>13755.530999999999</v>
          </cell>
          <cell r="G28">
            <v>3604</v>
          </cell>
          <cell r="H28">
            <v>88786.888999999996</v>
          </cell>
          <cell r="I28">
            <v>658</v>
          </cell>
          <cell r="J28">
            <v>14614.269</v>
          </cell>
        </row>
        <row r="29">
          <cell r="C29">
            <v>922614</v>
          </cell>
          <cell r="D29">
            <v>20574236.561000001</v>
          </cell>
          <cell r="E29">
            <v>255143</v>
          </cell>
          <cell r="F29">
            <v>6882622.5539999986</v>
          </cell>
          <cell r="G29">
            <v>437557</v>
          </cell>
          <cell r="H29">
            <v>11408071.593999997</v>
          </cell>
          <cell r="I29">
            <v>241271</v>
          </cell>
          <cell r="J29">
            <v>7297737.392</v>
          </cell>
        </row>
        <row r="30">
          <cell r="C30">
            <v>3719859</v>
          </cell>
          <cell r="D30">
            <v>71206411.775000006</v>
          </cell>
          <cell r="E30">
            <v>766744</v>
          </cell>
          <cell r="F30">
            <v>22308836.638999995</v>
          </cell>
          <cell r="G30">
            <v>2289614</v>
          </cell>
          <cell r="H30">
            <v>109695641.90699998</v>
          </cell>
          <cell r="I30">
            <v>721978</v>
          </cell>
          <cell r="J30">
            <v>29298702.470000006</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17.602953005</v>
          </cell>
          <cell r="D14">
            <v>88.48</v>
          </cell>
        </row>
        <row r="18">
          <cell r="C18">
            <v>323.20574799799999</v>
          </cell>
          <cell r="D18">
            <v>822.11884683599999</v>
          </cell>
        </row>
        <row r="23">
          <cell r="C23">
            <v>1256.851273764757</v>
          </cell>
          <cell r="D23">
            <v>244.03709440800003</v>
          </cell>
        </row>
        <row r="24">
          <cell r="C24">
            <v>647.03184371199995</v>
          </cell>
          <cell r="D24">
            <v>94.670717716000013</v>
          </cell>
        </row>
        <row r="25">
          <cell r="C25">
            <v>161.84834839230001</v>
          </cell>
          <cell r="D25">
            <v>385.00088634525002</v>
          </cell>
        </row>
        <row r="26">
          <cell r="C26">
            <v>226.46020110400002</v>
          </cell>
          <cell r="D26">
            <v>208.66946974669</v>
          </cell>
        </row>
        <row r="27">
          <cell r="C27">
            <v>2330.8293940799999</v>
          </cell>
          <cell r="D27">
            <v>1254.774676723478</v>
          </cell>
        </row>
        <row r="28">
          <cell r="C28">
            <v>5246.03520269405</v>
          </cell>
          <cell r="D28">
            <v>1038.0411784164164</v>
          </cell>
        </row>
        <row r="29">
          <cell r="C29">
            <v>227.734349044</v>
          </cell>
          <cell r="D29">
            <v>28.153999999999996</v>
          </cell>
        </row>
        <row r="30">
          <cell r="C30">
            <v>0</v>
          </cell>
          <cell r="D30">
            <v>6.8</v>
          </cell>
        </row>
        <row r="31">
          <cell r="C31">
            <v>0.60299999999999998</v>
          </cell>
          <cell r="D31">
            <v>7.4300073200000005</v>
          </cell>
        </row>
        <row r="33">
          <cell r="C33">
            <v>229.44161382589013</v>
          </cell>
          <cell r="D33">
            <v>50.207168348312628</v>
          </cell>
        </row>
        <row r="34">
          <cell r="C34">
            <v>1581.2336212379989</v>
          </cell>
          <cell r="D34">
            <v>399.89580597620011</v>
          </cell>
        </row>
        <row r="36">
          <cell r="C36">
            <v>1083.1033966947691</v>
          </cell>
          <cell r="D36">
            <v>89.933948562327672</v>
          </cell>
        </row>
        <row r="37">
          <cell r="C37">
            <v>322.75792991151269</v>
          </cell>
          <cell r="D37">
            <v>397.48731587597382</v>
          </cell>
        </row>
        <row r="38">
          <cell r="C38">
            <v>13654.737486960263</v>
          </cell>
          <cell r="D38">
            <v>5115.7011162746476</v>
          </cell>
          <cell r="E38">
            <v>709.38707254533392</v>
          </cell>
          <cell r="F38">
            <v>9378.1125989254124</v>
          </cell>
          <cell r="G38">
            <v>570.86451182775772</v>
          </cell>
          <cell r="H38">
            <v>5241.2646380147689</v>
          </cell>
          <cell r="I38">
            <v>34670.067424548186</v>
          </cell>
        </row>
        <row r="40">
          <cell r="I40">
            <v>6465.3219729126595</v>
          </cell>
        </row>
        <row r="68">
          <cell r="C68">
            <v>137.82481777426509</v>
          </cell>
          <cell r="D68">
            <v>4.2946361362660728</v>
          </cell>
        </row>
        <row r="69">
          <cell r="C69">
            <v>1373.2861303963195</v>
          </cell>
          <cell r="D69">
            <v>2.0000001E-2</v>
          </cell>
        </row>
        <row r="72">
          <cell r="C72">
            <v>453.67223285642478</v>
          </cell>
          <cell r="D72">
            <v>532.18594644311963</v>
          </cell>
        </row>
        <row r="76">
          <cell r="C76">
            <v>7820.5090284079761</v>
          </cell>
          <cell r="D76">
            <v>1996.2990793795134</v>
          </cell>
        </row>
        <row r="77">
          <cell r="C77">
            <v>212.6322538090001</v>
          </cell>
          <cell r="D77">
            <v>103.030868652</v>
          </cell>
        </row>
        <row r="78">
          <cell r="C78">
            <v>0</v>
          </cell>
          <cell r="D78">
            <v>0</v>
          </cell>
        </row>
        <row r="79">
          <cell r="C79">
            <v>98.953525880695949</v>
          </cell>
          <cell r="D79">
            <v>140.53252574878849</v>
          </cell>
        </row>
        <row r="80">
          <cell r="C80">
            <v>7.6488818829999996</v>
          </cell>
          <cell r="D80">
            <v>442.99</v>
          </cell>
        </row>
        <row r="81">
          <cell r="C81">
            <v>2819.9292149126695</v>
          </cell>
          <cell r="D81">
            <v>1001.5607481532866</v>
          </cell>
        </row>
        <row r="82">
          <cell r="C82">
            <v>4574.3451519236096</v>
          </cell>
          <cell r="D82">
            <v>284.58493682543821</v>
          </cell>
        </row>
        <row r="83">
          <cell r="C83">
            <v>106.99999999899995</v>
          </cell>
          <cell r="D83">
            <v>23.6</v>
          </cell>
        </row>
        <row r="84">
          <cell r="E84">
            <v>-5.3400000000000321E-11</v>
          </cell>
          <cell r="F84">
            <v>2940.5022978075613</v>
          </cell>
          <cell r="G84">
            <v>1.1990930820000001</v>
          </cell>
          <cell r="H84">
            <v>2277.585854875364</v>
          </cell>
        </row>
        <row r="86">
          <cell r="C86">
            <v>3988.0184125410001</v>
          </cell>
          <cell r="D86">
            <v>1265.7742053632066</v>
          </cell>
        </row>
        <row r="89">
          <cell r="C89">
            <v>7.9536239999997149E-3</v>
          </cell>
          <cell r="D89">
            <v>147.13201093520999</v>
          </cell>
        </row>
        <row r="92">
          <cell r="C92">
            <v>353.49190315780407</v>
          </cell>
          <cell r="D92">
            <v>50.778561193000002</v>
          </cell>
        </row>
        <row r="93">
          <cell r="C93">
            <v>0.14500000000000002</v>
          </cell>
          <cell r="D93">
            <v>20.305867169999999</v>
          </cell>
        </row>
        <row r="95">
          <cell r="C95">
            <v>116.40246543623</v>
          </cell>
          <cell r="D95">
            <v>853.30636187554978</v>
          </cell>
        </row>
        <row r="96">
          <cell r="C96">
            <v>135.30311123535955</v>
          </cell>
          <cell r="D96">
            <v>11.249974136792661</v>
          </cell>
        </row>
        <row r="97">
          <cell r="C97">
            <v>534.85252409441625</v>
          </cell>
          <cell r="D97">
            <v>162.49324524807076</v>
          </cell>
        </row>
        <row r="98">
          <cell r="C98">
            <v>14913.518128967127</v>
          </cell>
          <cell r="D98">
            <v>5043.8398878817297</v>
          </cell>
          <cell r="E98">
            <v>383.77658089528757</v>
          </cell>
          <cell r="F98">
            <v>8087.9914273450458</v>
          </cell>
          <cell r="G98">
            <v>67.390541086000013</v>
          </cell>
          <cell r="H98">
            <v>6173.465492782776</v>
          </cell>
          <cell r="I98">
            <v>34669.982058957961</v>
          </cell>
        </row>
        <row r="100">
          <cell r="I100">
            <v>6456.902156175659</v>
          </cell>
        </row>
      </sheetData>
      <sheetData sheetId="1">
        <row r="15">
          <cell r="C15">
            <v>777.48185356299996</v>
          </cell>
          <cell r="D15">
            <v>629.67509304500004</v>
          </cell>
          <cell r="E15">
            <v>161.82775674729999</v>
          </cell>
          <cell r="F15">
            <v>226.39537625900002</v>
          </cell>
          <cell r="G15">
            <v>2317.1654924290001</v>
          </cell>
          <cell r="H15">
            <v>5460.8112634347144</v>
          </cell>
          <cell r="I15">
            <v>9573.3568354780145</v>
          </cell>
          <cell r="K15">
            <v>187.85382773202002</v>
          </cell>
        </row>
        <row r="16">
          <cell r="E16">
            <v>94.441312160299987</v>
          </cell>
          <cell r="F16">
            <v>52.408044465999993</v>
          </cell>
          <cell r="G16">
            <v>1163.4825818490001</v>
          </cell>
          <cell r="H16">
            <v>757.90617216865974</v>
          </cell>
        </row>
        <row r="17">
          <cell r="E17">
            <v>3.840250873</v>
          </cell>
          <cell r="F17">
            <v>56.714180861000003</v>
          </cell>
          <cell r="G17">
            <v>130.96238655499997</v>
          </cell>
          <cell r="H17">
            <v>2741.6895412333047</v>
          </cell>
        </row>
        <row r="18">
          <cell r="E18">
            <v>63.546193714000005</v>
          </cell>
          <cell r="F18">
            <v>117.27315093200001</v>
          </cell>
          <cell r="G18">
            <v>1022.750524025</v>
          </cell>
          <cell r="H18">
            <v>1942.5155500327492</v>
          </cell>
        </row>
        <row r="19">
          <cell r="E19">
            <v>0</v>
          </cell>
          <cell r="F19">
            <v>0</v>
          </cell>
          <cell r="G19">
            <v>0</v>
          </cell>
          <cell r="H19">
            <v>18.7</v>
          </cell>
        </row>
        <row r="20">
          <cell r="I20">
            <v>1.6018152000000001E-2</v>
          </cell>
        </row>
        <row r="21">
          <cell r="I21">
            <v>523.45848916009368</v>
          </cell>
        </row>
        <row r="23">
          <cell r="C23">
            <v>244.07583929</v>
          </cell>
          <cell r="D23">
            <v>94.63197283400001</v>
          </cell>
          <cell r="E23">
            <v>385.00093834525001</v>
          </cell>
          <cell r="F23">
            <v>206.85476974668998</v>
          </cell>
          <cell r="G23">
            <v>1245.6786158384775</v>
          </cell>
          <cell r="H23">
            <v>1066.1072521828164</v>
          </cell>
          <cell r="I23">
            <v>3242.3493882372341</v>
          </cell>
          <cell r="K23">
            <v>4226.2987335136741</v>
          </cell>
        </row>
        <row r="24">
          <cell r="E24">
            <v>66.471270610440001</v>
          </cell>
          <cell r="F24">
            <v>168.12480994868997</v>
          </cell>
          <cell r="G24">
            <v>527.0737421664586</v>
          </cell>
          <cell r="H24">
            <v>112.42876861420882</v>
          </cell>
        </row>
        <row r="25">
          <cell r="E25">
            <v>0.310270465</v>
          </cell>
          <cell r="F25">
            <v>13.176226689</v>
          </cell>
          <cell r="G25">
            <v>28.967834348</v>
          </cell>
          <cell r="H25">
            <v>159.80194803299986</v>
          </cell>
        </row>
        <row r="26">
          <cell r="E26">
            <v>318.21939726981003</v>
          </cell>
          <cell r="F26">
            <v>25.553733109</v>
          </cell>
          <cell r="G26">
            <v>689.63703932401904</v>
          </cell>
          <cell r="H26">
            <v>793.87653553560767</v>
          </cell>
        </row>
        <row r="27">
          <cell r="E27">
            <v>0</v>
          </cell>
          <cell r="F27">
            <v>0</v>
          </cell>
          <cell r="G27">
            <v>0</v>
          </cell>
          <cell r="H27">
            <v>0</v>
          </cell>
        </row>
        <row r="28">
          <cell r="I28">
            <v>0</v>
          </cell>
        </row>
        <row r="29">
          <cell r="I29">
            <v>10.982999999999999</v>
          </cell>
        </row>
      </sheetData>
      <sheetData sheetId="2">
        <row r="16">
          <cell r="N16">
            <v>28804.360035142563</v>
          </cell>
          <cell r="AA16">
            <v>28555.387638631866</v>
          </cell>
        </row>
        <row r="17">
          <cell r="B17">
            <v>1095.0135568624553</v>
          </cell>
          <cell r="C17">
            <v>55.101305555840227</v>
          </cell>
          <cell r="D17">
            <v>0</v>
          </cell>
          <cell r="E17">
            <v>7.8287724039999995</v>
          </cell>
          <cell r="F17">
            <v>0</v>
          </cell>
          <cell r="G17">
            <v>1745.0978642869932</v>
          </cell>
          <cell r="H17">
            <v>4005.8465534460966</v>
          </cell>
          <cell r="I17">
            <v>236.37743095671399</v>
          </cell>
          <cell r="J17">
            <v>1.9816644049999999</v>
          </cell>
          <cell r="K17">
            <v>122.27385805422152</v>
          </cell>
          <cell r="L17">
            <v>1.672134834</v>
          </cell>
          <cell r="M17">
            <v>11499.221063433499</v>
          </cell>
          <cell r="N17">
            <v>18770.414204238823</v>
          </cell>
          <cell r="O17">
            <v>794.11264586652351</v>
          </cell>
          <cell r="P17">
            <v>62.018030397431488</v>
          </cell>
          <cell r="Q17">
            <v>1.191945000000007E-3</v>
          </cell>
          <cell r="R17">
            <v>3.3326578109999998</v>
          </cell>
          <cell r="S17">
            <v>0</v>
          </cell>
          <cell r="T17">
            <v>2330.783359763599</v>
          </cell>
          <cell r="U17">
            <v>4385.4406588076581</v>
          </cell>
          <cell r="V17">
            <v>95.04198380799275</v>
          </cell>
          <cell r="W17">
            <v>22.68784269</v>
          </cell>
          <cell r="X17">
            <v>39.547468118397312</v>
          </cell>
          <cell r="Y17">
            <v>2.8576927212221603</v>
          </cell>
          <cell r="Z17">
            <v>12221.711484515719</v>
          </cell>
          <cell r="AA17">
            <v>19957.508006684544</v>
          </cell>
        </row>
        <row r="23">
          <cell r="N23">
            <v>1161.1742279795042</v>
          </cell>
          <cell r="AA23">
            <v>1012.1610184578302</v>
          </cell>
        </row>
        <row r="36">
          <cell r="N36">
            <v>1661.6011332185335</v>
          </cell>
          <cell r="AA36">
            <v>1627.2694600613358</v>
          </cell>
        </row>
        <row r="76">
          <cell r="N76">
            <v>13.346878659</v>
          </cell>
          <cell r="AA76">
            <v>146.22952781690591</v>
          </cell>
        </row>
        <row r="82">
          <cell r="N82">
            <v>2133.7177530831646</v>
          </cell>
          <cell r="AA82">
            <v>1807.3212467043606</v>
          </cell>
        </row>
        <row r="103">
          <cell r="N103">
            <v>6.1635805800000005</v>
          </cell>
          <cell r="AA103">
            <v>108.384</v>
          </cell>
        </row>
        <row r="131">
          <cell r="N131">
            <v>802.68662596940737</v>
          </cell>
          <cell r="AA131">
            <v>1361.4208034361686</v>
          </cell>
        </row>
        <row r="146">
          <cell r="N146">
            <v>1.8681122329000002</v>
          </cell>
          <cell r="AA146">
            <v>51.897408285081923</v>
          </cell>
        </row>
        <row r="149">
          <cell r="N149">
            <v>85.186847655999998</v>
          </cell>
          <cell r="AA149">
            <v>0</v>
          </cell>
        </row>
        <row r="152">
          <cell r="B152">
            <v>7673.2744328868512</v>
          </cell>
          <cell r="C152">
            <v>633.68446424756235</v>
          </cell>
          <cell r="D152">
            <v>20.967450785</v>
          </cell>
          <cell r="E152">
            <v>264.84374924300005</v>
          </cell>
          <cell r="F152">
            <v>17.901976999999999</v>
          </cell>
          <cell r="G152">
            <v>4414.2473906838986</v>
          </cell>
          <cell r="H152">
            <v>8239.6320447380785</v>
          </cell>
          <cell r="I152">
            <v>795.85473132571406</v>
          </cell>
          <cell r="J152">
            <v>1.9816644049999999</v>
          </cell>
          <cell r="K152">
            <v>193.49805951590889</v>
          </cell>
          <cell r="L152">
            <v>1.6731348339999998</v>
          </cell>
          <cell r="M152">
            <v>12412.546094856061</v>
          </cell>
          <cell r="O152">
            <v>3514.4911763180562</v>
          </cell>
          <cell r="P152">
            <v>394.34751508456401</v>
          </cell>
          <cell r="Q152">
            <v>1.6444719083641097</v>
          </cell>
          <cell r="R152">
            <v>245.6447677764852</v>
          </cell>
          <cell r="S152">
            <v>3.3344870844401471</v>
          </cell>
          <cell r="T152">
            <v>3746.3633683764047</v>
          </cell>
          <cell r="U152">
            <v>11820.859480907868</v>
          </cell>
          <cell r="V152">
            <v>570.84317703196587</v>
          </cell>
          <cell r="W152">
            <v>24.015216210000002</v>
          </cell>
          <cell r="X152">
            <v>455.99326202122739</v>
          </cell>
          <cell r="Y152">
            <v>33.557692721222161</v>
          </cell>
          <cell r="Z152">
            <v>13859.003497712951</v>
          </cell>
          <cell r="AA152">
            <v>34670.071103393551</v>
          </cell>
        </row>
      </sheetData>
      <sheetData sheetId="3">
        <row r="14">
          <cell r="D14">
            <v>14934.990081214561</v>
          </cell>
          <cell r="G14">
            <v>15364.710169049245</v>
          </cell>
        </row>
        <row r="16">
          <cell r="D16">
            <v>15284.98383430924</v>
          </cell>
          <cell r="G16">
            <v>14875.869018864618</v>
          </cell>
        </row>
        <row r="17">
          <cell r="D17">
            <v>458.23979594482364</v>
          </cell>
          <cell r="G17">
            <v>704.13802979771265</v>
          </cell>
        </row>
        <row r="18">
          <cell r="D18">
            <v>22.950232244000002</v>
          </cell>
          <cell r="G18">
            <v>25.959052583364112</v>
          </cell>
        </row>
        <row r="19">
          <cell r="D19">
            <v>19.575111834000001</v>
          </cell>
          <cell r="G19">
            <v>36.731028526848007</v>
          </cell>
        </row>
        <row r="20">
          <cell r="D20">
            <v>1425.3668179934848</v>
          </cell>
          <cell r="G20">
            <v>965.13872823639974</v>
          </cell>
        </row>
        <row r="21">
          <cell r="D21">
            <v>731.97093272864709</v>
          </cell>
          <cell r="G21">
            <v>220.09020840375769</v>
          </cell>
        </row>
        <row r="22">
          <cell r="D22">
            <v>1729.6206378793222</v>
          </cell>
          <cell r="G22">
            <v>2163.0173633477848</v>
          </cell>
        </row>
        <row r="23">
          <cell r="D23">
            <v>62.37460837999997</v>
          </cell>
          <cell r="G23">
            <v>314.42216778573345</v>
          </cell>
        </row>
        <row r="24">
          <cell r="G24">
            <v>34670.075415444466</v>
          </cell>
        </row>
      </sheetData>
      <sheetData sheetId="4">
        <row r="10">
          <cell r="D10">
            <v>5172.542117054506</v>
          </cell>
        </row>
        <row r="11">
          <cell r="D11">
            <v>5.1500974571518974</v>
          </cell>
        </row>
        <row r="12">
          <cell r="D12">
            <v>52.899999999999991</v>
          </cell>
        </row>
        <row r="15">
          <cell r="D15">
            <v>1849.8254809020316</v>
          </cell>
        </row>
        <row r="20">
          <cell r="D20">
            <v>1062.180252985688</v>
          </cell>
        </row>
        <row r="29">
          <cell r="D29">
            <v>1120.7703240680808</v>
          </cell>
        </row>
        <row r="37">
          <cell r="D37">
            <v>239.44942757362358</v>
          </cell>
        </row>
        <row r="42">
          <cell r="D42">
            <v>842.2665340679298</v>
          </cell>
        </row>
        <row r="43">
          <cell r="D43">
            <v>124.45598892842696</v>
          </cell>
        </row>
        <row r="45">
          <cell r="D45">
            <v>144.96147323833358</v>
          </cell>
        </row>
        <row r="48">
          <cell r="D48">
            <v>4328.4002374894117</v>
          </cell>
        </row>
        <row r="49">
          <cell r="D49">
            <v>1883.8834913131691</v>
          </cell>
        </row>
        <row r="50">
          <cell r="D50">
            <v>95.234672816252001</v>
          </cell>
        </row>
        <row r="51">
          <cell r="D51">
            <v>178.5426988185863</v>
          </cell>
        </row>
        <row r="52">
          <cell r="D52">
            <v>1357.0939256890538</v>
          </cell>
        </row>
        <row r="53">
          <cell r="D53">
            <v>76.002325344438191</v>
          </cell>
        </row>
        <row r="54">
          <cell r="D54">
            <v>737.6411235079122</v>
          </cell>
        </row>
        <row r="55">
          <cell r="D55">
            <v>315.64663470878401</v>
          </cell>
        </row>
        <row r="58">
          <cell r="D58">
            <v>9816.5889892527011</v>
          </cell>
        </row>
      </sheetData>
      <sheetData sheetId="5"/>
      <sheetData sheetId="6"/>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s>
    <sheetDataSet>
      <sheetData sheetId="0">
        <row r="10">
          <cell r="C10">
            <v>3704108</v>
          </cell>
          <cell r="D10">
            <v>979290</v>
          </cell>
          <cell r="E10">
            <v>2231335</v>
          </cell>
          <cell r="F10">
            <v>741513</v>
          </cell>
        </row>
        <row r="11">
          <cell r="C11">
            <v>69360313.375</v>
          </cell>
          <cell r="D11">
            <v>27164893.513999999</v>
          </cell>
          <cell r="E11">
            <v>100582977.44971552</v>
          </cell>
          <cell r="F11">
            <v>28320558.290594742</v>
          </cell>
        </row>
        <row r="12">
          <cell r="E12">
            <v>41424</v>
          </cell>
        </row>
      </sheetData>
      <sheetData sheetId="1">
        <row r="10">
          <cell r="C10">
            <v>7692</v>
          </cell>
          <cell r="D10">
            <v>1359150.8049999999</v>
          </cell>
          <cell r="E10">
            <v>322</v>
          </cell>
          <cell r="F10">
            <v>129941.697</v>
          </cell>
          <cell r="G10">
            <v>7524</v>
          </cell>
          <cell r="H10">
            <v>3242257.0180000002</v>
          </cell>
          <cell r="I10">
            <v>665</v>
          </cell>
          <cell r="J10">
            <v>259172.70599999998</v>
          </cell>
        </row>
        <row r="11">
          <cell r="C11">
            <v>17262</v>
          </cell>
          <cell r="D11">
            <v>616341.79399999999</v>
          </cell>
          <cell r="E11">
            <v>93049</v>
          </cell>
          <cell r="F11">
            <v>5236883.693</v>
          </cell>
          <cell r="G11">
            <v>16256</v>
          </cell>
          <cell r="H11">
            <v>1937434.0399999998</v>
          </cell>
          <cell r="I11">
            <v>84216</v>
          </cell>
          <cell r="J11">
            <v>8921134.2249999978</v>
          </cell>
        </row>
        <row r="12">
          <cell r="C12">
            <v>788593</v>
          </cell>
          <cell r="D12">
            <v>5070411.3899999997</v>
          </cell>
          <cell r="E12">
            <v>215704</v>
          </cell>
          <cell r="F12">
            <v>3013028.2709999997</v>
          </cell>
          <cell r="G12">
            <v>351501</v>
          </cell>
          <cell r="H12">
            <v>3066205.7940000002</v>
          </cell>
          <cell r="I12">
            <v>149769</v>
          </cell>
          <cell r="J12">
            <v>2104338.5029999996</v>
          </cell>
        </row>
        <row r="13">
          <cell r="C13">
            <v>155038</v>
          </cell>
          <cell r="D13">
            <v>3665573.0240000002</v>
          </cell>
          <cell r="E13">
            <v>8784</v>
          </cell>
          <cell r="F13">
            <v>436714.21100000001</v>
          </cell>
          <cell r="G13">
            <v>98419</v>
          </cell>
          <cell r="H13">
            <v>2929421.1510000001</v>
          </cell>
          <cell r="I13">
            <v>8246</v>
          </cell>
          <cell r="J13">
            <v>433968.68099999998</v>
          </cell>
        </row>
        <row r="14">
          <cell r="C14">
            <v>109201</v>
          </cell>
          <cell r="D14">
            <v>5522678.6029999992</v>
          </cell>
          <cell r="E14">
            <v>8074</v>
          </cell>
          <cell r="F14">
            <v>263566.22200000001</v>
          </cell>
          <cell r="G14">
            <v>198698</v>
          </cell>
          <cell r="H14">
            <v>43815639.759999998</v>
          </cell>
          <cell r="I14">
            <v>22338</v>
          </cell>
          <cell r="J14">
            <v>928843.16999999993</v>
          </cell>
        </row>
        <row r="15">
          <cell r="C15">
            <v>67509</v>
          </cell>
          <cell r="D15">
            <v>2013684.1910000001</v>
          </cell>
          <cell r="E15">
            <v>24953</v>
          </cell>
          <cell r="F15">
            <v>677782.47900000005</v>
          </cell>
          <cell r="G15">
            <v>35686</v>
          </cell>
          <cell r="H15">
            <v>2545007.7820000001</v>
          </cell>
          <cell r="I15">
            <v>8344</v>
          </cell>
          <cell r="J15">
            <v>347734.42200000002</v>
          </cell>
        </row>
        <row r="16">
          <cell r="C16">
            <v>587093</v>
          </cell>
          <cell r="D16">
            <v>5607169.1310000001</v>
          </cell>
          <cell r="E16">
            <v>61408</v>
          </cell>
          <cell r="F16">
            <v>687462.59900000005</v>
          </cell>
          <cell r="G16">
            <v>304605</v>
          </cell>
          <cell r="H16">
            <v>3361121.6519999998</v>
          </cell>
          <cell r="I16">
            <v>37262</v>
          </cell>
          <cell r="J16">
            <v>530279.11900000006</v>
          </cell>
        </row>
        <row r="17">
          <cell r="C17">
            <v>16531</v>
          </cell>
          <cell r="D17">
            <v>1817716.9910000002</v>
          </cell>
          <cell r="E17">
            <v>5471</v>
          </cell>
          <cell r="F17">
            <v>1576098.591</v>
          </cell>
          <cell r="G17">
            <v>10704</v>
          </cell>
          <cell r="H17">
            <v>2935215.676</v>
          </cell>
          <cell r="I17">
            <v>4215</v>
          </cell>
          <cell r="J17">
            <v>1707461.159</v>
          </cell>
        </row>
        <row r="18">
          <cell r="C18">
            <v>497674</v>
          </cell>
          <cell r="D18">
            <v>9035162.347000001</v>
          </cell>
          <cell r="E18">
            <v>38963</v>
          </cell>
          <cell r="F18">
            <v>718326.68299999996</v>
          </cell>
          <cell r="G18">
            <v>252100</v>
          </cell>
          <cell r="H18">
            <v>5170788.0779999997</v>
          </cell>
          <cell r="I18">
            <v>33115</v>
          </cell>
          <cell r="J18">
            <v>745506.16900000011</v>
          </cell>
        </row>
        <row r="19">
          <cell r="C19">
            <v>243186</v>
          </cell>
          <cell r="D19">
            <v>4952519.3879999993</v>
          </cell>
          <cell r="E19">
            <v>105615</v>
          </cell>
          <cell r="F19">
            <v>3882920.4939999995</v>
          </cell>
          <cell r="G19">
            <v>119034</v>
          </cell>
          <cell r="H19">
            <v>3139299.1180000002</v>
          </cell>
          <cell r="I19">
            <v>59220</v>
          </cell>
          <cell r="J19">
            <v>2681751.6629999997</v>
          </cell>
        </row>
        <row r="20">
          <cell r="C20">
            <v>34606</v>
          </cell>
          <cell r="D20">
            <v>1479361.9350000001</v>
          </cell>
          <cell r="E20">
            <v>9004</v>
          </cell>
          <cell r="F20">
            <v>339829.81199999998</v>
          </cell>
          <cell r="G20">
            <v>26207</v>
          </cell>
          <cell r="H20">
            <v>1800085.8947155098</v>
          </cell>
          <cell r="I20">
            <v>6045</v>
          </cell>
          <cell r="J20">
            <v>317794.87160724006</v>
          </cell>
        </row>
        <row r="21">
          <cell r="C21">
            <v>18181</v>
          </cell>
          <cell r="D21">
            <v>1582566.047</v>
          </cell>
          <cell r="E21">
            <v>2031</v>
          </cell>
          <cell r="F21">
            <v>45317.957999999999</v>
          </cell>
          <cell r="G21">
            <v>15261</v>
          </cell>
          <cell r="H21">
            <v>1842300.5589999999</v>
          </cell>
          <cell r="I21">
            <v>1700</v>
          </cell>
          <cell r="J21">
            <v>68642.634999999995</v>
          </cell>
        </row>
        <row r="22">
          <cell r="C22">
            <v>39811</v>
          </cell>
          <cell r="D22">
            <v>1300243.348</v>
          </cell>
          <cell r="E22">
            <v>6290</v>
          </cell>
          <cell r="F22">
            <v>142899.739</v>
          </cell>
          <cell r="G22">
            <v>121299</v>
          </cell>
          <cell r="H22">
            <v>3891957.22</v>
          </cell>
          <cell r="I22">
            <v>11352</v>
          </cell>
          <cell r="J22">
            <v>211106.62800000003</v>
          </cell>
        </row>
        <row r="23">
          <cell r="C23">
            <v>44863</v>
          </cell>
          <cell r="D23">
            <v>439347.022</v>
          </cell>
          <cell r="E23">
            <v>3813</v>
          </cell>
          <cell r="F23">
            <v>53645.506999999998</v>
          </cell>
          <cell r="G23">
            <v>135377</v>
          </cell>
          <cell r="H23">
            <v>1040568.797</v>
          </cell>
          <cell r="I23">
            <v>30696</v>
          </cell>
          <cell r="J23">
            <v>303163.41986311</v>
          </cell>
        </row>
        <row r="24">
          <cell r="C24">
            <v>63259</v>
          </cell>
          <cell r="D24">
            <v>1557396.575</v>
          </cell>
          <cell r="E24">
            <v>3404</v>
          </cell>
          <cell r="F24">
            <v>245830.698</v>
          </cell>
          <cell r="G24">
            <v>41413</v>
          </cell>
          <cell r="H24">
            <v>4180879.1859999998</v>
          </cell>
          <cell r="I24">
            <v>3660</v>
          </cell>
          <cell r="J24">
            <v>503883.69999999995</v>
          </cell>
        </row>
        <row r="25">
          <cell r="C25">
            <v>4222</v>
          </cell>
          <cell r="D25">
            <v>785828.35700000008</v>
          </cell>
          <cell r="E25">
            <v>1358</v>
          </cell>
          <cell r="F25">
            <v>162537.08799999999</v>
          </cell>
          <cell r="G25">
            <v>5005</v>
          </cell>
          <cell r="H25">
            <v>1554754.8770000001</v>
          </cell>
          <cell r="I25">
            <v>1252</v>
          </cell>
          <cell r="J25">
            <v>248340.01112440997</v>
          </cell>
        </row>
        <row r="26">
          <cell r="C26">
            <v>76213</v>
          </cell>
          <cell r="D26">
            <v>1126527.912</v>
          </cell>
          <cell r="E26">
            <v>58336</v>
          </cell>
          <cell r="F26">
            <v>713841.77800000005</v>
          </cell>
          <cell r="G26">
            <v>56129</v>
          </cell>
          <cell r="H26">
            <v>1109647.0989999999</v>
          </cell>
          <cell r="I26">
            <v>43200</v>
          </cell>
          <cell r="J26">
            <v>669591.46200000006</v>
          </cell>
        </row>
        <row r="27">
          <cell r="C27">
            <v>20313</v>
          </cell>
          <cell r="D27">
            <v>1291290.77</v>
          </cell>
          <cell r="E27">
            <v>7100</v>
          </cell>
          <cell r="F27">
            <v>342969.95800000004</v>
          </cell>
          <cell r="G27">
            <v>20919</v>
          </cell>
          <cell r="H27">
            <v>2119305.3119999999</v>
          </cell>
          <cell r="I27">
            <v>5486</v>
          </cell>
          <cell r="J27">
            <v>459787.90600000002</v>
          </cell>
        </row>
        <row r="28">
          <cell r="C28">
            <v>5307</v>
          </cell>
          <cell r="D28">
            <v>66013.318999999989</v>
          </cell>
          <cell r="E28">
            <v>1041</v>
          </cell>
          <cell r="F28">
            <v>17867.188999999998</v>
          </cell>
          <cell r="G28">
            <v>3641</v>
          </cell>
          <cell r="H28">
            <v>78015.489999999991</v>
          </cell>
          <cell r="I28">
            <v>589</v>
          </cell>
          <cell r="J28">
            <v>15451.689999999999</v>
          </cell>
        </row>
        <row r="29">
          <cell r="C29">
            <v>907554</v>
          </cell>
          <cell r="D29">
            <v>20071330.426000003</v>
          </cell>
          <cell r="E29">
            <v>324570</v>
          </cell>
          <cell r="F29">
            <v>8477428.8469999991</v>
          </cell>
          <cell r="G29">
            <v>411557</v>
          </cell>
          <cell r="H29">
            <v>10823072.945999999</v>
          </cell>
          <cell r="I29">
            <v>230143</v>
          </cell>
          <cell r="J29">
            <v>6862606.1500000013</v>
          </cell>
        </row>
        <row r="30">
          <cell r="C30">
            <v>3704108</v>
          </cell>
          <cell r="D30">
            <v>69360313.375</v>
          </cell>
          <cell r="E30">
            <v>979290</v>
          </cell>
          <cell r="F30">
            <v>27164893.513999995</v>
          </cell>
          <cell r="G30">
            <v>2231335</v>
          </cell>
          <cell r="H30">
            <v>100582977.44971551</v>
          </cell>
          <cell r="I30">
            <v>741513</v>
          </cell>
          <cell r="J30">
            <v>28320558.29059476</v>
          </cell>
        </row>
      </sheetData>
      <sheetData sheetId="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s>
    <sheetDataSet>
      <sheetData sheetId="0">
        <row r="10">
          <cell r="C10">
            <v>3574198</v>
          </cell>
          <cell r="D10">
            <v>658339</v>
          </cell>
          <cell r="E10">
            <v>2122881</v>
          </cell>
          <cell r="F10">
            <v>643280</v>
          </cell>
        </row>
        <row r="11">
          <cell r="C11">
            <v>67148402.440999985</v>
          </cell>
          <cell r="D11">
            <v>19018921.982999999</v>
          </cell>
          <cell r="E11">
            <v>94665676.801620424</v>
          </cell>
          <cell r="F11">
            <v>24855165.409770526</v>
          </cell>
        </row>
        <row r="12">
          <cell r="E12">
            <v>42264</v>
          </cell>
        </row>
      </sheetData>
      <sheetData sheetId="1">
        <row r="10">
          <cell r="C10">
            <v>6196</v>
          </cell>
          <cell r="D10">
            <v>1037099.17</v>
          </cell>
          <cell r="E10">
            <v>294</v>
          </cell>
          <cell r="F10">
            <v>87824.84599999999</v>
          </cell>
          <cell r="G10">
            <v>5390</v>
          </cell>
          <cell r="H10">
            <v>1917189.8289999999</v>
          </cell>
          <cell r="I10">
            <v>535</v>
          </cell>
          <cell r="J10">
            <v>196093.34899999999</v>
          </cell>
        </row>
        <row r="11">
          <cell r="C11">
            <v>16996</v>
          </cell>
          <cell r="D11">
            <v>580415.03899999999</v>
          </cell>
          <cell r="E11">
            <v>67029</v>
          </cell>
          <cell r="F11">
            <v>3260069.6039999998</v>
          </cell>
          <cell r="G11">
            <v>15660</v>
          </cell>
          <cell r="H11">
            <v>1252237.3650000002</v>
          </cell>
          <cell r="I11">
            <v>69583</v>
          </cell>
          <cell r="J11">
            <v>4685368.6670000004</v>
          </cell>
        </row>
        <row r="12">
          <cell r="C12">
            <v>778299</v>
          </cell>
          <cell r="D12">
            <v>4902034.0259999996</v>
          </cell>
          <cell r="E12">
            <v>150324</v>
          </cell>
          <cell r="F12">
            <v>2158282.3769999999</v>
          </cell>
          <cell r="G12">
            <v>343799</v>
          </cell>
          <cell r="H12">
            <v>2761863.4730000002</v>
          </cell>
          <cell r="I12">
            <v>63519</v>
          </cell>
          <cell r="J12">
            <v>1355747.851</v>
          </cell>
        </row>
        <row r="13">
          <cell r="C13">
            <v>161826</v>
          </cell>
          <cell r="D13">
            <v>3662925.1239999998</v>
          </cell>
          <cell r="E13">
            <v>7440</v>
          </cell>
          <cell r="F13">
            <v>424186.58400000003</v>
          </cell>
          <cell r="G13">
            <v>101318</v>
          </cell>
          <cell r="H13">
            <v>2943098.4720000001</v>
          </cell>
          <cell r="I13">
            <v>20339</v>
          </cell>
          <cell r="J13">
            <v>550284.24599999993</v>
          </cell>
        </row>
        <row r="14">
          <cell r="C14">
            <v>120460</v>
          </cell>
          <cell r="D14">
            <v>5362929.4119999995</v>
          </cell>
          <cell r="E14">
            <v>7043</v>
          </cell>
          <cell r="F14">
            <v>276821.75699999998</v>
          </cell>
          <cell r="G14">
            <v>194525</v>
          </cell>
          <cell r="H14">
            <v>42817399.603999995</v>
          </cell>
          <cell r="I14">
            <v>3342</v>
          </cell>
          <cell r="J14">
            <v>254027.04300000001</v>
          </cell>
        </row>
        <row r="15">
          <cell r="C15">
            <v>67646</v>
          </cell>
          <cell r="D15">
            <v>1888543.6909999999</v>
          </cell>
          <cell r="E15">
            <v>19063</v>
          </cell>
          <cell r="F15">
            <v>542578.86199999996</v>
          </cell>
          <cell r="G15">
            <v>34969</v>
          </cell>
          <cell r="H15">
            <v>2548471.8730000001</v>
          </cell>
          <cell r="I15">
            <v>9061</v>
          </cell>
          <cell r="J15">
            <v>372402.63200000004</v>
          </cell>
        </row>
        <row r="16">
          <cell r="C16">
            <v>614820</v>
          </cell>
          <cell r="D16">
            <v>5934758.4110000003</v>
          </cell>
          <cell r="E16">
            <v>45933</v>
          </cell>
          <cell r="F16">
            <v>503999.82900000003</v>
          </cell>
          <cell r="G16">
            <v>309908</v>
          </cell>
          <cell r="H16">
            <v>3415165.8341809995</v>
          </cell>
          <cell r="I16">
            <v>20567</v>
          </cell>
          <cell r="J16">
            <v>438791.82000000007</v>
          </cell>
        </row>
        <row r="17">
          <cell r="C17">
            <v>16538</v>
          </cell>
          <cell r="D17">
            <v>1831923.8840000001</v>
          </cell>
          <cell r="E17">
            <v>4168</v>
          </cell>
          <cell r="F17">
            <v>1453416.4849999999</v>
          </cell>
          <cell r="G17">
            <v>11047</v>
          </cell>
          <cell r="H17">
            <v>3288098.46</v>
          </cell>
          <cell r="I17">
            <v>24495</v>
          </cell>
          <cell r="J17">
            <v>993209.89199999999</v>
          </cell>
        </row>
        <row r="18">
          <cell r="C18">
            <v>484631</v>
          </cell>
          <cell r="D18">
            <v>9004965.5429999996</v>
          </cell>
          <cell r="E18">
            <v>29329</v>
          </cell>
          <cell r="F18">
            <v>580132.62400000007</v>
          </cell>
          <cell r="G18">
            <v>244147</v>
          </cell>
          <cell r="H18">
            <v>5277097.4610000011</v>
          </cell>
          <cell r="I18">
            <v>28637</v>
          </cell>
          <cell r="J18">
            <v>979237.255</v>
          </cell>
        </row>
        <row r="19">
          <cell r="C19">
            <v>183844</v>
          </cell>
          <cell r="D19">
            <v>4016126.889</v>
          </cell>
          <cell r="E19">
            <v>53709</v>
          </cell>
          <cell r="F19">
            <v>2394500.81</v>
          </cell>
          <cell r="G19">
            <v>86724</v>
          </cell>
          <cell r="H19">
            <v>2585748.693</v>
          </cell>
          <cell r="I19">
            <v>7986</v>
          </cell>
          <cell r="J19">
            <v>662163.97599999956</v>
          </cell>
        </row>
        <row r="20">
          <cell r="C20">
            <v>32592</v>
          </cell>
          <cell r="D20">
            <v>1460863.0589999999</v>
          </cell>
          <cell r="E20">
            <v>5783</v>
          </cell>
          <cell r="F20">
            <v>244957.30500000002</v>
          </cell>
          <cell r="G20">
            <v>24243</v>
          </cell>
          <cell r="H20">
            <v>1791264.69143941</v>
          </cell>
          <cell r="I20">
            <v>36376</v>
          </cell>
          <cell r="J20">
            <v>4276955.1849168697</v>
          </cell>
        </row>
        <row r="21">
          <cell r="C21">
            <v>15928</v>
          </cell>
          <cell r="D21">
            <v>1322138.9290000002</v>
          </cell>
          <cell r="E21">
            <v>1776</v>
          </cell>
          <cell r="F21">
            <v>43424.656999999999</v>
          </cell>
          <cell r="G21">
            <v>13315</v>
          </cell>
          <cell r="H21">
            <v>1560778.5289999999</v>
          </cell>
          <cell r="I21">
            <v>1494</v>
          </cell>
          <cell r="J21">
            <v>65550.608999999997</v>
          </cell>
        </row>
        <row r="22">
          <cell r="C22">
            <v>37726</v>
          </cell>
          <cell r="D22">
            <v>1230886.1839999999</v>
          </cell>
          <cell r="E22">
            <v>4427</v>
          </cell>
          <cell r="F22">
            <v>107471.15399999999</v>
          </cell>
          <cell r="G22">
            <v>115353</v>
          </cell>
          <cell r="H22">
            <v>3889515.375</v>
          </cell>
          <cell r="I22">
            <v>4602</v>
          </cell>
          <cell r="J22">
            <v>1832439.287</v>
          </cell>
        </row>
        <row r="23">
          <cell r="C23">
            <v>22266</v>
          </cell>
          <cell r="D23">
            <v>274242.89499999996</v>
          </cell>
          <cell r="E23">
            <v>4384</v>
          </cell>
          <cell r="F23">
            <v>71508.363999999987</v>
          </cell>
          <cell r="G23">
            <v>127616</v>
          </cell>
          <cell r="H23">
            <v>1005348.662</v>
          </cell>
          <cell r="I23">
            <v>185850</v>
          </cell>
          <cell r="J23">
            <v>5237828.6660058713</v>
          </cell>
        </row>
        <row r="24">
          <cell r="C24">
            <v>65603</v>
          </cell>
          <cell r="D24">
            <v>1512006.415</v>
          </cell>
          <cell r="E24">
            <v>2747</v>
          </cell>
          <cell r="F24">
            <v>256506.68200000003</v>
          </cell>
          <cell r="G24">
            <v>40357</v>
          </cell>
          <cell r="H24">
            <v>3447336.0410000002</v>
          </cell>
          <cell r="I24">
            <v>3075</v>
          </cell>
          <cell r="J24">
            <v>440158.11700000003</v>
          </cell>
        </row>
        <row r="25">
          <cell r="C25">
            <v>2980</v>
          </cell>
          <cell r="D25">
            <v>470522.80900000001</v>
          </cell>
          <cell r="E25">
            <v>958</v>
          </cell>
          <cell r="F25">
            <v>93000.243000000002</v>
          </cell>
          <cell r="G25">
            <v>4503</v>
          </cell>
          <cell r="H25">
            <v>1156597.8319999999</v>
          </cell>
          <cell r="I25">
            <v>61895</v>
          </cell>
          <cell r="J25">
            <v>642367.31484778982</v>
          </cell>
        </row>
        <row r="26">
          <cell r="C26">
            <v>62046</v>
          </cell>
          <cell r="D26">
            <v>979637.9</v>
          </cell>
          <cell r="E26">
            <v>33797</v>
          </cell>
          <cell r="F26">
            <v>427907.68800000002</v>
          </cell>
          <cell r="G26">
            <v>44591</v>
          </cell>
          <cell r="H26">
            <v>987447.63300000003</v>
          </cell>
          <cell r="I26">
            <v>20647</v>
          </cell>
          <cell r="J26">
            <v>423247.88999999996</v>
          </cell>
        </row>
        <row r="27">
          <cell r="C27">
            <v>17888</v>
          </cell>
          <cell r="D27">
            <v>1186152.8329999999</v>
          </cell>
          <cell r="E27">
            <v>4142</v>
          </cell>
          <cell r="F27">
            <v>235974.14300000004</v>
          </cell>
          <cell r="G27">
            <v>17987</v>
          </cell>
          <cell r="H27">
            <v>1719004.6140000001</v>
          </cell>
          <cell r="I27">
            <v>10338</v>
          </cell>
          <cell r="J27">
            <v>318987.53900000011</v>
          </cell>
        </row>
        <row r="28">
          <cell r="C28">
            <v>6016</v>
          </cell>
          <cell r="D28">
            <v>64682.565000000002</v>
          </cell>
          <cell r="E28">
            <v>806</v>
          </cell>
          <cell r="F28">
            <v>13706.198</v>
          </cell>
          <cell r="G28">
            <v>3748</v>
          </cell>
          <cell r="H28">
            <v>88684.54800000001</v>
          </cell>
          <cell r="I28">
            <v>58227</v>
          </cell>
          <cell r="J28">
            <v>464369.68700000003</v>
          </cell>
        </row>
        <row r="29">
          <cell r="C29">
            <v>859897</v>
          </cell>
          <cell r="D29">
            <v>20425547.658999998</v>
          </cell>
          <cell r="E29">
            <v>215187</v>
          </cell>
          <cell r="F29">
            <v>5842651.7659999998</v>
          </cell>
          <cell r="G29">
            <v>383681</v>
          </cell>
          <cell r="H29">
            <v>10213327.907</v>
          </cell>
          <cell r="I29">
            <v>12712</v>
          </cell>
          <cell r="J29">
            <v>665934.38</v>
          </cell>
        </row>
        <row r="30">
          <cell r="C30">
            <v>3574198</v>
          </cell>
          <cell r="D30">
            <v>67148402.436999992</v>
          </cell>
          <cell r="E30">
            <v>658339</v>
          </cell>
          <cell r="F30">
            <v>19018921.977999996</v>
          </cell>
          <cell r="G30">
            <v>2122881</v>
          </cell>
          <cell r="H30">
            <v>94665676.896620408</v>
          </cell>
          <cell r="I30">
            <v>643280</v>
          </cell>
          <cell r="J30">
            <v>24855165.405770529</v>
          </cell>
        </row>
      </sheetData>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s>
    <sheetDataSet>
      <sheetData sheetId="0">
        <row r="10">
          <cell r="C10">
            <v>3624093</v>
          </cell>
          <cell r="D10">
            <v>116036</v>
          </cell>
          <cell r="E10">
            <v>2008589</v>
          </cell>
          <cell r="F10">
            <v>265562</v>
          </cell>
        </row>
        <row r="11">
          <cell r="C11">
            <v>80436725.921000004</v>
          </cell>
          <cell r="D11">
            <v>3256431.1030000001</v>
          </cell>
          <cell r="E11">
            <v>93500462.356043756</v>
          </cell>
          <cell r="F11">
            <v>9288426.0530430935</v>
          </cell>
        </row>
        <row r="12">
          <cell r="E12">
            <v>42768</v>
          </cell>
        </row>
      </sheetData>
      <sheetData sheetId="1">
        <row r="10">
          <cell r="C10">
            <v>1574</v>
          </cell>
          <cell r="D10">
            <v>256863.15999999997</v>
          </cell>
          <cell r="E10">
            <v>39</v>
          </cell>
          <cell r="F10">
            <v>6188.701</v>
          </cell>
          <cell r="G10">
            <v>1977</v>
          </cell>
          <cell r="H10">
            <v>735751.78399999999</v>
          </cell>
          <cell r="I10">
            <v>301</v>
          </cell>
          <cell r="J10">
            <v>72152.843999999997</v>
          </cell>
        </row>
        <row r="11">
          <cell r="C11">
            <v>10565</v>
          </cell>
          <cell r="D11">
            <v>370028.79999999999</v>
          </cell>
          <cell r="E11">
            <v>9164</v>
          </cell>
          <cell r="F11">
            <v>413437.11400000006</v>
          </cell>
          <cell r="G11">
            <v>8746</v>
          </cell>
          <cell r="H11">
            <v>622372.13599999994</v>
          </cell>
          <cell r="I11">
            <v>14840</v>
          </cell>
          <cell r="J11">
            <v>2241318.85366</v>
          </cell>
        </row>
        <row r="12">
          <cell r="C12">
            <v>707755</v>
          </cell>
          <cell r="D12">
            <v>4329240.3279999997</v>
          </cell>
          <cell r="E12">
            <v>25396</v>
          </cell>
          <cell r="F12">
            <v>302913.99400000001</v>
          </cell>
          <cell r="G12">
            <v>257544</v>
          </cell>
          <cell r="H12">
            <v>1980558.0920000002</v>
          </cell>
          <cell r="I12">
            <v>43331</v>
          </cell>
          <cell r="J12">
            <v>474519.56400000013</v>
          </cell>
        </row>
        <row r="13">
          <cell r="C13">
            <v>159778</v>
          </cell>
          <cell r="D13">
            <v>3587748.1399999997</v>
          </cell>
          <cell r="E13">
            <v>2699</v>
          </cell>
          <cell r="F13">
            <v>135862.64199999999</v>
          </cell>
          <cell r="G13">
            <v>91174</v>
          </cell>
          <cell r="H13">
            <v>2585868.2820000001</v>
          </cell>
          <cell r="I13">
            <v>4166</v>
          </cell>
          <cell r="J13">
            <v>209249.38500000001</v>
          </cell>
        </row>
        <row r="14">
          <cell r="C14">
            <v>138233</v>
          </cell>
          <cell r="D14">
            <v>6000296.5159999998</v>
          </cell>
          <cell r="E14">
            <v>1679</v>
          </cell>
          <cell r="F14">
            <v>81869.11</v>
          </cell>
          <cell r="G14">
            <v>184879</v>
          </cell>
          <cell r="H14">
            <v>40875696.293000005</v>
          </cell>
          <cell r="I14">
            <v>6324</v>
          </cell>
          <cell r="J14">
            <v>496672.12500000006</v>
          </cell>
        </row>
        <row r="15">
          <cell r="C15">
            <v>78257</v>
          </cell>
          <cell r="D15">
            <v>2366080.4099999997</v>
          </cell>
          <cell r="E15">
            <v>2971</v>
          </cell>
          <cell r="F15">
            <v>91385.81700000001</v>
          </cell>
          <cell r="G15">
            <v>39271</v>
          </cell>
          <cell r="H15">
            <v>3141695.8109999998</v>
          </cell>
          <cell r="I15">
            <v>2149</v>
          </cell>
          <cell r="J15">
            <v>172031.32</v>
          </cell>
        </row>
        <row r="16">
          <cell r="C16">
            <v>761688</v>
          </cell>
          <cell r="D16">
            <v>9137958.9109999985</v>
          </cell>
          <cell r="E16">
            <v>17091</v>
          </cell>
          <cell r="F16">
            <v>240369.32699999999</v>
          </cell>
          <cell r="G16">
            <v>368763</v>
          </cell>
          <cell r="H16">
            <v>4898540.95</v>
          </cell>
          <cell r="I16">
            <v>21305</v>
          </cell>
          <cell r="J16">
            <v>393285.81300000008</v>
          </cell>
        </row>
        <row r="17">
          <cell r="C17">
            <v>19658</v>
          </cell>
          <cell r="D17">
            <v>2389420.7980000004</v>
          </cell>
          <cell r="E17">
            <v>663</v>
          </cell>
          <cell r="F17">
            <v>166222.269</v>
          </cell>
          <cell r="G17">
            <v>11208</v>
          </cell>
          <cell r="H17">
            <v>3027147.2520000003</v>
          </cell>
          <cell r="I17">
            <v>1266</v>
          </cell>
          <cell r="J17">
            <v>388117.761</v>
          </cell>
        </row>
        <row r="18">
          <cell r="C18">
            <v>565385</v>
          </cell>
          <cell r="D18">
            <v>13457148.024</v>
          </cell>
          <cell r="E18">
            <v>11323</v>
          </cell>
          <cell r="F18">
            <v>308944.50599999999</v>
          </cell>
          <cell r="G18">
            <v>262505</v>
          </cell>
          <cell r="H18">
            <v>7170613.0620000008</v>
          </cell>
          <cell r="I18">
            <v>17615</v>
          </cell>
          <cell r="J18">
            <v>529696.35399999993</v>
          </cell>
        </row>
        <row r="19">
          <cell r="C19">
            <v>142267</v>
          </cell>
          <cell r="D19">
            <v>3294870.0049999999</v>
          </cell>
          <cell r="E19">
            <v>4291</v>
          </cell>
          <cell r="F19">
            <v>221436.68900000001</v>
          </cell>
          <cell r="G19">
            <v>60834</v>
          </cell>
          <cell r="H19">
            <v>1883415.5019999999</v>
          </cell>
          <cell r="I19">
            <v>8043</v>
          </cell>
          <cell r="J19">
            <v>600486.34599999979</v>
          </cell>
        </row>
        <row r="20">
          <cell r="C20">
            <v>37538</v>
          </cell>
          <cell r="D20">
            <v>1921336.48</v>
          </cell>
          <cell r="E20">
            <v>976</v>
          </cell>
          <cell r="F20">
            <v>67394.902000000002</v>
          </cell>
          <cell r="G20">
            <v>27740</v>
          </cell>
          <cell r="H20">
            <v>2279331.6690437603</v>
          </cell>
          <cell r="I20">
            <v>1538</v>
          </cell>
          <cell r="J20">
            <v>160652.71595623999</v>
          </cell>
        </row>
        <row r="21">
          <cell r="C21">
            <v>17804</v>
          </cell>
          <cell r="D21">
            <v>1531920.6950000001</v>
          </cell>
          <cell r="E21">
            <v>383</v>
          </cell>
          <cell r="F21">
            <v>17049.416000000001</v>
          </cell>
          <cell r="G21">
            <v>14237</v>
          </cell>
          <cell r="H21">
            <v>1794570.095</v>
          </cell>
          <cell r="I21">
            <v>447</v>
          </cell>
          <cell r="J21">
            <v>40546.536</v>
          </cell>
        </row>
        <row r="22">
          <cell r="C22">
            <v>35963</v>
          </cell>
          <cell r="D22">
            <v>1169358.365</v>
          </cell>
          <cell r="E22">
            <v>1498</v>
          </cell>
          <cell r="F22">
            <v>41916.092000000004</v>
          </cell>
          <cell r="G22">
            <v>123148</v>
          </cell>
          <cell r="H22">
            <v>4236031.8689999999</v>
          </cell>
          <cell r="I22">
            <v>6145</v>
          </cell>
          <cell r="J22">
            <v>149414.72199999998</v>
          </cell>
        </row>
        <row r="23">
          <cell r="C23">
            <v>9205</v>
          </cell>
          <cell r="D23">
            <v>216188.25899999999</v>
          </cell>
          <cell r="E23">
            <v>3838</v>
          </cell>
          <cell r="F23">
            <v>39416.214999999997</v>
          </cell>
          <cell r="G23">
            <v>142001</v>
          </cell>
          <cell r="H23">
            <v>1173226.4140000001</v>
          </cell>
          <cell r="I23">
            <v>66706</v>
          </cell>
          <cell r="J23">
            <v>567177.97742685</v>
          </cell>
        </row>
        <row r="24">
          <cell r="C24">
            <v>66506</v>
          </cell>
          <cell r="D24">
            <v>1751836.45</v>
          </cell>
          <cell r="E24">
            <v>863</v>
          </cell>
          <cell r="F24">
            <v>103727.678</v>
          </cell>
          <cell r="G24">
            <v>38844</v>
          </cell>
          <cell r="H24">
            <v>3879974.7719999999</v>
          </cell>
          <cell r="I24">
            <v>1452</v>
          </cell>
          <cell r="J24">
            <v>398510.33600000001</v>
          </cell>
        </row>
        <row r="25">
          <cell r="C25">
            <v>1815</v>
          </cell>
          <cell r="D25">
            <v>228889.97700000001</v>
          </cell>
          <cell r="E25">
            <v>546</v>
          </cell>
          <cell r="F25">
            <v>36617.366999999998</v>
          </cell>
          <cell r="G25">
            <v>2488</v>
          </cell>
          <cell r="H25">
            <v>584458.978</v>
          </cell>
          <cell r="I25">
            <v>898</v>
          </cell>
          <cell r="J25">
            <v>140795.155</v>
          </cell>
        </row>
        <row r="26">
          <cell r="C26">
            <v>32864</v>
          </cell>
          <cell r="D26">
            <v>611874.78700000001</v>
          </cell>
          <cell r="E26">
            <v>4372</v>
          </cell>
          <cell r="F26">
            <v>101747.822</v>
          </cell>
          <cell r="G26">
            <v>19552</v>
          </cell>
          <cell r="H26">
            <v>447130.21100000001</v>
          </cell>
          <cell r="I26">
            <v>5176</v>
          </cell>
          <cell r="J26">
            <v>58903.409999999996</v>
          </cell>
        </row>
        <row r="27">
          <cell r="C27">
            <v>17975</v>
          </cell>
          <cell r="D27">
            <v>1342334.6229999999</v>
          </cell>
          <cell r="E27">
            <v>838</v>
          </cell>
          <cell r="F27">
            <v>66360.159</v>
          </cell>
          <cell r="G27">
            <v>18641</v>
          </cell>
          <cell r="H27">
            <v>2027490.5090000001</v>
          </cell>
          <cell r="I27">
            <v>1395</v>
          </cell>
          <cell r="J27">
            <v>152773.92299999998</v>
          </cell>
        </row>
        <row r="28">
          <cell r="C28">
            <v>6316</v>
          </cell>
          <cell r="D28">
            <v>78824.481</v>
          </cell>
          <cell r="E28">
            <v>180</v>
          </cell>
          <cell r="F28">
            <v>3607.9749999999999</v>
          </cell>
          <cell r="G28">
            <v>3348</v>
          </cell>
          <cell r="H28">
            <v>72874.573000000004</v>
          </cell>
          <cell r="I28">
            <v>153</v>
          </cell>
          <cell r="J28">
            <v>6962.9390000000003</v>
          </cell>
        </row>
        <row r="29">
          <cell r="C29">
            <v>812947</v>
          </cell>
          <cell r="D29">
            <v>26394506.685000002</v>
          </cell>
          <cell r="E29">
            <v>27226</v>
          </cell>
          <cell r="F29">
            <v>809963.26100000017</v>
          </cell>
          <cell r="G29">
            <v>331689</v>
          </cell>
          <cell r="H29">
            <v>10083713.943999998</v>
          </cell>
          <cell r="I29">
            <v>62312</v>
          </cell>
          <cell r="J29">
            <v>2035157.9550000001</v>
          </cell>
        </row>
        <row r="30">
          <cell r="C30">
            <v>3624093</v>
          </cell>
          <cell r="D30">
            <v>80436725.894000009</v>
          </cell>
          <cell r="E30">
            <v>116036</v>
          </cell>
          <cell r="F30">
            <v>3256431.0560000008</v>
          </cell>
          <cell r="G30">
            <v>2008589</v>
          </cell>
          <cell r="H30">
            <v>93500462.198043764</v>
          </cell>
          <cell r="I30">
            <v>265562</v>
          </cell>
          <cell r="J30">
            <v>9288426.0350430924</v>
          </cell>
        </row>
      </sheetData>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OS"/>
      <sheetName val="POS by sector "/>
      <sheetName val="POS by country"/>
    </sheetNames>
    <sheetDataSet>
      <sheetData sheetId="0">
        <row r="10">
          <cell r="C10">
            <v>3132659</v>
          </cell>
          <cell r="D10">
            <v>62922</v>
          </cell>
          <cell r="E10">
            <v>1539336</v>
          </cell>
          <cell r="F10">
            <v>205209</v>
          </cell>
        </row>
        <row r="11">
          <cell r="C11">
            <v>66988945.319999993</v>
          </cell>
          <cell r="D11">
            <v>1687947.0290000001</v>
          </cell>
          <cell r="E11">
            <v>65979975.181620419</v>
          </cell>
          <cell r="F11">
            <v>7535563.3047705246</v>
          </cell>
        </row>
        <row r="12">
          <cell r="E12">
            <v>42397</v>
          </cell>
        </row>
      </sheetData>
      <sheetData sheetId="1">
        <row r="10">
          <cell r="C10">
            <v>2099</v>
          </cell>
          <cell r="D10">
            <v>551285.47900000005</v>
          </cell>
          <cell r="E10">
            <v>60</v>
          </cell>
          <cell r="F10">
            <v>30569.495999999999</v>
          </cell>
          <cell r="G10">
            <v>2956</v>
          </cell>
          <cell r="H10">
            <v>1556967.9310000001</v>
          </cell>
          <cell r="I10">
            <v>254</v>
          </cell>
          <cell r="J10">
            <v>118804.53</v>
          </cell>
        </row>
        <row r="11">
          <cell r="C11">
            <v>4553</v>
          </cell>
          <cell r="D11">
            <v>236389.69699999999</v>
          </cell>
          <cell r="E11">
            <v>1214</v>
          </cell>
          <cell r="F11">
            <v>89149.038</v>
          </cell>
          <cell r="G11">
            <v>3746</v>
          </cell>
          <cell r="H11">
            <v>437785.78700000013</v>
          </cell>
          <cell r="I11">
            <v>11718</v>
          </cell>
          <cell r="J11">
            <v>2008813.2780000004</v>
          </cell>
        </row>
        <row r="12">
          <cell r="C12">
            <v>549462</v>
          </cell>
          <cell r="D12">
            <v>3122671.7760000001</v>
          </cell>
          <cell r="E12">
            <v>7657</v>
          </cell>
          <cell r="F12">
            <v>57807.353999999999</v>
          </cell>
          <cell r="G12">
            <v>148685</v>
          </cell>
          <cell r="H12">
            <v>1155167.0290000001</v>
          </cell>
          <cell r="I12">
            <v>26202</v>
          </cell>
          <cell r="J12">
            <v>429186.66300000006</v>
          </cell>
        </row>
        <row r="13">
          <cell r="C13">
            <v>129718</v>
          </cell>
          <cell r="D13">
            <v>2662635.6949999998</v>
          </cell>
          <cell r="E13">
            <v>1851</v>
          </cell>
          <cell r="F13">
            <v>63022.358</v>
          </cell>
          <cell r="G13">
            <v>64878</v>
          </cell>
          <cell r="H13">
            <v>1650148.3529999999</v>
          </cell>
          <cell r="I13">
            <v>2935</v>
          </cell>
          <cell r="J13">
            <v>124577.64199999999</v>
          </cell>
        </row>
        <row r="14">
          <cell r="C14">
            <v>154848</v>
          </cell>
          <cell r="D14">
            <v>6136701.0580000002</v>
          </cell>
          <cell r="E14">
            <v>442</v>
          </cell>
          <cell r="F14">
            <v>20022.64</v>
          </cell>
          <cell r="G14">
            <v>136141</v>
          </cell>
          <cell r="H14">
            <v>26126823.658999998</v>
          </cell>
          <cell r="I14">
            <v>3339</v>
          </cell>
          <cell r="J14">
            <v>305090.391</v>
          </cell>
        </row>
        <row r="15">
          <cell r="C15">
            <v>74855</v>
          </cell>
          <cell r="D15">
            <v>2112087.5980000002</v>
          </cell>
          <cell r="E15">
            <v>1359</v>
          </cell>
          <cell r="F15">
            <v>46515.906999999999</v>
          </cell>
          <cell r="G15">
            <v>30588</v>
          </cell>
          <cell r="H15">
            <v>2292667.5550000002</v>
          </cell>
          <cell r="I15">
            <v>1268</v>
          </cell>
          <cell r="J15">
            <v>167794.36800000002</v>
          </cell>
        </row>
        <row r="16">
          <cell r="C16">
            <v>762083</v>
          </cell>
          <cell r="D16">
            <v>8934834.5120000001</v>
          </cell>
          <cell r="E16">
            <v>13116</v>
          </cell>
          <cell r="F16">
            <v>171710.06700000001</v>
          </cell>
          <cell r="G16">
            <v>329867</v>
          </cell>
          <cell r="H16">
            <v>4236833.246181</v>
          </cell>
          <cell r="I16">
            <v>19004</v>
          </cell>
          <cell r="J16">
            <v>358736.09700000007</v>
          </cell>
        </row>
        <row r="17">
          <cell r="C17">
            <v>5794</v>
          </cell>
          <cell r="D17">
            <v>825031.91200000001</v>
          </cell>
          <cell r="E17">
            <v>195</v>
          </cell>
          <cell r="F17">
            <v>53703.758000000002</v>
          </cell>
          <cell r="G17">
            <v>3393</v>
          </cell>
          <cell r="H17">
            <v>1356801.1349999998</v>
          </cell>
          <cell r="I17">
            <v>642</v>
          </cell>
          <cell r="J17">
            <v>275770.28300000005</v>
          </cell>
        </row>
        <row r="18">
          <cell r="C18">
            <v>590120</v>
          </cell>
          <cell r="D18">
            <v>13910680.541999999</v>
          </cell>
          <cell r="E18">
            <v>9548</v>
          </cell>
          <cell r="F18">
            <v>276804.65299999999</v>
          </cell>
          <cell r="G18">
            <v>229682</v>
          </cell>
          <cell r="H18">
            <v>6126540.6869999999</v>
          </cell>
          <cell r="I18">
            <v>15217</v>
          </cell>
          <cell r="J18">
            <v>477493.10200000001</v>
          </cell>
        </row>
        <row r="19">
          <cell r="C19">
            <v>105297</v>
          </cell>
          <cell r="D19">
            <v>2470398.2489999998</v>
          </cell>
          <cell r="E19">
            <v>1848</v>
          </cell>
          <cell r="F19">
            <v>108677.14099999999</v>
          </cell>
          <cell r="G19">
            <v>41629</v>
          </cell>
          <cell r="H19">
            <v>1337329.3489999999</v>
          </cell>
          <cell r="I19">
            <v>5651</v>
          </cell>
          <cell r="J19">
            <v>407174.26499999961</v>
          </cell>
        </row>
        <row r="20">
          <cell r="C20">
            <v>28000</v>
          </cell>
          <cell r="D20">
            <v>1393237.905</v>
          </cell>
          <cell r="E20">
            <v>446</v>
          </cell>
          <cell r="F20">
            <v>48155.512999999999</v>
          </cell>
          <cell r="G20">
            <v>19263</v>
          </cell>
          <cell r="H20">
            <v>1575919.1544394102</v>
          </cell>
          <cell r="I20">
            <v>1087</v>
          </cell>
          <cell r="J20">
            <v>119604.06191687001</v>
          </cell>
        </row>
        <row r="21">
          <cell r="C21">
            <v>15048</v>
          </cell>
          <cell r="D21">
            <v>1339232.4419999998</v>
          </cell>
          <cell r="E21">
            <v>67</v>
          </cell>
          <cell r="F21">
            <v>6681.5</v>
          </cell>
          <cell r="G21">
            <v>10712</v>
          </cell>
          <cell r="H21">
            <v>1341527.723</v>
          </cell>
          <cell r="I21">
            <v>299</v>
          </cell>
          <cell r="J21">
            <v>31539.924000000003</v>
          </cell>
        </row>
        <row r="22">
          <cell r="C22">
            <v>22128</v>
          </cell>
          <cell r="D22">
            <v>768166.04799999995</v>
          </cell>
          <cell r="E22">
            <v>1013</v>
          </cell>
          <cell r="F22">
            <v>30380.802</v>
          </cell>
          <cell r="G22">
            <v>112756</v>
          </cell>
          <cell r="H22">
            <v>3909041.0559999999</v>
          </cell>
          <cell r="I22">
            <v>5535</v>
          </cell>
          <cell r="J22">
            <v>155180.15100000001</v>
          </cell>
        </row>
        <row r="23">
          <cell r="C23">
            <v>7309</v>
          </cell>
          <cell r="D23">
            <v>214346.52100000001</v>
          </cell>
          <cell r="E23">
            <v>6260</v>
          </cell>
          <cell r="F23">
            <v>52721.944999999992</v>
          </cell>
          <cell r="G23">
            <v>137561</v>
          </cell>
          <cell r="H23">
            <v>1216687.8640000001</v>
          </cell>
          <cell r="I23">
            <v>77828</v>
          </cell>
          <cell r="J23">
            <v>617610.92900587013</v>
          </cell>
        </row>
        <row r="24">
          <cell r="C24">
            <v>64789</v>
          </cell>
          <cell r="D24">
            <v>1401280.8629999999</v>
          </cell>
          <cell r="E24">
            <v>482</v>
          </cell>
          <cell r="F24">
            <v>42851.422999999995</v>
          </cell>
          <cell r="G24">
            <v>31778</v>
          </cell>
          <cell r="H24">
            <v>2352574.0390000003</v>
          </cell>
          <cell r="I24">
            <v>1185</v>
          </cell>
          <cell r="J24">
            <v>258351.609</v>
          </cell>
        </row>
        <row r="25">
          <cell r="C25">
            <v>2237</v>
          </cell>
          <cell r="D25">
            <v>55630.414999999994</v>
          </cell>
          <cell r="E25">
            <v>351</v>
          </cell>
          <cell r="F25">
            <v>11149.069</v>
          </cell>
          <cell r="G25">
            <v>1042</v>
          </cell>
          <cell r="H25">
            <v>222499.27299999999</v>
          </cell>
          <cell r="I25">
            <v>461</v>
          </cell>
          <cell r="J25">
            <v>77308.016847789986</v>
          </cell>
        </row>
        <row r="26">
          <cell r="C26">
            <v>9289</v>
          </cell>
          <cell r="D26">
            <v>239193.56400000001</v>
          </cell>
          <cell r="E26">
            <v>1905</v>
          </cell>
          <cell r="F26">
            <v>53445.583000000006</v>
          </cell>
          <cell r="G26">
            <v>4051</v>
          </cell>
          <cell r="H26">
            <v>249407.603</v>
          </cell>
          <cell r="I26">
            <v>2457</v>
          </cell>
          <cell r="J26">
            <v>105899.311</v>
          </cell>
        </row>
        <row r="27">
          <cell r="C27">
            <v>15180</v>
          </cell>
          <cell r="D27">
            <v>1076343.0629999998</v>
          </cell>
          <cell r="E27">
            <v>450</v>
          </cell>
          <cell r="F27">
            <v>36255.133000000002</v>
          </cell>
          <cell r="G27">
            <v>16381</v>
          </cell>
          <cell r="H27">
            <v>1628640.5459999999</v>
          </cell>
          <cell r="I27">
            <v>955</v>
          </cell>
          <cell r="J27">
            <v>148637.20900000003</v>
          </cell>
        </row>
        <row r="28">
          <cell r="C28">
            <v>6761</v>
          </cell>
          <cell r="D28">
            <v>64094.798000000003</v>
          </cell>
          <cell r="E28">
            <v>135</v>
          </cell>
          <cell r="F28">
            <v>2494.63</v>
          </cell>
          <cell r="G28">
            <v>2541</v>
          </cell>
          <cell r="H28">
            <v>48962.612999999998</v>
          </cell>
          <cell r="I28">
            <v>191</v>
          </cell>
          <cell r="J28">
            <v>11411.262000000002</v>
          </cell>
        </row>
        <row r="29">
          <cell r="C29">
            <v>583089</v>
          </cell>
          <cell r="D29">
            <v>19474703.183000002</v>
          </cell>
          <cell r="E29">
            <v>14523</v>
          </cell>
          <cell r="F29">
            <v>485829.01900000003</v>
          </cell>
          <cell r="G29">
            <v>211686</v>
          </cell>
          <cell r="H29">
            <v>7157650.5790000008</v>
          </cell>
          <cell r="I29">
            <v>28981</v>
          </cell>
          <cell r="J29">
            <v>1336580.2260000003</v>
          </cell>
        </row>
        <row r="30">
          <cell r="C30">
            <v>3132659</v>
          </cell>
          <cell r="D30">
            <v>66988945.319999993</v>
          </cell>
          <cell r="E30">
            <v>62922</v>
          </cell>
          <cell r="F30">
            <v>1687947.0289999999</v>
          </cell>
          <cell r="G30">
            <v>1539336</v>
          </cell>
          <cell r="H30">
            <v>65979975.181620404</v>
          </cell>
          <cell r="I30">
            <v>205209</v>
          </cell>
          <cell r="J30">
            <v>7535563.3187705297</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ow r="14">
          <cell r="C14">
            <v>16.787814359000002</v>
          </cell>
          <cell r="D14">
            <v>88.580000000000013</v>
          </cell>
        </row>
        <row r="18">
          <cell r="C18">
            <v>207.25974718499998</v>
          </cell>
          <cell r="D18">
            <v>787.10001566099993</v>
          </cell>
        </row>
        <row r="23">
          <cell r="C23">
            <v>1247.3044959299912</v>
          </cell>
          <cell r="D23">
            <v>221.09149041700002</v>
          </cell>
        </row>
        <row r="24">
          <cell r="C24">
            <v>676.92427506899992</v>
          </cell>
          <cell r="D24">
            <v>99.515740788000002</v>
          </cell>
        </row>
        <row r="25">
          <cell r="C25">
            <v>147.94727459130002</v>
          </cell>
          <cell r="D25">
            <v>447.82465237481676</v>
          </cell>
        </row>
        <row r="26">
          <cell r="C26">
            <v>227.12630203600003</v>
          </cell>
          <cell r="D26">
            <v>194.75277925346003</v>
          </cell>
        </row>
        <row r="27">
          <cell r="C27">
            <v>2464.6888595637784</v>
          </cell>
          <cell r="D27">
            <v>1273.8386608336575</v>
          </cell>
        </row>
        <row r="28">
          <cell r="C28">
            <v>5212.8493006353528</v>
          </cell>
          <cell r="D28">
            <v>1048.2904084455201</v>
          </cell>
        </row>
        <row r="29">
          <cell r="C29">
            <v>230.90283590500002</v>
          </cell>
          <cell r="D29">
            <v>30.189999999999998</v>
          </cell>
        </row>
        <row r="30">
          <cell r="C30">
            <v>0</v>
          </cell>
          <cell r="D30">
            <v>6.8</v>
          </cell>
        </row>
        <row r="31">
          <cell r="C31">
            <v>1E-3</v>
          </cell>
          <cell r="D31">
            <v>9.0239999999999991</v>
          </cell>
        </row>
        <row r="33">
          <cell r="C33">
            <v>216.7240508448794</v>
          </cell>
          <cell r="D33">
            <v>47.887860003574382</v>
          </cell>
        </row>
        <row r="34">
          <cell r="C34">
            <v>1578.4231074379993</v>
          </cell>
          <cell r="D34">
            <v>405.16500007554009</v>
          </cell>
        </row>
        <row r="36">
          <cell r="C36">
            <v>1079.7685223109568</v>
          </cell>
          <cell r="D36">
            <v>91.563549992849104</v>
          </cell>
        </row>
        <row r="37">
          <cell r="C37">
            <v>319.37208676082844</v>
          </cell>
          <cell r="D37">
            <v>398.41235624457261</v>
          </cell>
        </row>
        <row r="38">
          <cell r="C38">
            <v>13626.081038494722</v>
          </cell>
          <cell r="D38">
            <v>5150.0365140899903</v>
          </cell>
          <cell r="E38">
            <v>710.37138757459275</v>
          </cell>
          <cell r="F38">
            <v>9537.4910190727569</v>
          </cell>
          <cell r="G38">
            <v>571.25900589664241</v>
          </cell>
          <cell r="H38">
            <v>5244.7196569070138</v>
          </cell>
          <cell r="I38">
            <v>34839.958622035723</v>
          </cell>
        </row>
        <row r="40">
          <cell r="I40">
            <v>6643.7732920497756</v>
          </cell>
        </row>
        <row r="68">
          <cell r="C68">
            <v>138.64605860358043</v>
          </cell>
          <cell r="D68">
            <v>4.4576378737042708</v>
          </cell>
        </row>
        <row r="69">
          <cell r="C69">
            <v>1382.1732290223199</v>
          </cell>
          <cell r="D69">
            <v>2.0000001E-2</v>
          </cell>
        </row>
        <row r="72">
          <cell r="C72">
            <v>383.12062188602943</v>
          </cell>
          <cell r="D72">
            <v>497.1345065329445</v>
          </cell>
        </row>
        <row r="76">
          <cell r="C76">
            <v>7863.8010014641359</v>
          </cell>
          <cell r="D76">
            <v>1966.0801457543589</v>
          </cell>
        </row>
        <row r="77">
          <cell r="C77">
            <v>247.83593729900005</v>
          </cell>
          <cell r="D77">
            <v>40.033056485999992</v>
          </cell>
        </row>
        <row r="78">
          <cell r="C78">
            <v>0</v>
          </cell>
          <cell r="D78">
            <v>0</v>
          </cell>
        </row>
        <row r="79">
          <cell r="C79">
            <v>99.987089667335951</v>
          </cell>
          <cell r="D79">
            <v>139.92727913378846</v>
          </cell>
        </row>
        <row r="80">
          <cell r="C80">
            <v>7.1980933870000001</v>
          </cell>
          <cell r="D80">
            <v>465.06022469800001</v>
          </cell>
        </row>
        <row r="81">
          <cell r="C81">
            <v>2827.4930984573311</v>
          </cell>
          <cell r="D81">
            <v>1005.0490462646026</v>
          </cell>
        </row>
        <row r="82">
          <cell r="C82">
            <v>4575.2867826534693</v>
          </cell>
          <cell r="D82">
            <v>292.31053917196812</v>
          </cell>
        </row>
        <row r="83">
          <cell r="C83">
            <v>105.99999999999997</v>
          </cell>
          <cell r="D83">
            <v>23.7</v>
          </cell>
        </row>
        <row r="84">
          <cell r="E84">
            <v>-5.3400000000000321E-11</v>
          </cell>
          <cell r="F84">
            <v>2970.036307399349</v>
          </cell>
          <cell r="G84">
            <v>1.526184258</v>
          </cell>
          <cell r="H84">
            <v>2287.7556561718206</v>
          </cell>
        </row>
        <row r="86">
          <cell r="C86">
            <v>3996.8947187760004</v>
          </cell>
          <cell r="D86">
            <v>1228.6775799258103</v>
          </cell>
        </row>
        <row r="89">
          <cell r="C89">
            <v>4.8774656999999721E-2</v>
          </cell>
          <cell r="D89">
            <v>148.23605020724</v>
          </cell>
        </row>
        <row r="92">
          <cell r="C92">
            <v>353.29992837000003</v>
          </cell>
          <cell r="D92">
            <v>49.878561193000003</v>
          </cell>
        </row>
        <row r="93">
          <cell r="C93">
            <v>0.10200000000000001</v>
          </cell>
          <cell r="D93">
            <v>31.804217389999998</v>
          </cell>
        </row>
        <row r="95">
          <cell r="C95">
            <v>121.81522805322999</v>
          </cell>
          <cell r="D95">
            <v>855.746967702245</v>
          </cell>
        </row>
        <row r="96">
          <cell r="C96">
            <v>135.6019911880197</v>
          </cell>
          <cell r="D96">
            <v>11.257606964348188</v>
          </cell>
        </row>
        <row r="97">
          <cell r="C97">
            <v>542.99411554440189</v>
          </cell>
          <cell r="D97">
            <v>179.9684897350507</v>
          </cell>
        </row>
        <row r="98">
          <cell r="C98">
            <v>14918.478905661883</v>
          </cell>
          <cell r="D98">
            <v>4973.2617632797019</v>
          </cell>
          <cell r="E98">
            <v>336.94350842245746</v>
          </cell>
          <cell r="F98">
            <v>8359.2081498544449</v>
          </cell>
          <cell r="G98">
            <v>60.543896613999998</v>
          </cell>
          <cell r="H98">
            <v>6191.5125809661167</v>
          </cell>
          <cell r="I98">
            <v>34839.948804798609</v>
          </cell>
        </row>
        <row r="100">
          <cell r="I100">
            <v>6640.5385695757768</v>
          </cell>
        </row>
      </sheetData>
      <sheetData sheetId="1">
        <row r="15">
          <cell r="C15">
            <v>768.08707299500009</v>
          </cell>
          <cell r="D15">
            <v>659.60654740399991</v>
          </cell>
          <cell r="E15">
            <v>147.9569846963</v>
          </cell>
          <cell r="F15">
            <v>227.01541167100001</v>
          </cell>
          <cell r="G15">
            <v>2450.9767315297786</v>
          </cell>
          <cell r="H15">
            <v>5430.1071705336144</v>
          </cell>
          <cell r="I15">
            <v>9683.7499188296933</v>
          </cell>
          <cell r="K15">
            <v>196.62598368325001</v>
          </cell>
        </row>
        <row r="16">
          <cell r="E16">
            <v>79.4485640913</v>
          </cell>
          <cell r="F16">
            <v>33.116157127000001</v>
          </cell>
          <cell r="G16">
            <v>1159.9477731507786</v>
          </cell>
          <cell r="H16">
            <v>745.71065791838771</v>
          </cell>
        </row>
        <row r="17">
          <cell r="E17">
            <v>4.1730567489999997</v>
          </cell>
          <cell r="F17">
            <v>61.344002279999998</v>
          </cell>
          <cell r="G17">
            <v>245.66799068799997</v>
          </cell>
          <cell r="H17">
            <v>2720.4807319020279</v>
          </cell>
        </row>
        <row r="18">
          <cell r="E18">
            <v>64.335363856000001</v>
          </cell>
          <cell r="F18">
            <v>132.55525226400002</v>
          </cell>
          <cell r="G18">
            <v>1045.3909676909998</v>
          </cell>
          <cell r="H18">
            <v>1945.2157807131998</v>
          </cell>
        </row>
        <row r="19">
          <cell r="E19">
            <v>0</v>
          </cell>
          <cell r="F19">
            <v>0</v>
          </cell>
          <cell r="G19">
            <v>0</v>
          </cell>
          <cell r="H19">
            <v>18.7</v>
          </cell>
        </row>
        <row r="20">
          <cell r="I20">
            <v>0</v>
          </cell>
        </row>
        <row r="21">
          <cell r="I21">
            <v>523.97454652872727</v>
          </cell>
        </row>
        <row r="23">
          <cell r="C23">
            <v>221.14846483499997</v>
          </cell>
          <cell r="D23">
            <v>99.468766369999997</v>
          </cell>
          <cell r="E23">
            <v>447.81488437481687</v>
          </cell>
          <cell r="F23">
            <v>192.97807925346001</v>
          </cell>
          <cell r="G23">
            <v>1264.7662704196262</v>
          </cell>
          <cell r="H23">
            <v>1078.3675024861498</v>
          </cell>
          <cell r="I23">
            <v>3304.5439677390523</v>
          </cell>
          <cell r="K23">
            <v>4336.0887238313153</v>
          </cell>
        </row>
        <row r="24">
          <cell r="E24">
            <v>85.713180824826992</v>
          </cell>
          <cell r="F24">
            <v>160.21063297946003</v>
          </cell>
          <cell r="G24">
            <v>473.10667174520381</v>
          </cell>
          <cell r="H24">
            <v>105.85377338455973</v>
          </cell>
        </row>
        <row r="25">
          <cell r="E25">
            <v>0.39181546599999995</v>
          </cell>
          <cell r="F25">
            <v>9.0117131649999997</v>
          </cell>
          <cell r="G25">
            <v>30.490123901</v>
          </cell>
          <cell r="H25">
            <v>168.11841220699989</v>
          </cell>
        </row>
        <row r="26">
          <cell r="E26">
            <v>361.70988808398977</v>
          </cell>
          <cell r="F26">
            <v>23.755733108999998</v>
          </cell>
          <cell r="G26">
            <v>761.16947477342205</v>
          </cell>
          <cell r="H26">
            <v>804.39531689459022</v>
          </cell>
        </row>
        <row r="27">
          <cell r="E27">
            <v>0</v>
          </cell>
          <cell r="F27">
            <v>0</v>
          </cell>
          <cell r="G27">
            <v>0</v>
          </cell>
          <cell r="H27">
            <v>0</v>
          </cell>
        </row>
        <row r="28">
          <cell r="I28">
            <v>0</v>
          </cell>
        </row>
        <row r="29">
          <cell r="I29">
            <v>10.984</v>
          </cell>
        </row>
      </sheetData>
      <sheetData sheetId="2">
        <row r="16">
          <cell r="N16">
            <v>28976.84824002668</v>
          </cell>
          <cell r="AA16">
            <v>28737.932979948215</v>
          </cell>
        </row>
        <row r="17">
          <cell r="B17">
            <v>978.94249352872691</v>
          </cell>
          <cell r="C17">
            <v>55.08226290641079</v>
          </cell>
          <cell r="D17">
            <v>0</v>
          </cell>
          <cell r="E17">
            <v>8.7283471041923111</v>
          </cell>
          <cell r="F17">
            <v>0</v>
          </cell>
          <cell r="G17">
            <v>1645.7929322141426</v>
          </cell>
          <cell r="H17">
            <v>4137.493059848699</v>
          </cell>
          <cell r="I17">
            <v>246.14154032109474</v>
          </cell>
          <cell r="J17">
            <v>9.195453260999999</v>
          </cell>
          <cell r="K17">
            <v>121.56975403085644</v>
          </cell>
          <cell r="L17">
            <v>1.1296685059999998</v>
          </cell>
          <cell r="M17">
            <v>11571.994670771184</v>
          </cell>
          <cell r="N17">
            <v>18776.070182492305</v>
          </cell>
          <cell r="O17">
            <v>810.46109057877288</v>
          </cell>
          <cell r="P17">
            <v>34.536544708184515</v>
          </cell>
          <cell r="Q17">
            <v>1.2228589999999967E-3</v>
          </cell>
          <cell r="R17">
            <v>4.8612965611312573</v>
          </cell>
          <cell r="S17">
            <v>0</v>
          </cell>
          <cell r="T17">
            <v>2267.063194686848</v>
          </cell>
          <cell r="U17">
            <v>4323.6972307454298</v>
          </cell>
          <cell r="V17">
            <v>95.967925782442833</v>
          </cell>
          <cell r="W17">
            <v>27.188881950000003</v>
          </cell>
          <cell r="X17">
            <v>27.689914327797297</v>
          </cell>
          <cell r="Y17">
            <v>2.8528328200000002</v>
          </cell>
          <cell r="Z17">
            <v>12297.614999870482</v>
          </cell>
          <cell r="AA17">
            <v>19891.907000167088</v>
          </cell>
        </row>
        <row r="23">
          <cell r="N23">
            <v>1205.7560861361753</v>
          </cell>
          <cell r="AA23">
            <v>985.41410302189854</v>
          </cell>
        </row>
        <row r="36">
          <cell r="N36">
            <v>1674.3240853714965</v>
          </cell>
          <cell r="AA36">
            <v>1741.8016565131804</v>
          </cell>
        </row>
        <row r="76">
          <cell r="N76">
            <v>13.286890808999999</v>
          </cell>
          <cell r="AA76">
            <v>168.04274740270591</v>
          </cell>
        </row>
        <row r="82">
          <cell r="N82">
            <v>2193.0613592256295</v>
          </cell>
          <cell r="AA82">
            <v>1699.5529080903607</v>
          </cell>
        </row>
        <row r="103">
          <cell r="N103">
            <v>6.9749184580000012</v>
          </cell>
          <cell r="AA103">
            <v>107.985</v>
          </cell>
        </row>
        <row r="131">
          <cell r="N131">
            <v>688.63935472351557</v>
          </cell>
          <cell r="AA131">
            <v>1347.3799884877251</v>
          </cell>
        </row>
        <row r="146">
          <cell r="N146">
            <v>1.9308929829000001</v>
          </cell>
          <cell r="AA146">
            <v>51.908987101974304</v>
          </cell>
        </row>
        <row r="149">
          <cell r="N149">
            <v>79.136557604000004</v>
          </cell>
          <cell r="AA149">
            <v>0</v>
          </cell>
        </row>
        <row r="152">
          <cell r="B152">
            <v>7517.3487274294375</v>
          </cell>
          <cell r="C152">
            <v>635.77805860241074</v>
          </cell>
          <cell r="D152">
            <v>24.969322066</v>
          </cell>
          <cell r="E152">
            <v>284.93448713219237</v>
          </cell>
          <cell r="F152">
            <v>18.001998</v>
          </cell>
          <cell r="G152">
            <v>4366.6698157171113</v>
          </cell>
          <cell r="H152">
            <v>8486.0306325757774</v>
          </cell>
          <cell r="I152">
            <v>793.68836122709479</v>
          </cell>
          <cell r="J152">
            <v>11.695453260999999</v>
          </cell>
          <cell r="K152">
            <v>193.72561408664794</v>
          </cell>
          <cell r="L152">
            <v>1.1306685059999999</v>
          </cell>
          <cell r="M152">
            <v>12505.977197071723</v>
          </cell>
          <cell r="O152">
            <v>3906.3402744658706</v>
          </cell>
          <cell r="P152">
            <v>397.63605879219568</v>
          </cell>
          <cell r="Q152">
            <v>8.5233997423137886</v>
          </cell>
          <cell r="R152">
            <v>159.4370812235594</v>
          </cell>
          <cell r="S152">
            <v>0.65139620322209812</v>
          </cell>
          <cell r="T152">
            <v>3552.634458333438</v>
          </cell>
          <cell r="U152">
            <v>11823.396467514309</v>
          </cell>
          <cell r="V152">
            <v>562.53531917758403</v>
          </cell>
          <cell r="W152">
            <v>28.544913710000003</v>
          </cell>
          <cell r="X152">
            <v>440.10097835619604</v>
          </cell>
          <cell r="Y152">
            <v>33.761549819999999</v>
          </cell>
          <cell r="Z152">
            <v>13926.47960795037</v>
          </cell>
          <cell r="AA152">
            <v>34840.01837056606</v>
          </cell>
        </row>
      </sheetData>
      <sheetData sheetId="3">
        <row r="14">
          <cell r="D14">
            <v>14907.715281337969</v>
          </cell>
          <cell r="G14">
            <v>15316.040831239196</v>
          </cell>
        </row>
        <row r="16">
          <cell r="D16">
            <v>15376.304407717975</v>
          </cell>
          <cell r="G16">
            <v>15215.261087641622</v>
          </cell>
        </row>
        <row r="17">
          <cell r="D17">
            <v>478.674533202931</v>
          </cell>
          <cell r="G17">
            <v>602.13905957975555</v>
          </cell>
        </row>
        <row r="18">
          <cell r="D18">
            <v>36.665916397999993</v>
          </cell>
          <cell r="G18">
            <v>37.3676645763138</v>
          </cell>
        </row>
        <row r="19">
          <cell r="D19">
            <v>19.132666506000003</v>
          </cell>
          <cell r="G19">
            <v>34.245642351770407</v>
          </cell>
        </row>
        <row r="20">
          <cell r="D20">
            <v>1429.6978606481998</v>
          </cell>
          <cell r="G20">
            <v>960.09758433299112</v>
          </cell>
        </row>
        <row r="21">
          <cell r="D21">
            <v>815.94039910712411</v>
          </cell>
          <cell r="G21">
            <v>200.98429685471328</v>
          </cell>
        </row>
        <row r="22">
          <cell r="D22">
            <v>1711.2454804875301</v>
          </cell>
          <cell r="G22">
            <v>2167.65227262703</v>
          </cell>
        </row>
        <row r="23">
          <cell r="D23">
            <v>64.578390261999886</v>
          </cell>
          <cell r="G23">
            <v>306.20961412040259</v>
          </cell>
        </row>
        <row r="24">
          <cell r="G24">
            <v>34839.994155449793</v>
          </cell>
        </row>
      </sheetData>
      <sheetData sheetId="4">
        <row r="10">
          <cell r="D10">
            <v>5205.0376479224733</v>
          </cell>
        </row>
        <row r="11">
          <cell r="D11">
            <v>5.9498475898272218</v>
          </cell>
        </row>
        <row r="12">
          <cell r="D12">
            <v>53.099999999999994</v>
          </cell>
        </row>
        <row r="15">
          <cell r="D15">
            <v>1850.9048172590101</v>
          </cell>
        </row>
        <row r="20">
          <cell r="D20">
            <v>1083.9463801019886</v>
          </cell>
        </row>
        <row r="29">
          <cell r="D29">
            <v>1133.4248571228991</v>
          </cell>
        </row>
        <row r="37">
          <cell r="D37">
            <v>239.96047162426714</v>
          </cell>
        </row>
        <row r="42">
          <cell r="D42">
            <v>837.7512742244802</v>
          </cell>
        </row>
        <row r="43">
          <cell r="D43">
            <v>123.34447518189124</v>
          </cell>
        </row>
        <row r="45">
          <cell r="D45">
            <v>144.20465686974967</v>
          </cell>
        </row>
        <row r="48">
          <cell r="D48">
            <v>4336.8678446401063</v>
          </cell>
        </row>
        <row r="49">
          <cell r="D49">
            <v>1902.815798720784</v>
          </cell>
        </row>
        <row r="50">
          <cell r="D50">
            <v>92.390915291943585</v>
          </cell>
        </row>
        <row r="51">
          <cell r="D51">
            <v>174.93070281074029</v>
          </cell>
        </row>
        <row r="52">
          <cell r="D52">
            <v>1531.8286641217137</v>
          </cell>
        </row>
        <row r="53">
          <cell r="D53">
            <v>96.335603402101029</v>
          </cell>
        </row>
        <row r="54">
          <cell r="D54">
            <v>538.56616029282418</v>
          </cell>
        </row>
        <row r="55">
          <cell r="D55">
            <v>287.92335072790252</v>
          </cell>
        </row>
        <row r="58">
          <cell r="D58">
            <v>9829.828843290481</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75"/>
  <sheetViews>
    <sheetView topLeftCell="A49" zoomScale="75" zoomScaleNormal="75" workbookViewId="0">
      <selection activeCell="A49" sqref="A1:XFD1048576"/>
    </sheetView>
  </sheetViews>
  <sheetFormatPr defaultColWidth="7.85546875" defaultRowHeight="13.5"/>
  <cols>
    <col min="1" max="1" width="2.28515625" style="1110" customWidth="1"/>
    <col min="2" max="2" width="76.7109375" style="1110" customWidth="1"/>
    <col min="3" max="3" width="3.7109375" style="1110" customWidth="1"/>
    <col min="4" max="4" width="5.7109375" style="1110" customWidth="1"/>
    <col min="5" max="5" width="3.85546875" style="1110" customWidth="1"/>
    <col min="6" max="6" width="76.85546875" style="1110" customWidth="1"/>
    <col min="7" max="7" width="2.28515625" style="1110" customWidth="1"/>
    <col min="8" max="16384" width="7.85546875" style="1110"/>
  </cols>
  <sheetData>
    <row r="1" spans="1:7" ht="21.2" customHeight="1" thickBot="1"/>
    <row r="2" spans="1:7" ht="9" customHeight="1">
      <c r="A2" s="1111"/>
      <c r="B2" s="1112"/>
      <c r="C2" s="1112"/>
      <c r="D2" s="1112"/>
      <c r="E2" s="1112"/>
      <c r="F2" s="1112"/>
      <c r="G2" s="1113"/>
    </row>
    <row r="3" spans="1:7" s="1119" customFormat="1" ht="18">
      <c r="A3" s="1114" t="s">
        <v>1584</v>
      </c>
      <c r="B3" s="1115"/>
      <c r="C3" s="1116"/>
      <c r="D3" s="1115"/>
      <c r="E3" s="1116"/>
      <c r="F3" s="1117"/>
      <c r="G3" s="1118"/>
    </row>
    <row r="4" spans="1:7" s="1119" customFormat="1" ht="9" customHeight="1">
      <c r="A4" s="1114"/>
      <c r="B4" s="1117"/>
      <c r="C4" s="1117"/>
      <c r="D4" s="1120"/>
      <c r="E4" s="1117"/>
      <c r="F4" s="1117"/>
      <c r="G4" s="1118"/>
    </row>
    <row r="5" spans="1:7" s="1119" customFormat="1" ht="14.85" customHeight="1">
      <c r="A5" s="1114" t="s">
        <v>1585</v>
      </c>
      <c r="B5" s="1117"/>
      <c r="C5" s="1117"/>
      <c r="D5" s="1120"/>
      <c r="E5" s="1117"/>
      <c r="F5" s="1117"/>
      <c r="G5" s="1118"/>
    </row>
    <row r="6" spans="1:7" s="1127" customFormat="1" ht="21.2" customHeight="1">
      <c r="A6" s="1121"/>
      <c r="B6" s="1122" t="s">
        <v>0</v>
      </c>
      <c r="C6" s="1123"/>
      <c r="D6" s="1124"/>
      <c r="E6" s="1123"/>
      <c r="F6" s="1125" t="s">
        <v>1</v>
      </c>
      <c r="G6" s="1126"/>
    </row>
    <row r="7" spans="1:7" ht="20.25" customHeight="1">
      <c r="A7" s="1128"/>
      <c r="B7" s="1129" t="s">
        <v>2</v>
      </c>
      <c r="C7" s="1130"/>
      <c r="D7" s="1131"/>
      <c r="E7" s="1130"/>
      <c r="F7" s="1132" t="s">
        <v>3</v>
      </c>
      <c r="G7" s="1133"/>
    </row>
    <row r="8" spans="1:7" ht="20.25" customHeight="1">
      <c r="A8" s="1128"/>
      <c r="B8" s="1134" t="s">
        <v>4</v>
      </c>
      <c r="C8" s="1134"/>
      <c r="D8" s="1135">
        <v>1</v>
      </c>
      <c r="E8" s="1134"/>
      <c r="F8" s="1136" t="s">
        <v>5</v>
      </c>
      <c r="G8" s="1133"/>
    </row>
    <row r="9" spans="1:7" ht="17.45" customHeight="1">
      <c r="A9" s="1128"/>
      <c r="B9" s="1134" t="s">
        <v>6</v>
      </c>
      <c r="C9" s="1134"/>
      <c r="D9" s="1135">
        <v>2</v>
      </c>
      <c r="E9" s="1134"/>
      <c r="F9" s="1136" t="s">
        <v>7</v>
      </c>
      <c r="G9" s="1133"/>
    </row>
    <row r="10" spans="1:7" ht="17.45" customHeight="1">
      <c r="A10" s="1128"/>
      <c r="B10" s="1134" t="s">
        <v>8</v>
      </c>
      <c r="C10" s="1134"/>
      <c r="D10" s="1135">
        <v>3</v>
      </c>
      <c r="E10" s="1134"/>
      <c r="F10" s="1136" t="s">
        <v>9</v>
      </c>
      <c r="G10" s="1133"/>
    </row>
    <row r="11" spans="1:7" ht="17.45" customHeight="1">
      <c r="A11" s="1128"/>
      <c r="B11" s="1134" t="s">
        <v>10</v>
      </c>
      <c r="C11" s="1134"/>
      <c r="D11" s="1135">
        <v>4</v>
      </c>
      <c r="E11" s="1134"/>
      <c r="F11" s="1136" t="s">
        <v>11</v>
      </c>
      <c r="G11" s="1133"/>
    </row>
    <row r="12" spans="1:7" ht="17.45" customHeight="1">
      <c r="A12" s="1128"/>
      <c r="B12" s="1134" t="s">
        <v>12</v>
      </c>
      <c r="C12" s="1134"/>
      <c r="D12" s="1135">
        <v>5</v>
      </c>
      <c r="E12" s="1134"/>
      <c r="F12" s="1136" t="s">
        <v>13</v>
      </c>
      <c r="G12" s="1133"/>
    </row>
    <row r="13" spans="1:7" ht="17.45" customHeight="1">
      <c r="A13" s="1128"/>
      <c r="B13" s="1134" t="s">
        <v>14</v>
      </c>
      <c r="C13" s="1134"/>
      <c r="D13" s="1135">
        <v>6</v>
      </c>
      <c r="E13" s="1134"/>
      <c r="F13" s="1136" t="s">
        <v>15</v>
      </c>
      <c r="G13" s="1133"/>
    </row>
    <row r="14" spans="1:7" ht="17.45" customHeight="1">
      <c r="A14" s="1128"/>
      <c r="B14" s="1134" t="s">
        <v>16</v>
      </c>
      <c r="C14" s="1134"/>
      <c r="D14" s="1135">
        <v>7</v>
      </c>
      <c r="E14" s="1134"/>
      <c r="F14" s="1136" t="s">
        <v>17</v>
      </c>
      <c r="G14" s="1133"/>
    </row>
    <row r="15" spans="1:7" ht="17.45" customHeight="1">
      <c r="A15" s="1128"/>
      <c r="B15" s="1134" t="s">
        <v>18</v>
      </c>
      <c r="C15" s="1134"/>
      <c r="D15" s="1135">
        <v>8</v>
      </c>
      <c r="E15" s="1134"/>
      <c r="F15" s="1136" t="s">
        <v>19</v>
      </c>
      <c r="G15" s="1133"/>
    </row>
    <row r="16" spans="1:7" ht="17.45" customHeight="1">
      <c r="A16" s="1128"/>
      <c r="B16" s="1134" t="s">
        <v>20</v>
      </c>
      <c r="C16" s="1134"/>
      <c r="D16" s="1135">
        <v>9</v>
      </c>
      <c r="E16" s="1134"/>
      <c r="F16" s="1136" t="s">
        <v>21</v>
      </c>
      <c r="G16" s="1133"/>
    </row>
    <row r="17" spans="1:7" ht="17.45" customHeight="1">
      <c r="A17" s="1128"/>
      <c r="B17" s="1134" t="s">
        <v>22</v>
      </c>
      <c r="C17" s="1134"/>
      <c r="D17" s="1135">
        <v>10</v>
      </c>
      <c r="E17" s="1134"/>
      <c r="F17" s="1136" t="s">
        <v>23</v>
      </c>
      <c r="G17" s="1133"/>
    </row>
    <row r="18" spans="1:7" ht="17.45" customHeight="1">
      <c r="A18" s="1128"/>
      <c r="B18" s="1134" t="s">
        <v>24</v>
      </c>
      <c r="C18" s="1134"/>
      <c r="D18" s="1135">
        <v>11</v>
      </c>
      <c r="E18" s="1134"/>
      <c r="F18" s="1136" t="s">
        <v>25</v>
      </c>
      <c r="G18" s="1133"/>
    </row>
    <row r="19" spans="1:7" ht="17.45" customHeight="1">
      <c r="A19" s="1128"/>
      <c r="B19" s="1134" t="s">
        <v>26</v>
      </c>
      <c r="C19" s="1134"/>
      <c r="D19" s="1135">
        <v>12</v>
      </c>
      <c r="E19" s="1134"/>
      <c r="F19" s="1137" t="s">
        <v>27</v>
      </c>
      <c r="G19" s="1133"/>
    </row>
    <row r="20" spans="1:7" s="159" customFormat="1" ht="20.25" customHeight="1">
      <c r="A20" s="1138"/>
      <c r="B20" s="1129" t="s">
        <v>28</v>
      </c>
      <c r="C20" s="1129"/>
      <c r="D20" s="1139"/>
      <c r="E20" s="1129"/>
      <c r="F20" s="1132" t="s">
        <v>29</v>
      </c>
      <c r="G20" s="1140"/>
    </row>
    <row r="21" spans="1:7" ht="20.25" customHeight="1">
      <c r="A21" s="1128"/>
      <c r="B21" s="1134" t="s">
        <v>30</v>
      </c>
      <c r="C21" s="1134"/>
      <c r="D21" s="1135">
        <v>13</v>
      </c>
      <c r="E21" s="1134"/>
      <c r="F21" s="1136" t="s">
        <v>31</v>
      </c>
      <c r="G21" s="1133"/>
    </row>
    <row r="22" spans="1:7" ht="17.45" customHeight="1">
      <c r="A22" s="1128"/>
      <c r="B22" s="1134" t="s">
        <v>32</v>
      </c>
      <c r="C22" s="1134"/>
      <c r="D22" s="1135">
        <v>14</v>
      </c>
      <c r="E22" s="1134"/>
      <c r="F22" s="1136" t="s">
        <v>33</v>
      </c>
      <c r="G22" s="1133"/>
    </row>
    <row r="23" spans="1:7" ht="17.45" customHeight="1">
      <c r="A23" s="1128"/>
      <c r="B23" s="1134" t="s">
        <v>34</v>
      </c>
      <c r="C23" s="1134"/>
      <c r="D23" s="1135">
        <v>15</v>
      </c>
      <c r="E23" s="1134"/>
      <c r="F23" s="1136" t="s">
        <v>35</v>
      </c>
      <c r="G23" s="1133"/>
    </row>
    <row r="24" spans="1:7" ht="17.45" customHeight="1">
      <c r="A24" s="1128"/>
      <c r="B24" s="1134" t="s">
        <v>36</v>
      </c>
      <c r="C24" s="1134"/>
      <c r="D24" s="1135">
        <v>16</v>
      </c>
      <c r="E24" s="1134"/>
      <c r="F24" s="1136" t="s">
        <v>37</v>
      </c>
      <c r="G24" s="1133"/>
    </row>
    <row r="25" spans="1:7" ht="17.45" customHeight="1">
      <c r="A25" s="1128"/>
      <c r="B25" s="1134" t="s">
        <v>38</v>
      </c>
      <c r="C25" s="1134"/>
      <c r="D25" s="1135">
        <v>17</v>
      </c>
      <c r="E25" s="1134"/>
      <c r="F25" s="1136" t="s">
        <v>39</v>
      </c>
      <c r="G25" s="1133"/>
    </row>
    <row r="26" spans="1:7" ht="17.45" customHeight="1">
      <c r="A26" s="1128"/>
      <c r="B26" s="1134" t="s">
        <v>40</v>
      </c>
      <c r="C26" s="1134"/>
      <c r="D26" s="1135">
        <v>18</v>
      </c>
      <c r="E26" s="1134"/>
      <c r="F26" s="1136" t="s">
        <v>41</v>
      </c>
      <c r="G26" s="1133"/>
    </row>
    <row r="27" spans="1:7" ht="17.45" customHeight="1">
      <c r="A27" s="1128"/>
      <c r="B27" s="1134" t="s">
        <v>42</v>
      </c>
      <c r="C27" s="1134"/>
      <c r="D27" s="1135">
        <v>19</v>
      </c>
      <c r="E27" s="1134"/>
      <c r="F27" s="1136" t="s">
        <v>43</v>
      </c>
      <c r="G27" s="1133"/>
    </row>
    <row r="28" spans="1:7" ht="17.45" customHeight="1">
      <c r="A28" s="1128"/>
      <c r="B28" s="1134" t="s">
        <v>44</v>
      </c>
      <c r="C28" s="1134"/>
      <c r="D28" s="1135">
        <v>20</v>
      </c>
      <c r="E28" s="1134"/>
      <c r="F28" s="1136" t="s">
        <v>45</v>
      </c>
      <c r="G28" s="1133"/>
    </row>
    <row r="29" spans="1:7" ht="17.45" customHeight="1">
      <c r="A29" s="1128"/>
      <c r="B29" s="1134" t="s">
        <v>46</v>
      </c>
      <c r="C29" s="1134"/>
      <c r="D29" s="1135">
        <v>21</v>
      </c>
      <c r="E29" s="1134"/>
      <c r="F29" s="1136" t="s">
        <v>47</v>
      </c>
      <c r="G29" s="1133"/>
    </row>
    <row r="30" spans="1:7" s="1119" customFormat="1" ht="16.5" customHeight="1">
      <c r="A30" s="1114"/>
      <c r="B30" s="1134" t="s">
        <v>48</v>
      </c>
      <c r="C30" s="1134"/>
      <c r="D30" s="1135">
        <v>22</v>
      </c>
      <c r="E30" s="1134"/>
      <c r="F30" s="1136" t="s">
        <v>49</v>
      </c>
      <c r="G30" s="1118"/>
    </row>
    <row r="31" spans="1:7" ht="17.45" customHeight="1">
      <c r="A31" s="1128"/>
      <c r="B31" s="1134" t="s">
        <v>50</v>
      </c>
      <c r="C31" s="1134"/>
      <c r="D31" s="1135">
        <v>23</v>
      </c>
      <c r="E31" s="1134"/>
      <c r="F31" s="1136" t="s">
        <v>51</v>
      </c>
      <c r="G31" s="1133"/>
    </row>
    <row r="32" spans="1:7" ht="17.45" customHeight="1">
      <c r="A32" s="1128"/>
      <c r="B32" s="1134" t="s">
        <v>52</v>
      </c>
      <c r="C32" s="1134"/>
      <c r="D32" s="1135">
        <v>24</v>
      </c>
      <c r="E32" s="1134"/>
      <c r="F32" s="1136" t="s">
        <v>53</v>
      </c>
      <c r="G32" s="1133"/>
    </row>
    <row r="33" spans="1:7" ht="17.45" customHeight="1">
      <c r="A33" s="1128"/>
      <c r="B33" s="1134" t="s">
        <v>54</v>
      </c>
      <c r="C33" s="1134"/>
      <c r="D33" s="1135">
        <v>25</v>
      </c>
      <c r="E33" s="1134"/>
      <c r="F33" s="1136" t="s">
        <v>55</v>
      </c>
      <c r="G33" s="1133"/>
    </row>
    <row r="34" spans="1:7" s="159" customFormat="1" ht="20.25" customHeight="1">
      <c r="A34" s="1138"/>
      <c r="B34" s="1129" t="s">
        <v>56</v>
      </c>
      <c r="C34" s="1129"/>
      <c r="D34" s="1139"/>
      <c r="E34" s="1129"/>
      <c r="F34" s="1132" t="s">
        <v>57</v>
      </c>
      <c r="G34" s="1140"/>
    </row>
    <row r="35" spans="1:7" ht="20.25" customHeight="1">
      <c r="A35" s="1128"/>
      <c r="B35" s="1134" t="s">
        <v>30</v>
      </c>
      <c r="C35" s="1134"/>
      <c r="D35" s="1135">
        <v>26</v>
      </c>
      <c r="E35" s="1134"/>
      <c r="F35" s="1136" t="s">
        <v>31</v>
      </c>
      <c r="G35" s="1133"/>
    </row>
    <row r="36" spans="1:7" ht="17.45" customHeight="1">
      <c r="A36" s="1128"/>
      <c r="B36" s="1134" t="s">
        <v>32</v>
      </c>
      <c r="C36" s="1134"/>
      <c r="D36" s="1135">
        <v>27</v>
      </c>
      <c r="E36" s="1134"/>
      <c r="F36" s="1136" t="s">
        <v>33</v>
      </c>
      <c r="G36" s="1133"/>
    </row>
    <row r="37" spans="1:7" ht="17.45" customHeight="1">
      <c r="A37" s="1128"/>
      <c r="B37" s="1134" t="s">
        <v>46</v>
      </c>
      <c r="C37" s="1134"/>
      <c r="D37" s="1135">
        <v>28</v>
      </c>
      <c r="E37" s="1134"/>
      <c r="F37" s="1136" t="s">
        <v>47</v>
      </c>
      <c r="G37" s="1133"/>
    </row>
    <row r="38" spans="1:7" s="1119" customFormat="1" ht="17.45" customHeight="1">
      <c r="A38" s="1114"/>
      <c r="B38" s="1134" t="s">
        <v>48</v>
      </c>
      <c r="C38" s="1134"/>
      <c r="D38" s="1135">
        <v>29</v>
      </c>
      <c r="E38" s="1134"/>
      <c r="F38" s="1136" t="s">
        <v>49</v>
      </c>
      <c r="G38" s="1118"/>
    </row>
    <row r="39" spans="1:7" ht="12.75" customHeight="1" thickBot="1">
      <c r="A39" s="1141"/>
      <c r="B39" s="1142"/>
      <c r="C39" s="1142"/>
      <c r="D39" s="1142"/>
      <c r="E39" s="1142"/>
      <c r="F39" s="1143"/>
      <c r="G39" s="1144"/>
    </row>
    <row r="40" spans="1:7" ht="36.6" customHeight="1" thickBot="1">
      <c r="F40" s="1145"/>
    </row>
    <row r="41" spans="1:7" ht="9" customHeight="1">
      <c r="A41" s="1111"/>
      <c r="B41" s="1112"/>
      <c r="C41" s="1112"/>
      <c r="D41" s="1112"/>
      <c r="E41" s="1112"/>
      <c r="F41" s="1146"/>
      <c r="G41" s="1113"/>
    </row>
    <row r="42" spans="1:7" s="1119" customFormat="1" ht="18">
      <c r="A42" s="1114" t="s">
        <v>1584</v>
      </c>
      <c r="B42" s="1115"/>
      <c r="C42" s="1116"/>
      <c r="D42" s="1115"/>
      <c r="E42" s="1116"/>
      <c r="F42" s="1117"/>
      <c r="G42" s="1118"/>
    </row>
    <row r="43" spans="1:7" s="1119" customFormat="1" ht="14.85" customHeight="1">
      <c r="A43" s="1114"/>
      <c r="B43" s="1117"/>
      <c r="C43" s="1117"/>
      <c r="D43" s="1120"/>
      <c r="E43" s="1117"/>
      <c r="F43" s="1117"/>
      <c r="G43" s="1118"/>
    </row>
    <row r="44" spans="1:7" s="1119" customFormat="1" ht="14.85" customHeight="1">
      <c r="A44" s="1114" t="s">
        <v>1585</v>
      </c>
      <c r="B44" s="1117"/>
      <c r="C44" s="1117"/>
      <c r="D44" s="1120"/>
      <c r="E44" s="1117"/>
      <c r="F44" s="1117"/>
      <c r="G44" s="1118"/>
    </row>
    <row r="45" spans="1:7" s="159" customFormat="1" ht="20.25" customHeight="1">
      <c r="A45" s="1138"/>
      <c r="B45" s="1129" t="s">
        <v>58</v>
      </c>
      <c r="C45" s="1129"/>
      <c r="D45" s="1139"/>
      <c r="E45" s="1129"/>
      <c r="F45" s="1132" t="s">
        <v>59</v>
      </c>
      <c r="G45" s="1140"/>
    </row>
    <row r="46" spans="1:7" ht="20.25" customHeight="1">
      <c r="A46" s="1128"/>
      <c r="B46" s="1134" t="s">
        <v>30</v>
      </c>
      <c r="C46" s="1134"/>
      <c r="D46" s="1135">
        <v>30</v>
      </c>
      <c r="E46" s="1134"/>
      <c r="F46" s="1136" t="s">
        <v>31</v>
      </c>
      <c r="G46" s="1133"/>
    </row>
    <row r="47" spans="1:7" ht="17.45" customHeight="1">
      <c r="A47" s="1128"/>
      <c r="B47" s="1134" t="s">
        <v>32</v>
      </c>
      <c r="C47" s="1134"/>
      <c r="D47" s="1135">
        <v>31</v>
      </c>
      <c r="E47" s="1134"/>
      <c r="F47" s="1136" t="s">
        <v>33</v>
      </c>
      <c r="G47" s="1133"/>
    </row>
    <row r="48" spans="1:7" ht="17.45" customHeight="1">
      <c r="A48" s="1128"/>
      <c r="B48" s="1134" t="s">
        <v>46</v>
      </c>
      <c r="C48" s="1134"/>
      <c r="D48" s="1135">
        <v>32</v>
      </c>
      <c r="E48" s="1134"/>
      <c r="F48" s="1136" t="s">
        <v>47</v>
      </c>
      <c r="G48" s="1133"/>
    </row>
    <row r="49" spans="1:7" s="1119" customFormat="1" ht="17.45" customHeight="1">
      <c r="A49" s="1114"/>
      <c r="B49" s="1134" t="s">
        <v>48</v>
      </c>
      <c r="C49" s="1134"/>
      <c r="D49" s="1135">
        <v>33</v>
      </c>
      <c r="E49" s="1134"/>
      <c r="F49" s="1136" t="s">
        <v>49</v>
      </c>
      <c r="G49" s="1118"/>
    </row>
    <row r="50" spans="1:7" ht="17.45" customHeight="1">
      <c r="A50" s="1128"/>
      <c r="B50" s="1134" t="s">
        <v>60</v>
      </c>
      <c r="C50" s="1134"/>
      <c r="D50" s="1135">
        <v>34</v>
      </c>
      <c r="E50" s="1134"/>
      <c r="F50" s="1136" t="s">
        <v>61</v>
      </c>
      <c r="G50" s="1133"/>
    </row>
    <row r="51" spans="1:7" s="159" customFormat="1" ht="20.25" customHeight="1">
      <c r="A51" s="1138"/>
      <c r="B51" s="1129" t="s">
        <v>62</v>
      </c>
      <c r="C51" s="1129"/>
      <c r="D51" s="1139"/>
      <c r="E51" s="1129"/>
      <c r="F51" s="1132" t="s">
        <v>63</v>
      </c>
      <c r="G51" s="1140"/>
    </row>
    <row r="52" spans="1:7" ht="20.25" customHeight="1">
      <c r="A52" s="1128"/>
      <c r="B52" s="1134" t="s">
        <v>64</v>
      </c>
      <c r="C52" s="1134"/>
      <c r="D52" s="1135">
        <v>35</v>
      </c>
      <c r="E52" s="1134"/>
      <c r="F52" s="1136" t="s">
        <v>63</v>
      </c>
      <c r="G52" s="1133"/>
    </row>
    <row r="53" spans="1:7" ht="17.45" customHeight="1">
      <c r="A53" s="1128"/>
      <c r="B53" s="1134" t="s">
        <v>65</v>
      </c>
      <c r="C53" s="1134"/>
      <c r="D53" s="1135">
        <v>36</v>
      </c>
      <c r="E53" s="1134"/>
      <c r="F53" s="1136" t="s">
        <v>66</v>
      </c>
      <c r="G53" s="1133"/>
    </row>
    <row r="54" spans="1:7" ht="17.45" customHeight="1">
      <c r="A54" s="1128"/>
      <c r="B54" s="1134" t="s">
        <v>67</v>
      </c>
      <c r="C54" s="1134"/>
      <c r="D54" s="1135">
        <v>37</v>
      </c>
      <c r="E54" s="1134"/>
      <c r="F54" s="1136" t="s">
        <v>68</v>
      </c>
      <c r="G54" s="1133"/>
    </row>
    <row r="55" spans="1:7" ht="21.2" customHeight="1">
      <c r="A55" s="1128"/>
      <c r="B55" s="1147" t="s">
        <v>69</v>
      </c>
      <c r="C55" s="1134"/>
      <c r="D55" s="1135">
        <v>38</v>
      </c>
      <c r="E55" s="1134"/>
      <c r="F55" s="1148" t="s">
        <v>70</v>
      </c>
      <c r="G55" s="1133"/>
    </row>
    <row r="56" spans="1:7" ht="21.2" customHeight="1">
      <c r="A56" s="1128"/>
      <c r="B56" s="1147" t="s">
        <v>71</v>
      </c>
      <c r="C56" s="1134"/>
      <c r="D56" s="1135">
        <v>39</v>
      </c>
      <c r="E56" s="1134"/>
      <c r="F56" s="1148" t="s">
        <v>72</v>
      </c>
      <c r="G56" s="1133"/>
    </row>
    <row r="57" spans="1:7" ht="21.2" customHeight="1">
      <c r="A57" s="1128"/>
      <c r="B57" s="1147" t="s">
        <v>73</v>
      </c>
      <c r="C57" s="1134"/>
      <c r="D57" s="1135">
        <v>40</v>
      </c>
      <c r="E57" s="1134"/>
      <c r="F57" s="1148" t="s">
        <v>74</v>
      </c>
      <c r="G57" s="1133"/>
    </row>
    <row r="58" spans="1:7" ht="21.2" customHeight="1">
      <c r="A58" s="1128"/>
      <c r="B58" s="1147" t="s">
        <v>75</v>
      </c>
      <c r="C58" s="1134"/>
      <c r="D58" s="1135">
        <v>41</v>
      </c>
      <c r="E58" s="1134"/>
      <c r="F58" s="1148" t="s">
        <v>76</v>
      </c>
      <c r="G58" s="1133"/>
    </row>
    <row r="59" spans="1:7" s="159" customFormat="1" ht="20.25" customHeight="1">
      <c r="A59" s="1138"/>
      <c r="B59" s="1129" t="s">
        <v>77</v>
      </c>
      <c r="C59" s="1129"/>
      <c r="D59" s="1139"/>
      <c r="E59" s="1129"/>
      <c r="F59" s="1132" t="s">
        <v>78</v>
      </c>
      <c r="G59" s="1140"/>
    </row>
    <row r="60" spans="1:7" ht="20.25" customHeight="1">
      <c r="A60" s="1128"/>
      <c r="B60" s="1134" t="s">
        <v>77</v>
      </c>
      <c r="C60" s="1134"/>
      <c r="D60" s="1135">
        <v>42</v>
      </c>
      <c r="E60" s="1134"/>
      <c r="F60" s="1136" t="s">
        <v>78</v>
      </c>
      <c r="G60" s="1133"/>
    </row>
    <row r="61" spans="1:7" ht="17.45" customHeight="1">
      <c r="A61" s="1128"/>
      <c r="B61" s="1134" t="s">
        <v>79</v>
      </c>
      <c r="C61" s="1134"/>
      <c r="D61" s="1135">
        <v>43</v>
      </c>
      <c r="E61" s="1134"/>
      <c r="F61" s="1136" t="s">
        <v>80</v>
      </c>
      <c r="G61" s="1133"/>
    </row>
    <row r="62" spans="1:7" ht="17.45" customHeight="1">
      <c r="A62" s="1128"/>
      <c r="B62" s="1134" t="s">
        <v>81</v>
      </c>
      <c r="C62" s="1134"/>
      <c r="D62" s="1135">
        <v>44</v>
      </c>
      <c r="E62" s="1134"/>
      <c r="F62" s="1136" t="s">
        <v>82</v>
      </c>
      <c r="G62" s="1133"/>
    </row>
    <row r="63" spans="1:7" ht="17.45" customHeight="1">
      <c r="A63" s="1128"/>
      <c r="B63" s="1134" t="s">
        <v>83</v>
      </c>
      <c r="C63" s="1134"/>
      <c r="D63" s="1135">
        <v>45</v>
      </c>
      <c r="E63" s="1134"/>
      <c r="F63" s="1136" t="s">
        <v>84</v>
      </c>
      <c r="G63" s="1133"/>
    </row>
    <row r="64" spans="1:7" ht="17.45" customHeight="1">
      <c r="A64" s="1128"/>
      <c r="B64" s="1134" t="s">
        <v>85</v>
      </c>
      <c r="C64" s="1134"/>
      <c r="D64" s="1135">
        <v>46</v>
      </c>
      <c r="E64" s="1134"/>
      <c r="F64" s="1136" t="s">
        <v>86</v>
      </c>
      <c r="G64" s="1133"/>
    </row>
    <row r="65" spans="1:7" s="327" customFormat="1" ht="27" customHeight="1">
      <c r="A65" s="1149"/>
      <c r="B65" s="1122" t="s">
        <v>87</v>
      </c>
      <c r="C65" s="381"/>
      <c r="D65" s="1150"/>
      <c r="E65" s="381"/>
      <c r="F65" s="1125" t="s">
        <v>88</v>
      </c>
      <c r="G65" s="1151"/>
    </row>
    <row r="66" spans="1:7" ht="21.2" customHeight="1">
      <c r="A66" s="1128"/>
      <c r="B66" s="1134" t="s">
        <v>89</v>
      </c>
      <c r="C66" s="1134"/>
      <c r="D66" s="1135">
        <v>47</v>
      </c>
      <c r="E66" s="1134"/>
      <c r="F66" s="1136" t="s">
        <v>90</v>
      </c>
      <c r="G66" s="1133"/>
    </row>
    <row r="67" spans="1:7" ht="21.2" customHeight="1">
      <c r="A67" s="1128"/>
      <c r="B67" s="1134" t="s">
        <v>91</v>
      </c>
      <c r="C67" s="1134"/>
      <c r="D67" s="1135">
        <v>48</v>
      </c>
      <c r="E67" s="1134"/>
      <c r="F67" s="1136" t="s">
        <v>92</v>
      </c>
      <c r="G67" s="1133"/>
    </row>
    <row r="68" spans="1:7" ht="21.2" customHeight="1">
      <c r="A68" s="1128"/>
      <c r="B68" s="1134" t="s">
        <v>93</v>
      </c>
      <c r="C68" s="1134"/>
      <c r="D68" s="1135">
        <v>49</v>
      </c>
      <c r="E68" s="1134"/>
      <c r="F68" s="1136" t="s">
        <v>94</v>
      </c>
      <c r="G68" s="1133"/>
    </row>
    <row r="69" spans="1:7" ht="21.2" customHeight="1">
      <c r="A69" s="1128"/>
      <c r="B69" s="1129" t="s">
        <v>95</v>
      </c>
      <c r="C69" s="1152"/>
      <c r="D69" s="1153"/>
      <c r="E69" s="1152"/>
      <c r="F69" s="1132" t="s">
        <v>96</v>
      </c>
      <c r="G69" s="1133"/>
    </row>
    <row r="70" spans="1:7" ht="21.2" customHeight="1">
      <c r="A70" s="1128"/>
      <c r="B70" s="1134" t="s">
        <v>97</v>
      </c>
      <c r="C70" s="1134"/>
      <c r="D70" s="1135">
        <v>50</v>
      </c>
      <c r="E70" s="1134"/>
      <c r="F70" s="1136" t="s">
        <v>98</v>
      </c>
      <c r="G70" s="1133"/>
    </row>
    <row r="71" spans="1:7" ht="17.45" customHeight="1">
      <c r="A71" s="1128"/>
      <c r="B71" s="1134" t="s">
        <v>99</v>
      </c>
      <c r="C71" s="1134"/>
      <c r="D71" s="1135">
        <v>51</v>
      </c>
      <c r="E71" s="1134"/>
      <c r="F71" s="1136" t="s">
        <v>100</v>
      </c>
      <c r="G71" s="1133"/>
    </row>
    <row r="72" spans="1:7" ht="17.45" customHeight="1">
      <c r="A72" s="1128"/>
      <c r="B72" s="1134" t="s">
        <v>101</v>
      </c>
      <c r="C72" s="1134"/>
      <c r="D72" s="1135">
        <v>52</v>
      </c>
      <c r="E72" s="1134"/>
      <c r="F72" s="1136" t="s">
        <v>102</v>
      </c>
      <c r="G72" s="1133"/>
    </row>
    <row r="73" spans="1:7" ht="17.45" customHeight="1">
      <c r="A73" s="1128"/>
      <c r="B73" s="1134" t="s">
        <v>103</v>
      </c>
      <c r="C73" s="1134"/>
      <c r="D73" s="1135">
        <v>53</v>
      </c>
      <c r="E73" s="1134"/>
      <c r="F73" s="1136" t="s">
        <v>104</v>
      </c>
      <c r="G73" s="1133"/>
    </row>
    <row r="74" spans="1:7" ht="21.2" customHeight="1">
      <c r="A74" s="1128"/>
      <c r="B74" s="1147" t="s">
        <v>105</v>
      </c>
      <c r="C74" s="1134"/>
      <c r="D74" s="1135">
        <v>54</v>
      </c>
      <c r="E74" s="1134"/>
      <c r="F74" s="1148" t="s">
        <v>106</v>
      </c>
      <c r="G74" s="1133"/>
    </row>
    <row r="75" spans="1:7" ht="9" customHeight="1" thickBot="1">
      <c r="A75" s="1141"/>
      <c r="B75" s="1142"/>
      <c r="C75" s="1142"/>
      <c r="D75" s="1142"/>
      <c r="E75" s="1142"/>
      <c r="F75" s="1142"/>
      <c r="G75" s="1144"/>
    </row>
  </sheetData>
  <phoneticPr fontId="0" type="noConversion"/>
  <printOptions horizontalCentered="1"/>
  <pageMargins left="0" right="0" top="0.3" bottom="0.5" header="0.511811023622047" footer="0.511811023622047"/>
  <pageSetup paperSize="9" scale="77" orientation="landscape"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W53"/>
  <sheetViews>
    <sheetView zoomScale="80" zoomScaleNormal="80" workbookViewId="0">
      <pane ySplit="12" topLeftCell="A22" activePane="bottomLeft" state="frozen"/>
      <selection activeCell="A49" sqref="A1:XFD1048576"/>
      <selection pane="bottomLeft" activeCell="A49" sqref="A1:XFD1048576"/>
    </sheetView>
  </sheetViews>
  <sheetFormatPr defaultColWidth="9.140625" defaultRowHeight="15"/>
  <cols>
    <col min="1" max="2" width="9.7109375" style="159" customWidth="1"/>
    <col min="3" max="5" width="10.7109375" style="159" customWidth="1"/>
    <col min="6" max="6" width="16.28515625" style="159" customWidth="1"/>
    <col min="7" max="7" width="17.28515625" style="159" customWidth="1"/>
    <col min="8" max="9" width="10.7109375" style="159" customWidth="1"/>
    <col min="10" max="11" width="15.140625" style="159" customWidth="1"/>
    <col min="12" max="12" width="12.7109375" style="159" customWidth="1"/>
    <col min="13" max="14" width="10.7109375" style="159" customWidth="1"/>
    <col min="15" max="15" width="14" style="159" customWidth="1"/>
    <col min="16" max="17" width="10.7109375" style="159" customWidth="1"/>
    <col min="18" max="18" width="14.85546875" style="159" customWidth="1"/>
    <col min="19" max="16384" width="9.140625" style="159"/>
  </cols>
  <sheetData>
    <row r="1" spans="1:19" s="443" customFormat="1" ht="18">
      <c r="A1" s="297" t="s">
        <v>1630</v>
      </c>
      <c r="B1" s="297"/>
      <c r="C1" s="442"/>
      <c r="D1" s="442"/>
      <c r="E1" s="442"/>
      <c r="F1" s="442"/>
      <c r="G1" s="442"/>
      <c r="H1" s="442"/>
      <c r="I1" s="442"/>
      <c r="J1" s="442"/>
      <c r="K1" s="442"/>
      <c r="L1" s="442"/>
      <c r="M1" s="442"/>
      <c r="N1" s="442"/>
      <c r="O1" s="442"/>
      <c r="P1" s="442"/>
      <c r="Q1" s="442"/>
      <c r="R1" s="442"/>
    </row>
    <row r="2" spans="1:19" s="1883" customFormat="1" ht="21.75" customHeight="1">
      <c r="A2" s="1881" t="s">
        <v>534</v>
      </c>
      <c r="B2" s="1881"/>
      <c r="C2" s="1905"/>
      <c r="D2" s="1905"/>
      <c r="E2" s="1905"/>
      <c r="F2" s="1905"/>
      <c r="G2" s="1905"/>
      <c r="H2" s="1905"/>
      <c r="I2" s="1905"/>
      <c r="J2" s="1905"/>
      <c r="K2" s="1905"/>
      <c r="L2" s="1905"/>
      <c r="M2" s="1905"/>
      <c r="N2" s="1905"/>
      <c r="O2" s="1905"/>
      <c r="P2" s="1905"/>
      <c r="Q2" s="1905"/>
      <c r="R2" s="1905"/>
    </row>
    <row r="3" spans="1:19" s="443" customFormat="1" ht="18">
      <c r="A3" s="297" t="s">
        <v>535</v>
      </c>
      <c r="B3" s="297"/>
      <c r="C3" s="442"/>
      <c r="D3" s="442"/>
      <c r="E3" s="442"/>
      <c r="F3" s="442"/>
      <c r="G3" s="442"/>
      <c r="H3" s="442"/>
      <c r="I3" s="442"/>
      <c r="J3" s="442"/>
      <c r="K3" s="442"/>
      <c r="L3" s="442"/>
      <c r="M3" s="442"/>
      <c r="N3" s="442"/>
      <c r="O3" s="442"/>
      <c r="P3" s="442"/>
      <c r="Q3" s="442"/>
      <c r="R3" s="442"/>
    </row>
    <row r="4" spans="1:19" s="443" customFormat="1" ht="18" hidden="1">
      <c r="A4" s="297"/>
      <c r="B4" s="297"/>
      <c r="C4" s="442"/>
      <c r="D4" s="442"/>
      <c r="E4" s="442"/>
      <c r="F4" s="442"/>
      <c r="G4" s="442"/>
      <c r="H4" s="442"/>
      <c r="I4" s="442"/>
      <c r="J4" s="442"/>
      <c r="K4" s="442"/>
      <c r="L4" s="442"/>
      <c r="M4" s="442"/>
      <c r="N4" s="442"/>
      <c r="O4" s="442"/>
      <c r="P4" s="442"/>
      <c r="Q4" s="442"/>
      <c r="R4" s="442"/>
    </row>
    <row r="5" spans="1:19" s="443" customFormat="1" ht="18" hidden="1">
      <c r="A5" s="297"/>
      <c r="B5" s="297"/>
      <c r="C5" s="442"/>
      <c r="D5" s="442"/>
      <c r="E5" s="442"/>
      <c r="F5" s="442"/>
      <c r="G5" s="442"/>
      <c r="H5" s="442"/>
      <c r="I5" s="442"/>
      <c r="J5" s="442"/>
      <c r="K5" s="442"/>
      <c r="L5" s="442"/>
      <c r="M5" s="442"/>
      <c r="N5" s="442"/>
      <c r="O5" s="442"/>
      <c r="P5" s="442"/>
      <c r="Q5" s="442"/>
      <c r="R5" s="442"/>
    </row>
    <row r="6" spans="1:19" s="443" customFormat="1" ht="18" hidden="1">
      <c r="A6" s="297"/>
      <c r="B6" s="297"/>
      <c r="C6" s="442"/>
      <c r="D6" s="442"/>
      <c r="E6" s="442"/>
      <c r="F6" s="442"/>
      <c r="G6" s="442"/>
      <c r="H6" s="442"/>
      <c r="I6" s="442"/>
      <c r="J6" s="442"/>
      <c r="K6" s="442"/>
      <c r="L6" s="442"/>
      <c r="M6" s="442"/>
      <c r="N6" s="442"/>
      <c r="O6" s="442"/>
      <c r="P6" s="442"/>
      <c r="Q6" s="442"/>
      <c r="R6" s="442"/>
    </row>
    <row r="7" spans="1:19" s="443" customFormat="1" ht="18" hidden="1">
      <c r="A7" s="297"/>
      <c r="B7" s="297"/>
      <c r="C7" s="442"/>
      <c r="D7" s="442"/>
      <c r="E7" s="442"/>
      <c r="F7" s="442"/>
      <c r="G7" s="442"/>
      <c r="H7" s="442"/>
      <c r="I7" s="442"/>
      <c r="J7" s="442"/>
      <c r="K7" s="442"/>
      <c r="L7" s="442"/>
      <c r="M7" s="442"/>
      <c r="N7" s="442"/>
      <c r="O7" s="442"/>
      <c r="P7" s="442"/>
      <c r="Q7" s="442"/>
      <c r="R7" s="442"/>
    </row>
    <row r="8" spans="1:19" s="443" customFormat="1">
      <c r="A8" s="444" t="s">
        <v>536</v>
      </c>
      <c r="B8" s="445"/>
      <c r="C8" s="442"/>
      <c r="D8" s="442"/>
      <c r="E8" s="442"/>
      <c r="F8" s="442"/>
      <c r="G8" s="442"/>
      <c r="H8" s="442"/>
      <c r="I8" s="442"/>
      <c r="J8" s="442"/>
      <c r="K8" s="442"/>
      <c r="R8" s="446" t="s">
        <v>537</v>
      </c>
    </row>
    <row r="9" spans="1:19" s="172" customFormat="1" ht="23.85" customHeight="1">
      <c r="A9" s="2101" t="s">
        <v>364</v>
      </c>
      <c r="B9" s="2102"/>
      <c r="C9" s="447" t="s">
        <v>538</v>
      </c>
      <c r="D9" s="188"/>
      <c r="E9" s="448" t="s">
        <v>440</v>
      </c>
      <c r="F9" s="449" t="s">
        <v>539</v>
      </c>
      <c r="G9" s="171"/>
      <c r="H9" s="450"/>
      <c r="I9" s="450"/>
      <c r="J9" s="450"/>
      <c r="K9" s="451" t="s">
        <v>540</v>
      </c>
      <c r="L9" s="447" t="s">
        <v>541</v>
      </c>
      <c r="M9" s="452"/>
      <c r="N9" s="452"/>
      <c r="O9" s="188"/>
      <c r="P9" s="453"/>
      <c r="Q9" s="453"/>
      <c r="R9" s="451" t="s">
        <v>542</v>
      </c>
    </row>
    <row r="10" spans="1:19" s="431" customFormat="1" ht="20.25" customHeight="1">
      <c r="A10" s="2103"/>
      <c r="B10" s="2104"/>
      <c r="C10" s="454"/>
      <c r="D10" s="455" t="s">
        <v>543</v>
      </c>
      <c r="E10" s="456" t="s">
        <v>544</v>
      </c>
      <c r="F10" s="457"/>
      <c r="G10" s="458"/>
      <c r="H10" s="458"/>
      <c r="I10" s="458"/>
      <c r="J10" s="173" t="s">
        <v>367</v>
      </c>
      <c r="K10" s="173" t="s">
        <v>367</v>
      </c>
      <c r="L10" s="459" t="s">
        <v>545</v>
      </c>
      <c r="M10" s="196"/>
      <c r="O10" s="692" t="s">
        <v>546</v>
      </c>
      <c r="P10" s="694"/>
      <c r="R10" s="460"/>
    </row>
    <row r="11" spans="1:19" s="431" customFormat="1" ht="31.5">
      <c r="A11" s="2103"/>
      <c r="B11" s="2104"/>
      <c r="C11" s="454" t="s">
        <v>547</v>
      </c>
      <c r="D11" s="461" t="s">
        <v>548</v>
      </c>
      <c r="E11" s="462" t="s">
        <v>549</v>
      </c>
      <c r="F11" s="454" t="s">
        <v>550</v>
      </c>
      <c r="G11" s="463" t="s">
        <v>551</v>
      </c>
      <c r="H11" s="463" t="s">
        <v>552</v>
      </c>
      <c r="I11" s="463" t="s">
        <v>377</v>
      </c>
      <c r="J11" s="638" t="s">
        <v>553</v>
      </c>
      <c r="K11" s="638" t="s">
        <v>554</v>
      </c>
      <c r="L11" s="454" t="s">
        <v>555</v>
      </c>
      <c r="M11" s="463" t="s">
        <v>556</v>
      </c>
      <c r="N11" s="693" t="s">
        <v>557</v>
      </c>
      <c r="O11" s="463" t="s">
        <v>558</v>
      </c>
      <c r="P11" s="463" t="s">
        <v>377</v>
      </c>
      <c r="Q11" s="463" t="s">
        <v>367</v>
      </c>
      <c r="R11" s="463" t="s">
        <v>559</v>
      </c>
    </row>
    <row r="12" spans="1:19" s="431" customFormat="1" ht="63">
      <c r="A12" s="194" t="s">
        <v>372</v>
      </c>
      <c r="B12" s="464"/>
      <c r="C12" s="465" t="s">
        <v>459</v>
      </c>
      <c r="D12" s="429" t="s">
        <v>560</v>
      </c>
      <c r="E12" s="429" t="s">
        <v>561</v>
      </c>
      <c r="F12" s="429" t="s">
        <v>562</v>
      </c>
      <c r="G12" s="429" t="s">
        <v>563</v>
      </c>
      <c r="H12" s="429" t="s">
        <v>564</v>
      </c>
      <c r="I12" s="429" t="s">
        <v>565</v>
      </c>
      <c r="J12" s="639" t="s">
        <v>566</v>
      </c>
      <c r="K12" s="639" t="s">
        <v>567</v>
      </c>
      <c r="L12" s="429" t="s">
        <v>568</v>
      </c>
      <c r="M12" s="429" t="s">
        <v>569</v>
      </c>
      <c r="N12" s="429" t="s">
        <v>570</v>
      </c>
      <c r="O12" s="429" t="s">
        <v>571</v>
      </c>
      <c r="P12" s="429" t="s">
        <v>385</v>
      </c>
      <c r="Q12" s="429" t="s">
        <v>572</v>
      </c>
      <c r="R12" s="429" t="s">
        <v>573</v>
      </c>
      <c r="S12" s="466"/>
    </row>
    <row r="13" spans="1:19" ht="23.85" customHeight="1">
      <c r="A13" s="467">
        <v>2010</v>
      </c>
      <c r="B13" s="468"/>
      <c r="C13" s="1071">
        <v>0.24559117043297848</v>
      </c>
      <c r="D13" s="1072">
        <v>0.6308741091673209</v>
      </c>
      <c r="E13" s="1072">
        <v>1.0683456685669961</v>
      </c>
      <c r="F13" s="1073">
        <v>8.1685941891430218</v>
      </c>
      <c r="G13" s="1073">
        <v>4.7777610788164031</v>
      </c>
      <c r="H13" s="1072">
        <v>6.3317618713139305</v>
      </c>
      <c r="I13" s="1072">
        <v>7.5439115000957884</v>
      </c>
      <c r="J13" s="1071">
        <v>7.1702317057592024</v>
      </c>
      <c r="K13" s="1071">
        <v>7.2998107745886616</v>
      </c>
      <c r="L13" s="929">
        <v>7.0152367508174596</v>
      </c>
      <c r="M13" s="1072">
        <v>8.3122077319988197</v>
      </c>
      <c r="N13" s="1072">
        <v>6.3796210243228355</v>
      </c>
      <c r="O13" s="929">
        <v>7.0621063703770233</v>
      </c>
      <c r="P13" s="1072">
        <v>17.739234966500305</v>
      </c>
      <c r="Q13" s="1072">
        <v>7.1037469128628645</v>
      </c>
      <c r="R13" s="929">
        <v>20.660118800073342</v>
      </c>
    </row>
    <row r="14" spans="1:19" ht="17.45" customHeight="1">
      <c r="A14" s="467">
        <v>2011</v>
      </c>
      <c r="B14" s="468"/>
      <c r="C14" s="1071">
        <v>0.23914368286326562</v>
      </c>
      <c r="D14" s="1072">
        <v>0.62012441966890874</v>
      </c>
      <c r="E14" s="1072">
        <v>1.1062640495182656</v>
      </c>
      <c r="F14" s="1073">
        <v>5.0439378849722205</v>
      </c>
      <c r="G14" s="1073">
        <v>4.8118356227485473</v>
      </c>
      <c r="H14" s="1072">
        <v>4.9385282649146847</v>
      </c>
      <c r="I14" s="1072">
        <v>4.1108442225178994</v>
      </c>
      <c r="J14" s="1071">
        <v>4.8624144411711594</v>
      </c>
      <c r="K14" s="1071">
        <v>5.5779566559628808</v>
      </c>
      <c r="L14" s="929">
        <v>6.707222159906312</v>
      </c>
      <c r="M14" s="1072">
        <v>8.4130419508668464</v>
      </c>
      <c r="N14" s="1072">
        <v>7.0263345744965866</v>
      </c>
      <c r="O14" s="929">
        <v>6.2124741756086372</v>
      </c>
      <c r="P14" s="1072">
        <v>18.486535590921331</v>
      </c>
      <c r="Q14" s="1072">
        <v>6.2815133062355617</v>
      </c>
      <c r="R14" s="929">
        <v>20.380794627756174</v>
      </c>
    </row>
    <row r="15" spans="1:19" ht="17.45" customHeight="1">
      <c r="A15" s="467">
        <v>2012</v>
      </c>
      <c r="B15" s="468"/>
      <c r="C15" s="1071">
        <v>0.22192030857967085</v>
      </c>
      <c r="D15" s="1072">
        <v>0.62910693636854831</v>
      </c>
      <c r="E15" s="1072">
        <v>0.99936140428012121</v>
      </c>
      <c r="F15" s="1073">
        <v>5.2398514187320702</v>
      </c>
      <c r="G15" s="1073">
        <v>3.4462158730872607</v>
      </c>
      <c r="H15" s="1072">
        <v>4.9983326865469575</v>
      </c>
      <c r="I15" s="1072">
        <v>4.9587164054280395</v>
      </c>
      <c r="J15" s="1071">
        <v>4.9427194974039175</v>
      </c>
      <c r="K15" s="1071">
        <v>5.6690272148539798</v>
      </c>
      <c r="L15" s="929">
        <v>6.4847217707487106</v>
      </c>
      <c r="M15" s="1072">
        <v>7.3375169399019136</v>
      </c>
      <c r="N15" s="1072">
        <v>4.8165489854573345</v>
      </c>
      <c r="O15" s="929">
        <v>5.890994362266686</v>
      </c>
      <c r="P15" s="1072">
        <v>10.466774450842705</v>
      </c>
      <c r="Q15" s="1072">
        <v>5.9566901007413593</v>
      </c>
      <c r="R15" s="929">
        <v>20.645790525329296</v>
      </c>
    </row>
    <row r="16" spans="1:19" ht="17.45" customHeight="1">
      <c r="A16" s="467">
        <v>2013</v>
      </c>
      <c r="B16" s="468"/>
      <c r="C16" s="1071">
        <v>0.24756589869391313</v>
      </c>
      <c r="D16" s="1072">
        <v>0.57385767991281633</v>
      </c>
      <c r="E16" s="1072">
        <v>1.0772148457369093</v>
      </c>
      <c r="F16" s="1073">
        <v>5.4687677084674515</v>
      </c>
      <c r="G16" s="1073">
        <v>2.7404453723894759</v>
      </c>
      <c r="H16" s="1072">
        <v>5.613716962585892</v>
      </c>
      <c r="I16" s="1072">
        <v>4.6309753001394975</v>
      </c>
      <c r="J16" s="1071">
        <v>5.0751556006506764</v>
      </c>
      <c r="K16" s="1071">
        <v>5.2234615076428206</v>
      </c>
      <c r="L16" s="929">
        <v>6.0062441050954307</v>
      </c>
      <c r="M16" s="1072">
        <v>6.0677129488614092</v>
      </c>
      <c r="N16" s="1072">
        <v>6.5324377095843964</v>
      </c>
      <c r="O16" s="929">
        <v>5.8593506118802754</v>
      </c>
      <c r="P16" s="1072">
        <v>8.5920203408773173</v>
      </c>
      <c r="Q16" s="1072">
        <v>5.9039420854529716</v>
      </c>
      <c r="R16" s="929">
        <v>18.760145396703514</v>
      </c>
    </row>
    <row r="17" spans="1:23" ht="17.45" customHeight="1">
      <c r="A17" s="467">
        <v>2014</v>
      </c>
      <c r="B17" s="468"/>
      <c r="C17" s="1071">
        <v>0.25434351811372979</v>
      </c>
      <c r="D17" s="1072">
        <v>0.61536493248726765</v>
      </c>
      <c r="E17" s="1072">
        <v>0.95304507655732951</v>
      </c>
      <c r="F17" s="1073">
        <v>5.145805426644543</v>
      </c>
      <c r="G17" s="1073">
        <v>5.1931750303415747</v>
      </c>
      <c r="H17" s="1072">
        <v>4.6232231738353509</v>
      </c>
      <c r="I17" s="1072">
        <v>6.0342381561616332</v>
      </c>
      <c r="J17" s="1071">
        <v>5.0161686849379796</v>
      </c>
      <c r="K17" s="1071">
        <v>5.1585007275890202</v>
      </c>
      <c r="L17" s="929">
        <v>5.3073092049443824</v>
      </c>
      <c r="M17" s="1072">
        <v>7.3102677477205642</v>
      </c>
      <c r="N17" s="1072">
        <v>2.7822051022158174</v>
      </c>
      <c r="O17" s="929">
        <v>4.9708381461715678</v>
      </c>
      <c r="P17" s="1072">
        <v>9.0684562636583834</v>
      </c>
      <c r="Q17" s="1072">
        <v>5.3859947316182932</v>
      </c>
      <c r="R17" s="929">
        <v>18.498665368572809</v>
      </c>
    </row>
    <row r="18" spans="1:23" ht="17.45" customHeight="1">
      <c r="A18" s="467">
        <v>2015</v>
      </c>
      <c r="B18" s="468"/>
      <c r="C18" s="1071">
        <v>0.23333805568261445</v>
      </c>
      <c r="D18" s="1072">
        <v>0.65139281212092059</v>
      </c>
      <c r="E18" s="1072">
        <v>1.0864229782737176</v>
      </c>
      <c r="F18" s="1073">
        <v>5.6084290967103634</v>
      </c>
      <c r="G18" s="1073">
        <v>3.6333332211713847</v>
      </c>
      <c r="H18" s="1072">
        <v>5.3541886266262075</v>
      </c>
      <c r="I18" s="1072">
        <v>6.428289315982223</v>
      </c>
      <c r="J18" s="1071">
        <v>5.0305449092351751</v>
      </c>
      <c r="K18" s="1071">
        <v>5.0165909467150973</v>
      </c>
      <c r="L18" s="929">
        <v>5.8371668170385815</v>
      </c>
      <c r="M18" s="1072">
        <v>5.2849711630080982</v>
      </c>
      <c r="N18" s="1072">
        <v>3.8227796740160742</v>
      </c>
      <c r="O18" s="929">
        <v>5.006686436872541</v>
      </c>
      <c r="P18" s="1072">
        <v>21.967522055244526</v>
      </c>
      <c r="Q18" s="1072">
        <v>5.0887035887767338</v>
      </c>
      <c r="R18" s="929">
        <v>19.977930322904573</v>
      </c>
    </row>
    <row r="19" spans="1:23" ht="17.45" customHeight="1">
      <c r="A19" s="467">
        <v>2016</v>
      </c>
      <c r="B19" s="468"/>
      <c r="C19" s="1071">
        <v>0.22493709824148378</v>
      </c>
      <c r="D19" s="1072">
        <v>0.75888842457303718</v>
      </c>
      <c r="E19" s="1072">
        <v>1.2827229164886182</v>
      </c>
      <c r="F19" s="1073">
        <v>7.4930062599344227</v>
      </c>
      <c r="G19" s="1073">
        <v>5.7554158042046542</v>
      </c>
      <c r="H19" s="1072">
        <v>4.4790134614266952</v>
      </c>
      <c r="I19" s="1072">
        <v>6.8304533393048228</v>
      </c>
      <c r="J19" s="1071">
        <v>5.4035814410682956</v>
      </c>
      <c r="K19" s="1071">
        <v>4.9059789118415891</v>
      </c>
      <c r="L19" s="929">
        <v>5.4598388567564609</v>
      </c>
      <c r="M19" s="1072">
        <v>5.2990133996465385</v>
      </c>
      <c r="N19" s="1072">
        <v>3.0354955251205462</v>
      </c>
      <c r="O19" s="929">
        <v>4.7965867487438487</v>
      </c>
      <c r="P19" s="1072">
        <v>21.984905187229913</v>
      </c>
      <c r="Q19" s="1072">
        <v>4.8280412688498071</v>
      </c>
      <c r="R19" s="929">
        <v>19.714060887612629</v>
      </c>
    </row>
    <row r="20" spans="1:23" ht="17.45" customHeight="1">
      <c r="A20" s="467">
        <v>2017</v>
      </c>
      <c r="B20" s="468"/>
      <c r="C20" s="1071">
        <v>0.20952586045057611</v>
      </c>
      <c r="D20" s="1072">
        <v>1.1205502745960598</v>
      </c>
      <c r="E20" s="1072">
        <v>1.5925588975002059</v>
      </c>
      <c r="F20" s="1073">
        <v>6.2786941600733153</v>
      </c>
      <c r="G20" s="1073">
        <v>6.40973790292845</v>
      </c>
      <c r="H20" s="1072">
        <v>5.6402067461210628</v>
      </c>
      <c r="I20" s="1072">
        <v>5.9462259099067714</v>
      </c>
      <c r="J20" s="1071">
        <v>5.9878016894142547</v>
      </c>
      <c r="K20" s="1071">
        <v>5.3558650642239076</v>
      </c>
      <c r="L20" s="929">
        <v>5.2690967533673181</v>
      </c>
      <c r="M20" s="1072">
        <v>5.5537780645503103</v>
      </c>
      <c r="N20" s="1072">
        <v>3.515380444925301</v>
      </c>
      <c r="O20" s="929">
        <v>4.9579448832672295</v>
      </c>
      <c r="P20" s="1072">
        <v>21.784623070182271</v>
      </c>
      <c r="Q20" s="1072">
        <v>5.0056111634683429</v>
      </c>
      <c r="R20" s="929">
        <v>19.619789732555223</v>
      </c>
    </row>
    <row r="21" spans="1:23" ht="17.25" customHeight="1">
      <c r="A21" s="467">
        <v>2018</v>
      </c>
      <c r="B21" s="468"/>
      <c r="C21" s="1071">
        <f t="shared" ref="C21:R21" si="0">C25</f>
        <v>0.21263140882932008</v>
      </c>
      <c r="D21" s="1072">
        <f t="shared" si="0"/>
        <v>1.8078571688335989</v>
      </c>
      <c r="E21" s="1071">
        <f t="shared" si="0"/>
        <v>2.3749567948233063</v>
      </c>
      <c r="F21" s="1073">
        <f t="shared" si="0"/>
        <v>6.9596411312786444</v>
      </c>
      <c r="G21" s="1073">
        <f t="shared" si="0"/>
        <v>4.9754568684801024</v>
      </c>
      <c r="H21" s="1072">
        <f t="shared" si="0"/>
        <v>6.5468086395199174</v>
      </c>
      <c r="I21" s="1072">
        <f t="shared" si="0"/>
        <v>6.9965321696692326</v>
      </c>
      <c r="J21" s="1071">
        <f t="shared" si="0"/>
        <v>6.4968899622284697</v>
      </c>
      <c r="K21" s="1071">
        <f t="shared" si="0"/>
        <v>6.3946661590933065</v>
      </c>
      <c r="L21" s="929">
        <f t="shared" si="0"/>
        <v>5.9250114259217828</v>
      </c>
      <c r="M21" s="1071">
        <f t="shared" si="0"/>
        <v>6.0819650943682504</v>
      </c>
      <c r="N21" s="1072">
        <f t="shared" si="0"/>
        <v>4.6154847048785754</v>
      </c>
      <c r="O21" s="1071">
        <f t="shared" si="0"/>
        <v>5.0999798172974664</v>
      </c>
      <c r="P21" s="1071">
        <f t="shared" si="0"/>
        <v>20.033874717128793</v>
      </c>
      <c r="Q21" s="1071">
        <f t="shared" si="0"/>
        <v>5.1859576032685846</v>
      </c>
      <c r="R21" s="929">
        <f t="shared" si="0"/>
        <v>20.22315293106638</v>
      </c>
    </row>
    <row r="22" spans="1:23" ht="17.25" customHeight="1">
      <c r="A22" s="923">
        <v>2019</v>
      </c>
      <c r="B22" s="974"/>
      <c r="C22" s="1906">
        <f t="shared" ref="C22:R22" si="1">C29</f>
        <v>0.22551722974474736</v>
      </c>
      <c r="D22" s="1907">
        <f t="shared" si="1"/>
        <v>1.3119383468681682</v>
      </c>
      <c r="E22" s="1906">
        <f t="shared" si="1"/>
        <v>1.6056774455402882</v>
      </c>
      <c r="F22" s="1908">
        <f t="shared" si="1"/>
        <v>6.1895688736941104</v>
      </c>
      <c r="G22" s="1908">
        <f t="shared" si="1"/>
        <v>3.6679800804031331</v>
      </c>
      <c r="H22" s="1907">
        <f t="shared" si="1"/>
        <v>5.7778695712208137</v>
      </c>
      <c r="I22" s="1907">
        <f t="shared" si="1"/>
        <v>6.2397380535792539</v>
      </c>
      <c r="J22" s="1906">
        <f t="shared" si="1"/>
        <v>4.870425881317975</v>
      </c>
      <c r="K22" s="1906">
        <f t="shared" si="1"/>
        <v>4.9698827438585482</v>
      </c>
      <c r="L22" s="975">
        <f t="shared" si="1"/>
        <v>5.3842467801922282</v>
      </c>
      <c r="M22" s="1906">
        <f t="shared" si="1"/>
        <v>6.2745697610232476</v>
      </c>
      <c r="N22" s="1907">
        <f t="shared" si="1"/>
        <v>4.4980024583921283</v>
      </c>
      <c r="O22" s="1906">
        <f t="shared" si="1"/>
        <v>4.8273501981623212</v>
      </c>
      <c r="P22" s="1906">
        <f t="shared" si="1"/>
        <v>20.133247002488133</v>
      </c>
      <c r="Q22" s="1906">
        <f t="shared" si="1"/>
        <v>4.9118549442238875</v>
      </c>
      <c r="R22" s="975">
        <f t="shared" si="1"/>
        <v>21.062937414893124</v>
      </c>
    </row>
    <row r="23" spans="1:23" ht="23.85" customHeight="1">
      <c r="A23" s="467">
        <v>2018</v>
      </c>
      <c r="B23" s="468" t="s">
        <v>223</v>
      </c>
      <c r="C23" s="1071">
        <v>0.20889736960369851</v>
      </c>
      <c r="D23" s="1072">
        <v>1.473741235631258</v>
      </c>
      <c r="E23" s="1071">
        <v>2.0037807362974336</v>
      </c>
      <c r="F23" s="1073">
        <v>6.641338037209283</v>
      </c>
      <c r="G23" s="1073">
        <v>5.869895452330165</v>
      </c>
      <c r="H23" s="1072">
        <v>6.1327870421289568</v>
      </c>
      <c r="I23" s="1072">
        <v>6.5416078354609972</v>
      </c>
      <c r="J23" s="1071">
        <v>6.4224071666046045</v>
      </c>
      <c r="K23" s="1071">
        <v>6.0898665352446057</v>
      </c>
      <c r="L23" s="929">
        <v>5.5926556273054748</v>
      </c>
      <c r="M23" s="1071">
        <v>5.5575598078671371</v>
      </c>
      <c r="N23" s="1072">
        <v>5.5023543899144967</v>
      </c>
      <c r="O23" s="1071">
        <v>5.1723081485999414</v>
      </c>
      <c r="P23" s="1071">
        <v>21.977388082140788</v>
      </c>
      <c r="Q23" s="1071">
        <v>5.286061835401215</v>
      </c>
      <c r="R23" s="929">
        <v>20.391380744267124</v>
      </c>
    </row>
    <row r="24" spans="1:23" ht="17.25" customHeight="1">
      <c r="A24" s="467"/>
      <c r="B24" s="468" t="s">
        <v>224</v>
      </c>
      <c r="C24" s="1071">
        <v>0.21594669584463341</v>
      </c>
      <c r="D24" s="1072">
        <v>1.4944706395409542</v>
      </c>
      <c r="E24" s="1071">
        <v>2.2703986563089069</v>
      </c>
      <c r="F24" s="1073">
        <v>6.6414188510302727</v>
      </c>
      <c r="G24" s="1073">
        <v>6.5650885217399813</v>
      </c>
      <c r="H24" s="1072">
        <v>6.0708938771771255</v>
      </c>
      <c r="I24" s="1072">
        <v>7.2631982370803838</v>
      </c>
      <c r="J24" s="1071">
        <v>6.3832331860267013</v>
      </c>
      <c r="K24" s="1071">
        <v>6.3829012713565634</v>
      </c>
      <c r="L24" s="929">
        <v>5.6940277054815072</v>
      </c>
      <c r="M24" s="1071">
        <v>5.7100611412611899</v>
      </c>
      <c r="N24" s="1072">
        <v>3.5461519277848592</v>
      </c>
      <c r="O24" s="1071">
        <v>5.285364823141423</v>
      </c>
      <c r="P24" s="1071">
        <v>20.142083729182474</v>
      </c>
      <c r="Q24" s="1071">
        <v>5.35261150813571</v>
      </c>
      <c r="R24" s="929">
        <v>20.219047005860826</v>
      </c>
      <c r="S24" s="469"/>
      <c r="T24" s="469"/>
      <c r="U24" s="469"/>
      <c r="V24" s="469"/>
      <c r="W24" s="469"/>
    </row>
    <row r="25" spans="1:23" ht="17.25" customHeight="1">
      <c r="A25" s="467"/>
      <c r="B25" s="468" t="s">
        <v>225</v>
      </c>
      <c r="C25" s="1071">
        <v>0.21263140882932008</v>
      </c>
      <c r="D25" s="1072">
        <v>1.8078571688335989</v>
      </c>
      <c r="E25" s="1071">
        <v>2.3749567948233063</v>
      </c>
      <c r="F25" s="1073">
        <v>6.9596411312786444</v>
      </c>
      <c r="G25" s="1073">
        <v>4.9754568684801024</v>
      </c>
      <c r="H25" s="1072">
        <v>6.5468086395199174</v>
      </c>
      <c r="I25" s="1072">
        <v>6.9965321696692326</v>
      </c>
      <c r="J25" s="1071">
        <v>6.4968899622284697</v>
      </c>
      <c r="K25" s="1071">
        <v>6.3946661590933065</v>
      </c>
      <c r="L25" s="929">
        <v>5.9250114259217828</v>
      </c>
      <c r="M25" s="1071">
        <v>6.0819650943682504</v>
      </c>
      <c r="N25" s="1072">
        <v>4.6154847048785754</v>
      </c>
      <c r="O25" s="1071">
        <v>5.0999798172974664</v>
      </c>
      <c r="P25" s="1071">
        <v>20.033874717128793</v>
      </c>
      <c r="Q25" s="1071">
        <v>5.1859576032685846</v>
      </c>
      <c r="R25" s="929">
        <v>20.22315293106638</v>
      </c>
    </row>
    <row r="26" spans="1:23" ht="23.85" customHeight="1">
      <c r="A26" s="467">
        <v>2019</v>
      </c>
      <c r="B26" s="468" t="s">
        <v>222</v>
      </c>
      <c r="C26" s="1071">
        <v>0.2212392511185223</v>
      </c>
      <c r="D26" s="1072">
        <v>1.8514477226768866</v>
      </c>
      <c r="E26" s="1071">
        <v>2.2747276281420619</v>
      </c>
      <c r="F26" s="1073">
        <v>6.3038956320727424</v>
      </c>
      <c r="G26" s="1073">
        <v>4.5789055123663678</v>
      </c>
      <c r="H26" s="1072">
        <v>6.5406214750836043</v>
      </c>
      <c r="I26" s="1072">
        <v>4.8933146564023664</v>
      </c>
      <c r="J26" s="1071">
        <v>5.1982499269900826</v>
      </c>
      <c r="K26" s="1071">
        <v>5.725155149317243</v>
      </c>
      <c r="L26" s="929">
        <v>5.7803520947592917</v>
      </c>
      <c r="M26" s="1071">
        <v>5.8492938121039826</v>
      </c>
      <c r="N26" s="1072">
        <v>4.7787752643004549</v>
      </c>
      <c r="O26" s="1071">
        <v>5.1436762185338161</v>
      </c>
      <c r="P26" s="1071">
        <v>20.137619694693988</v>
      </c>
      <c r="Q26" s="1071">
        <v>5.2170216385920778</v>
      </c>
      <c r="R26" s="929">
        <v>21.026940532756985</v>
      </c>
      <c r="S26" s="469"/>
      <c r="T26" s="469"/>
    </row>
    <row r="27" spans="1:23" ht="17.25" customHeight="1">
      <c r="A27" s="467"/>
      <c r="B27" s="468" t="s">
        <v>223</v>
      </c>
      <c r="C27" s="1071">
        <f t="shared" ref="C27:R27" si="2">C33</f>
        <v>0.21614133627101073</v>
      </c>
      <c r="D27" s="1072">
        <f t="shared" si="2"/>
        <v>1.5363975863999966</v>
      </c>
      <c r="E27" s="1071">
        <f t="shared" si="2"/>
        <v>1.7719878302299481</v>
      </c>
      <c r="F27" s="1073">
        <f t="shared" si="2"/>
        <v>6.8811523544862201</v>
      </c>
      <c r="G27" s="1073">
        <f t="shared" si="2"/>
        <v>3.6842194600055223</v>
      </c>
      <c r="H27" s="1072">
        <f t="shared" si="2"/>
        <v>6.4861797272686452</v>
      </c>
      <c r="I27" s="1072">
        <f t="shared" si="2"/>
        <v>6.7605471971643976</v>
      </c>
      <c r="J27" s="1071">
        <f t="shared" si="2"/>
        <v>5.1394325321701846</v>
      </c>
      <c r="K27" s="1071">
        <f t="shared" si="2"/>
        <v>5.827667957769112</v>
      </c>
      <c r="L27" s="929">
        <f t="shared" si="2"/>
        <v>5.9419879505932789</v>
      </c>
      <c r="M27" s="1071">
        <f t="shared" si="2"/>
        <v>6.3549279393039813</v>
      </c>
      <c r="N27" s="1072">
        <f t="shared" si="2"/>
        <v>4.5102962318566266</v>
      </c>
      <c r="O27" s="1071">
        <f t="shared" si="2"/>
        <v>4.9768535509946572</v>
      </c>
      <c r="P27" s="1071">
        <f t="shared" si="2"/>
        <v>20.192505576419581</v>
      </c>
      <c r="Q27" s="1071">
        <f t="shared" si="2"/>
        <v>5.0718493954519186</v>
      </c>
      <c r="R27" s="929">
        <f t="shared" si="2"/>
        <v>21.047250254868164</v>
      </c>
      <c r="S27" s="469"/>
      <c r="T27" s="469"/>
      <c r="U27" s="469"/>
      <c r="V27" s="469"/>
      <c r="W27" s="469"/>
    </row>
    <row r="28" spans="1:23" ht="17.25" customHeight="1">
      <c r="A28" s="467"/>
      <c r="B28" s="468" t="s">
        <v>224</v>
      </c>
      <c r="C28" s="1071">
        <f t="shared" ref="C28:R28" si="3">C36</f>
        <v>0.22501915509602843</v>
      </c>
      <c r="D28" s="1072">
        <f t="shared" si="3"/>
        <v>1.3923773555731869</v>
      </c>
      <c r="E28" s="1071">
        <f t="shared" si="3"/>
        <v>1.6766907935544646</v>
      </c>
      <c r="F28" s="1073">
        <f t="shared" si="3"/>
        <v>6.2832778326211409</v>
      </c>
      <c r="G28" s="1073">
        <f t="shared" si="3"/>
        <v>3.5556937755220535</v>
      </c>
      <c r="H28" s="1072">
        <f t="shared" si="3"/>
        <v>6.0335542337952974</v>
      </c>
      <c r="I28" s="1072">
        <f t="shared" si="3"/>
        <v>6.5076594664947924</v>
      </c>
      <c r="J28" s="1071">
        <f t="shared" si="3"/>
        <v>4.5150147386150721</v>
      </c>
      <c r="K28" s="1071">
        <f t="shared" si="3"/>
        <v>5.1026414621051419</v>
      </c>
      <c r="L28" s="929">
        <f t="shared" si="3"/>
        <v>5.5754020235730755</v>
      </c>
      <c r="M28" s="1071">
        <f t="shared" si="3"/>
        <v>6.4868430849746215</v>
      </c>
      <c r="N28" s="1072">
        <f t="shared" si="3"/>
        <v>3.9817495505861187</v>
      </c>
      <c r="O28" s="1071">
        <f t="shared" si="3"/>
        <v>4.9032599607701295</v>
      </c>
      <c r="P28" s="1071">
        <f t="shared" si="3"/>
        <v>20.187137754484837</v>
      </c>
      <c r="Q28" s="1071">
        <f t="shared" si="3"/>
        <v>4.9762523588840288</v>
      </c>
      <c r="R28" s="929">
        <f t="shared" si="3"/>
        <v>21.03811891109768</v>
      </c>
      <c r="S28" s="469"/>
      <c r="T28" s="469"/>
      <c r="U28" s="469"/>
      <c r="V28" s="469"/>
      <c r="W28" s="469"/>
    </row>
    <row r="29" spans="1:23" s="469" customFormat="1" ht="17.25" customHeight="1">
      <c r="A29" s="467"/>
      <c r="B29" s="468" t="s">
        <v>225</v>
      </c>
      <c r="C29" s="1071">
        <f t="shared" ref="C29:R29" si="4">C39</f>
        <v>0.22551722974474736</v>
      </c>
      <c r="D29" s="1072">
        <f t="shared" si="4"/>
        <v>1.3119383468681682</v>
      </c>
      <c r="E29" s="1071">
        <f t="shared" si="4"/>
        <v>1.6056774455402882</v>
      </c>
      <c r="F29" s="1073">
        <f t="shared" si="4"/>
        <v>6.1895688736941104</v>
      </c>
      <c r="G29" s="1073">
        <f t="shared" si="4"/>
        <v>3.6679800804031331</v>
      </c>
      <c r="H29" s="1072">
        <f t="shared" si="4"/>
        <v>5.7778695712208137</v>
      </c>
      <c r="I29" s="1072">
        <f t="shared" si="4"/>
        <v>6.2397380535792539</v>
      </c>
      <c r="J29" s="1071">
        <f t="shared" si="4"/>
        <v>4.870425881317975</v>
      </c>
      <c r="K29" s="1071">
        <f t="shared" si="4"/>
        <v>4.9698827438585482</v>
      </c>
      <c r="L29" s="929">
        <f t="shared" si="4"/>
        <v>5.3842467801922282</v>
      </c>
      <c r="M29" s="1071">
        <f t="shared" si="4"/>
        <v>6.2745697610232476</v>
      </c>
      <c r="N29" s="1072">
        <f t="shared" si="4"/>
        <v>4.4980024583921283</v>
      </c>
      <c r="O29" s="1071">
        <f t="shared" si="4"/>
        <v>4.8273501981623212</v>
      </c>
      <c r="P29" s="1071">
        <f t="shared" si="4"/>
        <v>20.133247002488133</v>
      </c>
      <c r="Q29" s="1071">
        <f t="shared" si="4"/>
        <v>4.9118549442238875</v>
      </c>
      <c r="R29" s="929">
        <f t="shared" si="4"/>
        <v>21.062937414893124</v>
      </c>
    </row>
    <row r="30" spans="1:23" ht="21" customHeight="1">
      <c r="A30" s="923">
        <v>2020</v>
      </c>
      <c r="B30" s="974" t="s">
        <v>222</v>
      </c>
      <c r="C30" s="1906">
        <f t="shared" ref="C30:R30" si="5">C42</f>
        <v>0.22692707584958319</v>
      </c>
      <c r="D30" s="1907">
        <f t="shared" si="5"/>
        <v>1.0405399796349224</v>
      </c>
      <c r="E30" s="1906">
        <f t="shared" si="5"/>
        <v>0.98197135541846836</v>
      </c>
      <c r="F30" s="1908">
        <f t="shared" si="5"/>
        <v>5.3290977168032176</v>
      </c>
      <c r="G30" s="1908">
        <f t="shared" si="5"/>
        <v>3.0754120319221574</v>
      </c>
      <c r="H30" s="1907">
        <f t="shared" si="5"/>
        <v>4.7640521245008127</v>
      </c>
      <c r="I30" s="1907">
        <f t="shared" si="5"/>
        <v>4.6836340794423066</v>
      </c>
      <c r="J30" s="1906">
        <f t="shared" si="5"/>
        <v>4.1557326054990531</v>
      </c>
      <c r="K30" s="1906">
        <f t="shared" si="5"/>
        <v>4.5931591906435809</v>
      </c>
      <c r="L30" s="975">
        <f t="shared" si="5"/>
        <v>5.0645847670826605</v>
      </c>
      <c r="M30" s="1906">
        <f t="shared" si="5"/>
        <v>6.1831621699957191</v>
      </c>
      <c r="N30" s="1907">
        <f t="shared" si="5"/>
        <v>3.5343098991852324</v>
      </c>
      <c r="O30" s="1906">
        <f t="shared" si="5"/>
        <v>4.7227413204377475</v>
      </c>
      <c r="P30" s="1906">
        <f t="shared" si="5"/>
        <v>19.796579714691255</v>
      </c>
      <c r="Q30" s="1906">
        <f t="shared" si="5"/>
        <v>4.7921545314413132</v>
      </c>
      <c r="R30" s="975">
        <f t="shared" si="5"/>
        <v>21.015189718067081</v>
      </c>
    </row>
    <row r="31" spans="1:23" ht="23.85" customHeight="1">
      <c r="A31" s="467">
        <v>2019</v>
      </c>
      <c r="B31" s="468" t="s">
        <v>399</v>
      </c>
      <c r="C31" s="1071">
        <f>'[18]6'!$B$17</f>
        <v>0.21459997984006096</v>
      </c>
      <c r="D31" s="1072">
        <f>'[18]6'!$C$20</f>
        <v>1.7620017017136766</v>
      </c>
      <c r="E31" s="1072">
        <f>'[18]6'!$D$20</f>
        <v>2.0570993421814032</v>
      </c>
      <c r="F31" s="1073">
        <f>'[18]6'!$E$60</f>
        <v>7.1207584077450221</v>
      </c>
      <c r="G31" s="1073">
        <f>'[18]6'!$I$60</f>
        <v>5.6264204587021354</v>
      </c>
      <c r="H31" s="1072">
        <f>'[18]6'!$M$60</f>
        <v>6.519970222765787</v>
      </c>
      <c r="I31" s="1072">
        <f>'[18]6'!$Q$60</f>
        <v>6.481779162728424</v>
      </c>
      <c r="J31" s="1071">
        <f>'[18]6'!$S$60</f>
        <v>6.7860513414337467</v>
      </c>
      <c r="K31" s="1071">
        <f>'[18]6'!$T$60</f>
        <v>6.4490992295059808</v>
      </c>
      <c r="L31" s="929">
        <f>'[18]6'!$E$99</f>
        <v>5.9601347999105458</v>
      </c>
      <c r="M31" s="1072">
        <f>'[18]6'!$I$99</f>
        <v>6.3155575635179408</v>
      </c>
      <c r="N31" s="1072">
        <f>'[18]6'!$M$99</f>
        <v>4.6239684358101591</v>
      </c>
      <c r="O31" s="929">
        <f>'[18]6'!$Q$99</f>
        <v>5.1798336547413122</v>
      </c>
      <c r="P31" s="1072">
        <f>'[18]6'!$S$99</f>
        <v>20.237308764368478</v>
      </c>
      <c r="Q31" s="1072">
        <f>'[18]6'!$T$99</f>
        <v>5.2488909688097412</v>
      </c>
      <c r="R31" s="929">
        <f>'[18]6'!$R$99</f>
        <v>21.051811179935324</v>
      </c>
    </row>
    <row r="32" spans="1:23" ht="17.25" customHeight="1">
      <c r="A32" s="467"/>
      <c r="B32" s="468" t="s">
        <v>400</v>
      </c>
      <c r="C32" s="1071">
        <f>'[19]6'!$B$17</f>
        <v>0.21512642770096246</v>
      </c>
      <c r="D32" s="1072">
        <f>'[19]6'!$C$20</f>
        <v>1.6008072841942911</v>
      </c>
      <c r="E32" s="1072">
        <f>'[19]6'!$D$20</f>
        <v>1.857919481998227</v>
      </c>
      <c r="F32" s="1073">
        <f>'[19]6'!$E$60</f>
        <v>6.5961930331592278</v>
      </c>
      <c r="G32" s="1073">
        <f>'[19]6'!$I$60</f>
        <v>5.5346764137435986</v>
      </c>
      <c r="H32" s="1072">
        <f>'[19]6'!$M$60</f>
        <v>6.1390075129620429</v>
      </c>
      <c r="I32" s="1072">
        <f>'[19]6'!$Q$60</f>
        <v>7.2977313596247333</v>
      </c>
      <c r="J32" s="1071">
        <f>'[19]6'!$S$60</f>
        <v>6.6006642710337502</v>
      </c>
      <c r="K32" s="1071">
        <f>'[19]6'!$T$60</f>
        <v>6.4488964864670955</v>
      </c>
      <c r="L32" s="929">
        <f>'[19]6'!$E$99</f>
        <v>5.9231582647882322</v>
      </c>
      <c r="M32" s="1072">
        <f>'[19]6'!$I$99</f>
        <v>6.2440591088284023</v>
      </c>
      <c r="N32" s="1072">
        <f>'[19]6'!$M$99</f>
        <v>5.4895862022708606</v>
      </c>
      <c r="O32" s="929">
        <f>'[19]6'!$Q$99</f>
        <v>5.2381693521341699</v>
      </c>
      <c r="P32" s="1072">
        <f>'[19]6'!$S$99</f>
        <v>20.20300465861682</v>
      </c>
      <c r="Q32" s="1072">
        <f>'[19]6'!$T$99</f>
        <v>5.3172592633433959</v>
      </c>
      <c r="R32" s="929">
        <f>'[19]6'!$R$99</f>
        <v>21.065382442957315</v>
      </c>
    </row>
    <row r="33" spans="1:18" ht="17.25" customHeight="1">
      <c r="A33" s="467"/>
      <c r="B33" s="468" t="s">
        <v>401</v>
      </c>
      <c r="C33" s="1071">
        <f>'[20]6'!$B$17</f>
        <v>0.21614133627101073</v>
      </c>
      <c r="D33" s="1072">
        <f>'[20]6'!$C$20</f>
        <v>1.5363975863999966</v>
      </c>
      <c r="E33" s="1072">
        <f>'[20]6'!$D$20</f>
        <v>1.7719878302299481</v>
      </c>
      <c r="F33" s="1073">
        <f>'[20]6'!$E$60</f>
        <v>6.8811523544862201</v>
      </c>
      <c r="G33" s="1073">
        <f>'[20]6'!$I$60</f>
        <v>3.6842194600055223</v>
      </c>
      <c r="H33" s="1072">
        <f>'[20]6'!$M$60</f>
        <v>6.4861797272686452</v>
      </c>
      <c r="I33" s="1072">
        <f>'[20]6'!$Q$60</f>
        <v>6.7605471971643976</v>
      </c>
      <c r="J33" s="1071">
        <f>'[20]6'!$S$60</f>
        <v>5.1394325321701846</v>
      </c>
      <c r="K33" s="1071">
        <f>'[20]6'!$T$60</f>
        <v>5.827667957769112</v>
      </c>
      <c r="L33" s="929">
        <f>'[20]6'!$E$99</f>
        <v>5.9419879505932789</v>
      </c>
      <c r="M33" s="1072">
        <f>'[20]6'!$I$99</f>
        <v>6.3549279393039813</v>
      </c>
      <c r="N33" s="1072">
        <f>'[20]6'!$M$99</f>
        <v>4.5102962318566266</v>
      </c>
      <c r="O33" s="929">
        <f>'[20]6'!$Q$99</f>
        <v>4.9768535509946572</v>
      </c>
      <c r="P33" s="1072">
        <f>'[20]6'!$S$99</f>
        <v>20.192505576419581</v>
      </c>
      <c r="Q33" s="1072">
        <f>'[20]6'!$T$99</f>
        <v>5.0718493954519186</v>
      </c>
      <c r="R33" s="929">
        <f>'[20]6'!$R$99</f>
        <v>21.047250254868164</v>
      </c>
    </row>
    <row r="34" spans="1:18" ht="17.25" customHeight="1">
      <c r="A34" s="467"/>
      <c r="B34" s="468" t="s">
        <v>402</v>
      </c>
      <c r="C34" s="1071">
        <f>'[21]6'!$B$17</f>
        <v>0.21642751807900776</v>
      </c>
      <c r="D34" s="1072">
        <f>'[21]6'!$C$20</f>
        <v>1.5108622410916228</v>
      </c>
      <c r="E34" s="1072">
        <f>'[21]6'!$D$20</f>
        <v>1.7645137276761846</v>
      </c>
      <c r="F34" s="1073">
        <f>'[21]6'!$E$60</f>
        <v>6.6593800870178477</v>
      </c>
      <c r="G34" s="1073">
        <f>'[21]6'!$I$60</f>
        <v>4.406168220025477</v>
      </c>
      <c r="H34" s="1072">
        <f>'[21]6'!$M$60</f>
        <v>6.3238931938630474</v>
      </c>
      <c r="I34" s="1072">
        <f>'[21]6'!$Q$60</f>
        <v>6.7492045209314195</v>
      </c>
      <c r="J34" s="1071">
        <f>'[21]6'!$S$60</f>
        <v>5.760862157875752</v>
      </c>
      <c r="K34" s="1071">
        <f>'[21]6'!$T$60</f>
        <v>5.7059886201191876</v>
      </c>
      <c r="L34" s="929">
        <f>'[21]6'!$E$99</f>
        <v>5.4377891528573823</v>
      </c>
      <c r="M34" s="1072">
        <f>'[21]6'!$I$99</f>
        <v>5.8956319005529565</v>
      </c>
      <c r="N34" s="1072">
        <f>'[21]6'!$M$99</f>
        <v>4.5499577359375598</v>
      </c>
      <c r="O34" s="929">
        <f>'[21]6'!$Q$99</f>
        <v>4.9680915594908353</v>
      </c>
      <c r="P34" s="1072">
        <f>'[21]6'!$S$99</f>
        <v>20.120290547387224</v>
      </c>
      <c r="Q34" s="1072">
        <f>'[21]6'!$T$99</f>
        <v>5.0323544344066011</v>
      </c>
      <c r="R34" s="929">
        <f>'[21]6'!$R$99</f>
        <v>21.044204290241748</v>
      </c>
    </row>
    <row r="35" spans="1:18" ht="17.25" customHeight="1">
      <c r="A35" s="467"/>
      <c r="B35" s="468" t="s">
        <v>403</v>
      </c>
      <c r="C35" s="1071">
        <f>'[22]6'!$B$17</f>
        <v>0.22458639656330756</v>
      </c>
      <c r="D35" s="1072">
        <f>'[22]6'!$C$20</f>
        <v>1.3793269689663163</v>
      </c>
      <c r="E35" s="1072">
        <f>'[22]6'!$D$20</f>
        <v>1.7199477385864057</v>
      </c>
      <c r="F35" s="1073">
        <f>'[22]6'!$E$60</f>
        <v>7.180886752605133</v>
      </c>
      <c r="G35" s="1073">
        <f>'[22]6'!$I$60</f>
        <v>4.6204749225135435</v>
      </c>
      <c r="H35" s="1072">
        <f>'[22]6'!$M$60</f>
        <v>6.1435354790227779</v>
      </c>
      <c r="I35" s="1072">
        <f>'[22]6'!$Q$60</f>
        <v>6.5911106480503188</v>
      </c>
      <c r="J35" s="1071">
        <f>'[22]6'!$S$60</f>
        <v>6.5186048961293803</v>
      </c>
      <c r="K35" s="1071">
        <f>'[22]6'!$T$60</f>
        <v>6.0397377026400108</v>
      </c>
      <c r="L35" s="929">
        <f>'[22]6'!$E$99</f>
        <v>5.9244232196659263</v>
      </c>
      <c r="M35" s="1072">
        <f>'[22]6'!$I$99</f>
        <v>6.53584353128762</v>
      </c>
      <c r="N35" s="1072">
        <f>'[22]6'!$M$99</f>
        <v>4.464752823513666</v>
      </c>
      <c r="O35" s="929">
        <f>'[22]6'!$Q$99</f>
        <v>5.0061911928569307</v>
      </c>
      <c r="P35" s="1072">
        <f>'[22]6'!$S$99</f>
        <v>20.271395811197817</v>
      </c>
      <c r="Q35" s="1072">
        <f>'[22]6'!$T$99</f>
        <v>5.1081431830233619</v>
      </c>
      <c r="R35" s="929">
        <f>'[22]6'!$R$99</f>
        <v>21.099601877378866</v>
      </c>
    </row>
    <row r="36" spans="1:18" ht="17.25" customHeight="1">
      <c r="A36" s="467"/>
      <c r="B36" s="468" t="s">
        <v>404</v>
      </c>
      <c r="C36" s="1071">
        <f>'[23]6'!$B$17</f>
        <v>0.22501915509602843</v>
      </c>
      <c r="D36" s="1072">
        <f>'[23]6'!$C$20</f>
        <v>1.3923773555731869</v>
      </c>
      <c r="E36" s="1072">
        <f>'[23]6'!$D$20</f>
        <v>1.6766907935544646</v>
      </c>
      <c r="F36" s="1073">
        <f>'[23]6'!$E$60</f>
        <v>6.2832778326211409</v>
      </c>
      <c r="G36" s="1073">
        <f>'[23]6'!$I$60</f>
        <v>3.5556937755220535</v>
      </c>
      <c r="H36" s="1072">
        <f>'[23]6'!$M$60</f>
        <v>6.0335542337952974</v>
      </c>
      <c r="I36" s="1072">
        <f>'[23]6'!$Q$60</f>
        <v>6.5076594664947924</v>
      </c>
      <c r="J36" s="1071">
        <f>'[23]6'!$S$60</f>
        <v>4.5150147386150721</v>
      </c>
      <c r="K36" s="1071">
        <f>'[23]6'!$T$60</f>
        <v>5.1026414621051419</v>
      </c>
      <c r="L36" s="929">
        <f>'[23]6'!$E$99</f>
        <v>5.5754020235730755</v>
      </c>
      <c r="M36" s="1072">
        <f>'[23]6'!$I$99</f>
        <v>6.4868430849746215</v>
      </c>
      <c r="N36" s="1072">
        <f>'[23]6'!$M$99</f>
        <v>3.9817495505861187</v>
      </c>
      <c r="O36" s="929">
        <f>'[23]6'!$Q$99</f>
        <v>4.9032599607701295</v>
      </c>
      <c r="P36" s="1072">
        <f>'[23]6'!$S$99</f>
        <v>20.187137754484837</v>
      </c>
      <c r="Q36" s="1072">
        <f>'[23]6'!$T$99</f>
        <v>4.9762523588840288</v>
      </c>
      <c r="R36" s="929">
        <f>'[23]6'!$R$99</f>
        <v>21.03811891109768</v>
      </c>
    </row>
    <row r="37" spans="1:18" ht="17.25" customHeight="1">
      <c r="A37" s="467"/>
      <c r="B37" s="468" t="s">
        <v>405</v>
      </c>
      <c r="C37" s="1071">
        <f>'[24]6'!$B$17</f>
        <v>0.22279053574127641</v>
      </c>
      <c r="D37" s="1072">
        <f>'[24]6'!$C$20</f>
        <v>1.2863268605465588</v>
      </c>
      <c r="E37" s="1072">
        <f>'[24]6'!$D$20</f>
        <v>1.6158784069328944</v>
      </c>
      <c r="F37" s="1073">
        <f>'[24]6'!$E$60</f>
        <v>6.1698236273488325</v>
      </c>
      <c r="G37" s="1073">
        <f>'[24]6'!$I$60</f>
        <v>6.3248569626437723</v>
      </c>
      <c r="H37" s="1072">
        <f>'[24]6'!$M$60</f>
        <v>6.4809587815568515</v>
      </c>
      <c r="I37" s="1072">
        <f>'[24]6'!$Q$60</f>
        <v>6.458534591985222</v>
      </c>
      <c r="J37" s="1071">
        <f>'[24]6'!$S$60</f>
        <v>6.3614054912155327</v>
      </c>
      <c r="K37" s="1071">
        <f>'[24]6'!$T$60</f>
        <v>5.7660468707970169</v>
      </c>
      <c r="L37" s="929">
        <f>'[24]6'!$E$99</f>
        <v>5.7730726737939504</v>
      </c>
      <c r="M37" s="1072">
        <f>'[24]6'!$I$99</f>
        <v>6.3322790469198011</v>
      </c>
      <c r="N37" s="1072">
        <f>'[24]6'!$M$99</f>
        <v>3.5610644320869134</v>
      </c>
      <c r="O37" s="929">
        <f>'[24]6'!$Q$99</f>
        <v>4.8337140906653744</v>
      </c>
      <c r="P37" s="1072">
        <f>'[24]6'!$S$99</f>
        <v>20.197949498814218</v>
      </c>
      <c r="Q37" s="1072">
        <f>'[24]6'!$T$99</f>
        <v>4.9483918584310267</v>
      </c>
      <c r="R37" s="929">
        <f>'[24]6'!$R$99</f>
        <v>21.022406416050281</v>
      </c>
    </row>
    <row r="38" spans="1:18" ht="17.25" customHeight="1">
      <c r="A38" s="467"/>
      <c r="B38" s="468" t="s">
        <v>406</v>
      </c>
      <c r="C38" s="1071">
        <f>'[25]6'!$B$17</f>
        <v>0.22264107019082208</v>
      </c>
      <c r="D38" s="1072">
        <f>'[25]6'!$C$20</f>
        <v>1.273736564247953</v>
      </c>
      <c r="E38" s="1072">
        <f>'[25]6'!$D$20</f>
        <v>1.5719700791759281</v>
      </c>
      <c r="F38" s="1073">
        <f>'[25]6'!$E$60</f>
        <v>6.3144056724168314</v>
      </c>
      <c r="G38" s="1073">
        <f>'[25]6'!$I$60</f>
        <v>3.5519662323842249</v>
      </c>
      <c r="H38" s="1072">
        <f>'[25]6'!$M$60</f>
        <v>6.192063799455787</v>
      </c>
      <c r="I38" s="1072">
        <f>'[25]6'!$Q$60</f>
        <v>6.3432714653082716</v>
      </c>
      <c r="J38" s="1071">
        <f>'[25]6'!$S$60</f>
        <v>4.6343193821912019</v>
      </c>
      <c r="K38" s="1071">
        <f>'[25]6'!$T$60</f>
        <v>5.137911481051626</v>
      </c>
      <c r="L38" s="929">
        <f>'[25]6'!$E$99</f>
        <v>5.4033855961179693</v>
      </c>
      <c r="M38" s="1072">
        <f>'[25]6'!$I$99</f>
        <v>6.2252132501964059</v>
      </c>
      <c r="N38" s="1072">
        <f>'[25]6'!$M$99</f>
        <v>3.538887777586496</v>
      </c>
      <c r="O38" s="929">
        <f>'[25]6'!$Q$99</f>
        <v>4.9918357044736306</v>
      </c>
      <c r="P38" s="1072">
        <f>'[25]6'!$S$99</f>
        <v>20.292456402515072</v>
      </c>
      <c r="Q38" s="1072">
        <f>'[25]6'!$T$99</f>
        <v>5.0747260889997863</v>
      </c>
      <c r="R38" s="929">
        <f>'[25]6'!$R$99</f>
        <v>21.065463453021767</v>
      </c>
    </row>
    <row r="39" spans="1:18" ht="17.25" customHeight="1">
      <c r="A39" s="467"/>
      <c r="B39" s="468" t="s">
        <v>407</v>
      </c>
      <c r="C39" s="1071">
        <f>'[26]6'!$B$17</f>
        <v>0.22551722974474736</v>
      </c>
      <c r="D39" s="1072">
        <f>'[26]6'!$C$20</f>
        <v>1.3119383468681682</v>
      </c>
      <c r="E39" s="1072">
        <f>'[26]6'!$D$20</f>
        <v>1.6056774455402882</v>
      </c>
      <c r="F39" s="1073">
        <f>'[26]6'!$E$60</f>
        <v>6.1895688736941104</v>
      </c>
      <c r="G39" s="1073">
        <f>'[26]6'!$I$60</f>
        <v>3.6679800804031331</v>
      </c>
      <c r="H39" s="1072">
        <f>'[26]6'!$M$60</f>
        <v>5.7778695712208137</v>
      </c>
      <c r="I39" s="1072">
        <f>'[26]6'!$Q$60</f>
        <v>6.2397380535792539</v>
      </c>
      <c r="J39" s="1071">
        <f>'[26]6'!$S$60</f>
        <v>4.870425881317975</v>
      </c>
      <c r="K39" s="1071">
        <f>'[26]6'!$T$60</f>
        <v>4.9698827438585482</v>
      </c>
      <c r="L39" s="929">
        <f>'[26]6'!$E$99</f>
        <v>5.3842467801922282</v>
      </c>
      <c r="M39" s="1072">
        <f>'[26]6'!$I$99</f>
        <v>6.2745697610232476</v>
      </c>
      <c r="N39" s="1072">
        <f>'[26]6'!$M$99</f>
        <v>4.4980024583921283</v>
      </c>
      <c r="O39" s="929">
        <f>'[26]6'!$Q$99</f>
        <v>4.8273501981623212</v>
      </c>
      <c r="P39" s="1072">
        <f>'[26]6'!$S$99</f>
        <v>20.133247002488133</v>
      </c>
      <c r="Q39" s="1072">
        <f>'[26]6'!$T$99</f>
        <v>4.9118549442238875</v>
      </c>
      <c r="R39" s="929">
        <f>'[26]6'!$R$99</f>
        <v>21.062937414893124</v>
      </c>
    </row>
    <row r="40" spans="1:18" ht="23.85" customHeight="1">
      <c r="A40" s="467">
        <v>2020</v>
      </c>
      <c r="B40" s="468" t="s">
        <v>408</v>
      </c>
      <c r="C40" s="1071">
        <f>'[27]6'!$B$17</f>
        <v>0.22962240520333568</v>
      </c>
      <c r="D40" s="1072">
        <f>'[27]6'!$C$20</f>
        <v>1.1763884572463235</v>
      </c>
      <c r="E40" s="1072">
        <f>'[27]6'!$D$20</f>
        <v>1.5179496105399146</v>
      </c>
      <c r="F40" s="1073">
        <f>'[27]6'!$E$60</f>
        <v>6.3763777127609771</v>
      </c>
      <c r="G40" s="1073">
        <f>'[27]6'!$I$60</f>
        <v>3.7757441795534201</v>
      </c>
      <c r="H40" s="1072">
        <f>'[27]6'!$M$60</f>
        <v>5.8889915766274106</v>
      </c>
      <c r="I40" s="1072">
        <f>'[27]6'!$Q$60</f>
        <v>6.2783552597771823</v>
      </c>
      <c r="J40" s="1071">
        <f>'[27]6'!$S$60</f>
        <v>4.8152520095048166</v>
      </c>
      <c r="K40" s="1071">
        <f>'[27]6'!$T$60</f>
        <v>5.0884904250091916</v>
      </c>
      <c r="L40" s="929">
        <f>'[27]6'!$E$99</f>
        <v>5.4419951967292342</v>
      </c>
      <c r="M40" s="1072">
        <f>'[27]6'!$I$99</f>
        <v>6.1468512767423125</v>
      </c>
      <c r="N40" s="1072">
        <f>'[27]6'!$M$99</f>
        <v>3.7258386514147754</v>
      </c>
      <c r="O40" s="929">
        <f>'[27]6'!$Q$99</f>
        <v>4.9599294574527075</v>
      </c>
      <c r="P40" s="1072">
        <f>'[27]6'!$S$99</f>
        <v>20.022649880196482</v>
      </c>
      <c r="Q40" s="1072">
        <f>'[27]6'!$T$99</f>
        <v>5.0475855439413575</v>
      </c>
      <c r="R40" s="929">
        <f>'[27]6'!$R$99</f>
        <v>21.041446179230373</v>
      </c>
    </row>
    <row r="41" spans="1:18" ht="17.25" customHeight="1">
      <c r="A41" s="467"/>
      <c r="B41" s="468" t="s">
        <v>409</v>
      </c>
      <c r="C41" s="1071">
        <f>'[28]6'!$B$17</f>
        <v>0.2350715599208375</v>
      </c>
      <c r="D41" s="1072">
        <f>'[28]6'!$C$20</f>
        <v>1.1426175319852845</v>
      </c>
      <c r="E41" s="1072">
        <f>'[28]6'!$D$20</f>
        <v>1.5132611391134416</v>
      </c>
      <c r="F41" s="1073">
        <f>'[28]6'!$E$60</f>
        <v>5.7227737144414847</v>
      </c>
      <c r="G41" s="1073">
        <f>'[28]6'!$I$60</f>
        <v>5.7220937205905544</v>
      </c>
      <c r="H41" s="1072">
        <f>'[28]6'!$M$60</f>
        <v>6.0829674081276606</v>
      </c>
      <c r="I41" s="1072">
        <f>'[28]6'!$Q$60</f>
        <v>6.2401267185558931</v>
      </c>
      <c r="J41" s="1071">
        <f>'[28]6'!$S$60</f>
        <v>5.9299233259207398</v>
      </c>
      <c r="K41" s="1071">
        <f>'[28]6'!$T$60</f>
        <v>5.436342507695703</v>
      </c>
      <c r="L41" s="929">
        <f>'[28]6'!$E$99</f>
        <v>5.3915004579778527</v>
      </c>
      <c r="M41" s="1072">
        <f>'[28]6'!$I$99</f>
        <v>5.8685764155905469</v>
      </c>
      <c r="N41" s="1072">
        <f>'[28]6'!$M$99</f>
        <v>3.7746431135995957</v>
      </c>
      <c r="O41" s="929">
        <f>'[28]6'!$Q$99</f>
        <v>4.9642416301369732</v>
      </c>
      <c r="P41" s="1072">
        <f>'[28]6'!$S$99</f>
        <v>20.113181284037665</v>
      </c>
      <c r="Q41" s="1072">
        <f>'[28]6'!$T$99</f>
        <v>5.030246600570651</v>
      </c>
      <c r="R41" s="929">
        <f>'[28]6'!$R$99</f>
        <v>20.974176637320038</v>
      </c>
    </row>
    <row r="42" spans="1:18" ht="17.25" customHeight="1">
      <c r="A42" s="467"/>
      <c r="B42" s="468" t="s">
        <v>398</v>
      </c>
      <c r="C42" s="1071">
        <f>'[29]6'!$B$17</f>
        <v>0.22692707584958319</v>
      </c>
      <c r="D42" s="1072">
        <f>'[29]6'!$C$20</f>
        <v>1.0405399796349224</v>
      </c>
      <c r="E42" s="1072">
        <f>'[29]6'!$D$20</f>
        <v>0.98197135541846836</v>
      </c>
      <c r="F42" s="1073">
        <f>'[29]6'!$E$60</f>
        <v>5.3290977168032176</v>
      </c>
      <c r="G42" s="1073">
        <f>'[29]6'!$I$60</f>
        <v>3.0754120319221574</v>
      </c>
      <c r="H42" s="1072">
        <f>'[29]6'!$M$60</f>
        <v>4.7640521245008127</v>
      </c>
      <c r="I42" s="1072">
        <f>'[29]6'!$Q$60</f>
        <v>4.6836340794423066</v>
      </c>
      <c r="J42" s="1071">
        <f>'[29]6'!$S$60</f>
        <v>4.1557326054990531</v>
      </c>
      <c r="K42" s="1071">
        <f>'[29]6'!$T$60</f>
        <v>4.5931591906435809</v>
      </c>
      <c r="L42" s="929">
        <f>'[29]6'!$E$99</f>
        <v>5.0645847670826605</v>
      </c>
      <c r="M42" s="1072">
        <f>'[29]6'!$I$99</f>
        <v>6.1831621699957191</v>
      </c>
      <c r="N42" s="1072">
        <f>'[29]6'!$M$99</f>
        <v>3.5343098991852324</v>
      </c>
      <c r="O42" s="929">
        <f>'[29]6'!$Q$99</f>
        <v>4.7227413204377475</v>
      </c>
      <c r="P42" s="1072">
        <f>'[29]6'!$S$99</f>
        <v>19.796579714691255</v>
      </c>
      <c r="Q42" s="1072">
        <f>'[29]6'!$T$99</f>
        <v>4.7921545314413132</v>
      </c>
      <c r="R42" s="929">
        <f>'[29]6'!$R$99</f>
        <v>21.015189718067081</v>
      </c>
    </row>
    <row r="43" spans="1:18" ht="17.25" customHeight="1">
      <c r="A43" s="467"/>
      <c r="B43" s="468" t="s">
        <v>399</v>
      </c>
      <c r="C43" s="1071">
        <f>'[30]6'!$B$17</f>
        <v>0.22430203599039181</v>
      </c>
      <c r="D43" s="1072">
        <f>'[30]6'!$C$20</f>
        <v>1.0709594807319174</v>
      </c>
      <c r="E43" s="1072">
        <f>'[30]6'!$D$20</f>
        <v>1.138225941872929</v>
      </c>
      <c r="F43" s="1073">
        <f>'[30]6'!$E$60</f>
        <v>5.2124743566055747</v>
      </c>
      <c r="G43" s="1073">
        <f>'[30]6'!$I$60</f>
        <v>4.2782912506791488</v>
      </c>
      <c r="H43" s="1072">
        <f>'[30]6'!$M$60</f>
        <v>4.3129871692984798</v>
      </c>
      <c r="I43" s="1072">
        <f>'[30]6'!$Q$60</f>
        <v>6.0682826895419337</v>
      </c>
      <c r="J43" s="1071">
        <f>'[30]6'!$S$60</f>
        <v>4.6198665697516956</v>
      </c>
      <c r="K43" s="1071">
        <f>'[30]6'!$T$60</f>
        <v>4.7724285794039361</v>
      </c>
      <c r="L43" s="929">
        <f>'[30]6'!$E$99</f>
        <v>5.2418150165314623</v>
      </c>
      <c r="M43" s="1072">
        <f>'[30]6'!$I$99</f>
        <v>5.2894602594899851</v>
      </c>
      <c r="N43" s="1072">
        <f>'[30]6'!$M$99</f>
        <v>4.1221000793923182</v>
      </c>
      <c r="O43" s="929">
        <f>'[30]6'!$Q$99</f>
        <v>4.604582771973317</v>
      </c>
      <c r="P43" s="1072">
        <f>'[30]6'!$S$99</f>
        <v>19.825906251500971</v>
      </c>
      <c r="Q43" s="1072">
        <f>'[30]6'!$T$99</f>
        <v>4.7219688059213301</v>
      </c>
      <c r="R43" s="929">
        <f>'[30]6'!$R$99</f>
        <v>20.892521566503159</v>
      </c>
    </row>
    <row r="44" spans="1:18" s="327" customFormat="1" ht="20.25" customHeight="1">
      <c r="A44" s="273" t="s">
        <v>574</v>
      </c>
      <c r="B44" s="273"/>
      <c r="C44" s="273"/>
      <c r="D44" s="273"/>
      <c r="E44" s="273"/>
      <c r="F44" s="273"/>
      <c r="G44" s="273"/>
      <c r="H44" s="273"/>
      <c r="I44" s="273"/>
      <c r="J44" s="273"/>
      <c r="K44" s="273"/>
      <c r="L44" s="273"/>
      <c r="M44" s="273"/>
      <c r="N44" s="273"/>
      <c r="O44" s="273"/>
      <c r="P44" s="273"/>
      <c r="Q44" s="273"/>
      <c r="R44" s="470" t="s">
        <v>575</v>
      </c>
    </row>
    <row r="45" spans="1:18" s="327" customFormat="1" ht="16.5" customHeight="1">
      <c r="A45" s="381" t="s">
        <v>576</v>
      </c>
      <c r="B45" s="381"/>
      <c r="C45" s="381"/>
      <c r="D45" s="381"/>
      <c r="E45" s="381"/>
      <c r="F45" s="381"/>
      <c r="G45" s="381"/>
      <c r="H45" s="381"/>
      <c r="I45" s="381"/>
      <c r="J45" s="381"/>
      <c r="K45" s="381"/>
      <c r="L45" s="381"/>
      <c r="M45" s="381"/>
      <c r="N45" s="381"/>
      <c r="O45" s="381"/>
      <c r="P45" s="381"/>
      <c r="Q45" s="381"/>
      <c r="R45" s="471" t="s">
        <v>577</v>
      </c>
    </row>
    <row r="46" spans="1:18" s="327" customFormat="1" ht="14.25" customHeight="1">
      <c r="A46" s="327" t="s">
        <v>578</v>
      </c>
      <c r="R46" s="472" t="s">
        <v>579</v>
      </c>
    </row>
    <row r="47" spans="1:18" s="327" customFormat="1" ht="14.25" customHeight="1">
      <c r="A47" s="381" t="s">
        <v>580</v>
      </c>
      <c r="B47" s="381"/>
      <c r="C47" s="381"/>
      <c r="D47" s="381"/>
      <c r="E47" s="381"/>
      <c r="F47" s="381"/>
      <c r="G47" s="381"/>
      <c r="H47" s="381"/>
      <c r="I47" s="381"/>
      <c r="J47" s="381"/>
      <c r="K47" s="343"/>
      <c r="L47" s="343"/>
      <c r="M47" s="381"/>
      <c r="N47" s="381"/>
      <c r="R47" s="326" t="s">
        <v>581</v>
      </c>
    </row>
    <row r="48" spans="1:18" s="327" customFormat="1" ht="14.25" customHeight="1">
      <c r="A48" s="327" t="s">
        <v>582</v>
      </c>
      <c r="H48" s="473"/>
      <c r="I48" s="473"/>
      <c r="J48" s="473"/>
      <c r="K48" s="474"/>
      <c r="L48" s="343"/>
      <c r="R48" s="326" t="s">
        <v>583</v>
      </c>
    </row>
    <row r="49" spans="1:18" s="443" customFormat="1">
      <c r="G49" s="440"/>
      <c r="H49" s="440"/>
      <c r="I49" s="440"/>
      <c r="J49" s="440"/>
      <c r="K49" s="441"/>
      <c r="L49" s="440"/>
      <c r="M49" s="440"/>
      <c r="N49" s="440"/>
    </row>
    <row r="50" spans="1:18">
      <c r="A50" s="414" t="s">
        <v>584</v>
      </c>
      <c r="B50" s="414"/>
      <c r="C50" s="414"/>
      <c r="D50" s="414"/>
      <c r="E50" s="414"/>
      <c r="F50" s="414"/>
      <c r="G50" s="414"/>
      <c r="H50" s="414"/>
      <c r="I50" s="414"/>
      <c r="J50" s="414"/>
      <c r="K50" s="414"/>
      <c r="L50" s="414"/>
      <c r="M50" s="414"/>
      <c r="N50" s="414"/>
      <c r="O50" s="414"/>
      <c r="P50" s="414"/>
      <c r="Q50" s="414"/>
      <c r="R50" s="414"/>
    </row>
    <row r="51" spans="1:18" ht="14.85" customHeight="1">
      <c r="C51" s="475"/>
      <c r="D51" s="475"/>
      <c r="E51" s="475"/>
      <c r="F51" s="475"/>
      <c r="G51" s="475"/>
      <c r="H51" s="475"/>
      <c r="I51" s="475"/>
      <c r="J51" s="475"/>
      <c r="K51" s="475"/>
      <c r="L51" s="475"/>
      <c r="M51" s="475"/>
      <c r="N51" s="475"/>
      <c r="O51" s="475"/>
      <c r="P51" s="475"/>
      <c r="Q51" s="475"/>
      <c r="R51" s="475"/>
    </row>
    <row r="52" spans="1:18" ht="14.85" customHeight="1">
      <c r="F52" s="475"/>
      <c r="G52" s="475"/>
      <c r="H52" s="475"/>
      <c r="I52" s="475"/>
      <c r="J52" s="475"/>
      <c r="K52" s="475"/>
      <c r="L52" s="475"/>
      <c r="M52" s="475"/>
      <c r="N52" s="475"/>
      <c r="O52" s="475"/>
      <c r="P52" s="475"/>
      <c r="Q52" s="475"/>
      <c r="R52" s="475"/>
    </row>
    <row r="53" spans="1:18" ht="14.85" customHeight="1"/>
  </sheetData>
  <mergeCells count="1">
    <mergeCell ref="A9:B11"/>
  </mergeCells>
  <printOptions horizontalCentered="1" verticalCentered="1"/>
  <pageMargins left="0" right="0" top="0" bottom="0" header="0.3" footer="0.3"/>
  <pageSetup paperSize="9" scale="63"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4"/>
  <dimension ref="A1:I40"/>
  <sheetViews>
    <sheetView zoomScale="71" zoomScaleNormal="71" workbookViewId="0">
      <selection activeCell="A49" sqref="A1:XFD1048576"/>
    </sheetView>
  </sheetViews>
  <sheetFormatPr defaultColWidth="9.140625" defaultRowHeight="15"/>
  <cols>
    <col min="1" max="1" width="34.7109375" style="159" customWidth="1"/>
    <col min="2" max="2" width="22.7109375" style="159" customWidth="1"/>
    <col min="3" max="3" width="20.7109375" style="159" customWidth="1"/>
    <col min="4" max="4" width="17.28515625" style="159" customWidth="1"/>
    <col min="5" max="5" width="16.140625" style="159" customWidth="1"/>
    <col min="6" max="6" width="19.140625" style="159" customWidth="1"/>
    <col min="7" max="7" width="16.7109375" style="159" customWidth="1"/>
    <col min="8" max="8" width="19" style="159" customWidth="1"/>
    <col min="9" max="9" width="26.7109375" style="159" customWidth="1"/>
    <col min="10" max="16384" width="9.140625" style="159"/>
  </cols>
  <sheetData>
    <row r="1" spans="1:9" s="443" customFormat="1" ht="25.5" customHeight="1">
      <c r="A1" s="297" t="s">
        <v>585</v>
      </c>
      <c r="B1" s="297"/>
      <c r="C1" s="297"/>
      <c r="D1" s="297"/>
      <c r="E1" s="297"/>
      <c r="F1" s="297"/>
      <c r="G1" s="297"/>
      <c r="H1" s="297"/>
      <c r="I1" s="297"/>
    </row>
    <row r="2" spans="1:9" s="1883" customFormat="1" ht="21.75" customHeight="1">
      <c r="A2" s="1881" t="s">
        <v>1575</v>
      </c>
      <c r="B2" s="1881"/>
      <c r="C2" s="1881"/>
      <c r="D2" s="1881"/>
      <c r="E2" s="1881"/>
      <c r="F2" s="1881"/>
      <c r="G2" s="1881"/>
      <c r="H2" s="1881"/>
      <c r="I2" s="1881"/>
    </row>
    <row r="3" spans="1:9" s="443" customFormat="1" ht="18">
      <c r="A3" s="297" t="s">
        <v>1574</v>
      </c>
      <c r="B3" s="297"/>
      <c r="C3" s="297"/>
      <c r="D3" s="297"/>
      <c r="E3" s="297"/>
      <c r="F3" s="297"/>
      <c r="G3" s="297"/>
      <c r="H3" s="297"/>
      <c r="I3" s="297"/>
    </row>
    <row r="4" spans="1:9" s="443" customFormat="1" ht="18">
      <c r="A4" s="9" t="s">
        <v>536</v>
      </c>
      <c r="B4" s="643"/>
      <c r="C4" s="643"/>
      <c r="D4" s="643"/>
      <c r="E4" s="644"/>
      <c r="F4" s="644"/>
      <c r="G4" s="644"/>
      <c r="I4" s="9" t="s">
        <v>537</v>
      </c>
    </row>
    <row r="5" spans="1:9" s="172" customFormat="1" ht="23.85" customHeight="1">
      <c r="A5" s="645"/>
      <c r="B5" s="662" t="s">
        <v>586</v>
      </c>
      <c r="C5" s="646"/>
      <c r="D5" s="661" t="s">
        <v>587</v>
      </c>
      <c r="E5" s="662" t="s">
        <v>588</v>
      </c>
      <c r="F5" s="647"/>
      <c r="G5" s="647"/>
      <c r="H5" s="661" t="s">
        <v>589</v>
      </c>
      <c r="I5" s="645"/>
    </row>
    <row r="6" spans="1:9" s="431" customFormat="1" ht="20.25" customHeight="1">
      <c r="A6" s="648"/>
      <c r="B6" s="2105" t="s">
        <v>550</v>
      </c>
      <c r="C6" s="2105" t="s">
        <v>551</v>
      </c>
      <c r="D6" s="2105" t="s">
        <v>552</v>
      </c>
      <c r="E6" s="662" t="s">
        <v>590</v>
      </c>
      <c r="F6" s="649"/>
      <c r="G6" s="196"/>
      <c r="H6" s="695" t="s">
        <v>591</v>
      </c>
      <c r="I6" s="648"/>
    </row>
    <row r="7" spans="1:9" s="431" customFormat="1" ht="18">
      <c r="A7" s="648"/>
      <c r="B7" s="2106"/>
      <c r="C7" s="2106"/>
      <c r="D7" s="2106"/>
      <c r="E7" s="650" t="s">
        <v>555</v>
      </c>
      <c r="F7" s="1091" t="s">
        <v>556</v>
      </c>
      <c r="G7" s="1091" t="s">
        <v>557</v>
      </c>
      <c r="H7" s="651" t="s">
        <v>558</v>
      </c>
      <c r="I7" s="648"/>
    </row>
    <row r="8" spans="1:9" s="431" customFormat="1" ht="36">
      <c r="A8" s="652"/>
      <c r="B8" s="653" t="s">
        <v>562</v>
      </c>
      <c r="C8" s="653" t="s">
        <v>563</v>
      </c>
      <c r="D8" s="653" t="s">
        <v>564</v>
      </c>
      <c r="E8" s="653" t="s">
        <v>568</v>
      </c>
      <c r="F8" s="653" t="s">
        <v>569</v>
      </c>
      <c r="G8" s="653" t="s">
        <v>570</v>
      </c>
      <c r="H8" s="654" t="s">
        <v>571</v>
      </c>
      <c r="I8" s="648"/>
    </row>
    <row r="9" spans="1:9" s="469" customFormat="1" ht="23.85" customHeight="1">
      <c r="A9" s="667" t="s">
        <v>592</v>
      </c>
      <c r="B9" s="679">
        <f>MAX('9'!B9:B30)</f>
        <v>6.0467775467775464</v>
      </c>
      <c r="C9" s="676">
        <f>MAX('9'!C9:C30)</f>
        <v>5.6415044482596359</v>
      </c>
      <c r="D9" s="673">
        <f>MAX('9'!D9:D30)</f>
        <v>5.271277936494136</v>
      </c>
      <c r="E9" s="673">
        <f>MAX('9'!H9:H30)</f>
        <v>6.5</v>
      </c>
      <c r="F9" s="676">
        <f>MAX('9'!I9:I30)</f>
        <v>8.8296644514927252</v>
      </c>
      <c r="G9" s="673">
        <f>MAX('9'!J9:J30)</f>
        <v>4.5</v>
      </c>
      <c r="H9" s="676">
        <f>MAX('9'!K9:K30)</f>
        <v>15.927147485840074</v>
      </c>
      <c r="I9" s="669" t="s">
        <v>593</v>
      </c>
    </row>
    <row r="10" spans="1:9" s="469" customFormat="1" ht="17.45" customHeight="1">
      <c r="A10" s="668" t="s">
        <v>594</v>
      </c>
      <c r="B10" s="680">
        <f>MIN('9'!B9:B30)</f>
        <v>4.4011328527291456</v>
      </c>
      <c r="C10" s="677">
        <f>MIN('9'!C9:C30)</f>
        <v>2.9618461530632243</v>
      </c>
      <c r="D10" s="674">
        <f>MIN('9'!D9:D30)</f>
        <v>2.8630047763786366</v>
      </c>
      <c r="E10" s="674">
        <f>MIN('9'!H9:H30)</f>
        <v>2.5</v>
      </c>
      <c r="F10" s="677">
        <f>MIN('9'!I9:I30)</f>
        <v>4.1194690265486731</v>
      </c>
      <c r="G10" s="674">
        <f>MIN('9'!J9:J30)</f>
        <v>2.5</v>
      </c>
      <c r="H10" s="677">
        <f>MIN('9'!K9:K26)</f>
        <v>3.9603696853600026</v>
      </c>
      <c r="I10" s="670" t="s">
        <v>595</v>
      </c>
    </row>
    <row r="11" spans="1:9" ht="17.45" customHeight="1">
      <c r="A11" s="668" t="s">
        <v>596</v>
      </c>
      <c r="B11" s="681">
        <f>'9'!B31</f>
        <v>5.2124743566055747</v>
      </c>
      <c r="C11" s="678">
        <f>'9'!C31</f>
        <v>4.2782912506791488</v>
      </c>
      <c r="D11" s="675">
        <f>'9'!D31</f>
        <v>4.3129871692984798</v>
      </c>
      <c r="E11" s="675">
        <f>'9'!H31</f>
        <v>5.2418150165314623</v>
      </c>
      <c r="F11" s="678">
        <f>'9'!I31</f>
        <v>5.2894602594899851</v>
      </c>
      <c r="G11" s="675">
        <f>'9'!J31</f>
        <v>4.1221000793923182</v>
      </c>
      <c r="H11" s="678">
        <f>'9'!K31</f>
        <v>4.604582771973317</v>
      </c>
      <c r="I11" s="671" t="s">
        <v>597</v>
      </c>
    </row>
    <row r="12" spans="1:9" ht="20.25" customHeight="1">
      <c r="A12" s="273" t="s">
        <v>598</v>
      </c>
      <c r="B12" s="663"/>
      <c r="C12" s="663"/>
      <c r="D12" s="664"/>
      <c r="E12" s="665"/>
      <c r="F12" s="664"/>
      <c r="G12" s="664"/>
      <c r="H12" s="666"/>
      <c r="I12" s="470" t="s">
        <v>599</v>
      </c>
    </row>
    <row r="13" spans="1:9" ht="17.45" customHeight="1">
      <c r="A13" s="381"/>
      <c r="B13" s="656"/>
      <c r="C13" s="656"/>
      <c r="D13" s="657"/>
      <c r="E13" s="658"/>
      <c r="F13" s="657"/>
      <c r="G13" s="657"/>
      <c r="H13" s="658"/>
      <c r="I13" s="471"/>
    </row>
    <row r="14" spans="1:9" ht="17.45" customHeight="1">
      <c r="A14" s="655"/>
      <c r="B14" s="656"/>
      <c r="C14" s="656"/>
      <c r="D14" s="657"/>
      <c r="E14" s="658"/>
      <c r="F14" s="657"/>
      <c r="G14" s="657"/>
      <c r="H14" s="658"/>
      <c r="I14" s="658"/>
    </row>
    <row r="15" spans="1:9" ht="17.45" customHeight="1">
      <c r="A15" s="655"/>
      <c r="B15" s="656"/>
      <c r="C15" s="656"/>
      <c r="D15" s="657"/>
      <c r="E15" s="658"/>
      <c r="F15" s="657"/>
      <c r="G15" s="657"/>
      <c r="H15" s="658"/>
      <c r="I15" s="658"/>
    </row>
    <row r="16" spans="1:9" ht="17.45" customHeight="1">
      <c r="A16" s="655"/>
      <c r="B16" s="656"/>
      <c r="C16" s="656"/>
      <c r="D16" s="657"/>
      <c r="E16" s="658"/>
      <c r="F16" s="657"/>
      <c r="G16" s="657"/>
      <c r="H16" s="658"/>
      <c r="I16" s="658"/>
    </row>
    <row r="17" spans="1:9" ht="17.45" customHeight="1">
      <c r="A17" s="655"/>
      <c r="B17" s="656"/>
      <c r="C17" s="656"/>
      <c r="D17" s="657"/>
      <c r="E17" s="658"/>
      <c r="F17" s="657"/>
      <c r="G17" s="657"/>
      <c r="H17" s="658"/>
      <c r="I17" s="658"/>
    </row>
    <row r="18" spans="1:9" ht="17.45" customHeight="1">
      <c r="A18" s="655"/>
      <c r="B18" s="656"/>
      <c r="C18" s="656"/>
      <c r="D18" s="657"/>
      <c r="E18" s="658"/>
      <c r="F18" s="657"/>
      <c r="G18" s="657"/>
      <c r="H18" s="658"/>
      <c r="I18" s="658"/>
    </row>
    <row r="19" spans="1:9" ht="17.45" customHeight="1">
      <c r="A19" s="655"/>
      <c r="B19" s="656"/>
      <c r="C19" s="656"/>
      <c r="D19" s="657"/>
      <c r="E19" s="658"/>
      <c r="F19" s="657"/>
      <c r="G19" s="657"/>
      <c r="H19" s="658"/>
      <c r="I19" s="658"/>
    </row>
    <row r="20" spans="1:9" ht="17.45" customHeight="1">
      <c r="A20" s="655"/>
      <c r="B20" s="656"/>
      <c r="C20" s="656"/>
      <c r="D20" s="657"/>
      <c r="E20" s="658"/>
      <c r="F20" s="657"/>
      <c r="G20" s="657"/>
      <c r="H20" s="658"/>
      <c r="I20" s="658"/>
    </row>
    <row r="21" spans="1:9" ht="17.45" customHeight="1">
      <c r="A21" s="655"/>
      <c r="B21" s="656"/>
      <c r="C21" s="656"/>
      <c r="D21" s="657"/>
      <c r="E21" s="658"/>
      <c r="F21" s="657"/>
      <c r="G21" s="657"/>
      <c r="H21" s="658"/>
      <c r="I21" s="658"/>
    </row>
    <row r="22" spans="1:9" ht="17.45" customHeight="1">
      <c r="A22" s="655"/>
      <c r="B22" s="656"/>
      <c r="C22" s="656"/>
      <c r="D22" s="657"/>
      <c r="E22" s="658"/>
      <c r="F22" s="657"/>
      <c r="G22" s="657"/>
      <c r="H22" s="658"/>
      <c r="I22" s="658"/>
    </row>
    <row r="23" spans="1:9" ht="17.45" customHeight="1">
      <c r="A23" s="655"/>
      <c r="B23" s="656"/>
      <c r="C23" s="656"/>
      <c r="D23" s="657"/>
      <c r="E23" s="658"/>
      <c r="F23" s="657"/>
      <c r="G23" s="657"/>
      <c r="H23" s="658"/>
      <c r="I23" s="658"/>
    </row>
    <row r="24" spans="1:9" ht="17.45" customHeight="1">
      <c r="A24" s="655"/>
      <c r="B24" s="656"/>
      <c r="C24" s="656"/>
      <c r="D24" s="657"/>
      <c r="E24" s="658"/>
      <c r="F24" s="657"/>
      <c r="G24" s="657"/>
      <c r="H24" s="658"/>
      <c r="I24" s="658"/>
    </row>
    <row r="25" spans="1:9" ht="17.45" customHeight="1">
      <c r="A25" s="655"/>
      <c r="B25" s="656"/>
      <c r="C25" s="656"/>
      <c r="D25" s="657"/>
      <c r="E25" s="658"/>
      <c r="F25" s="657"/>
      <c r="G25" s="657"/>
      <c r="H25" s="658"/>
      <c r="I25" s="658"/>
    </row>
    <row r="26" spans="1:9" ht="17.45" customHeight="1">
      <c r="A26" s="655"/>
      <c r="B26" s="656"/>
      <c r="C26" s="656"/>
      <c r="D26" s="657"/>
      <c r="E26" s="658"/>
      <c r="F26" s="657"/>
      <c r="G26" s="657"/>
      <c r="H26" s="658"/>
      <c r="I26" s="658"/>
    </row>
    <row r="27" spans="1:9" ht="17.45" customHeight="1">
      <c r="A27" s="655"/>
      <c r="B27" s="656"/>
      <c r="C27" s="656"/>
      <c r="D27" s="657"/>
      <c r="E27" s="658"/>
      <c r="F27" s="657"/>
      <c r="G27" s="657"/>
      <c r="H27" s="658"/>
      <c r="I27" s="658"/>
    </row>
    <row r="28" spans="1:9" ht="17.45" customHeight="1">
      <c r="A28" s="655"/>
      <c r="B28" s="656"/>
      <c r="C28" s="656"/>
      <c r="D28" s="657"/>
      <c r="E28" s="658"/>
      <c r="F28" s="657"/>
      <c r="G28" s="657"/>
      <c r="H28" s="658"/>
      <c r="I28" s="658"/>
    </row>
    <row r="29" spans="1:9" ht="17.45" customHeight="1">
      <c r="A29" s="655"/>
      <c r="B29" s="656"/>
      <c r="C29" s="656"/>
      <c r="D29" s="657"/>
      <c r="E29" s="658"/>
      <c r="F29" s="657"/>
      <c r="G29" s="657"/>
      <c r="H29" s="658"/>
      <c r="I29" s="658"/>
    </row>
    <row r="30" spans="1:9" ht="17.45" customHeight="1">
      <c r="A30" s="655"/>
      <c r="B30" s="656"/>
      <c r="C30" s="656"/>
      <c r="D30" s="657"/>
      <c r="E30" s="658"/>
      <c r="F30" s="657"/>
      <c r="G30" s="657"/>
      <c r="H30" s="658"/>
      <c r="I30" s="658"/>
    </row>
    <row r="31" spans="1:9" ht="17.45" customHeight="1">
      <c r="A31" s="655"/>
      <c r="B31" s="656"/>
      <c r="C31" s="656"/>
      <c r="D31" s="657"/>
      <c r="E31" s="658"/>
      <c r="F31" s="657"/>
      <c r="G31" s="657"/>
      <c r="H31" s="658"/>
      <c r="I31" s="658"/>
    </row>
    <row r="32" spans="1:9" ht="17.45" customHeight="1">
      <c r="A32" s="655"/>
      <c r="B32" s="656"/>
      <c r="C32" s="656"/>
      <c r="D32" s="657"/>
      <c r="E32" s="658"/>
      <c r="F32" s="657"/>
      <c r="G32" s="657"/>
      <c r="H32" s="658"/>
      <c r="I32" s="658"/>
    </row>
    <row r="33" spans="1:9" ht="17.45" customHeight="1">
      <c r="A33" s="655"/>
      <c r="B33" s="656"/>
      <c r="C33" s="656"/>
      <c r="D33" s="657"/>
      <c r="E33" s="658"/>
      <c r="F33" s="657"/>
      <c r="G33" s="657"/>
      <c r="H33" s="658"/>
      <c r="I33" s="658"/>
    </row>
    <row r="34" spans="1:9" ht="17.45" customHeight="1">
      <c r="A34" s="655"/>
      <c r="B34" s="656"/>
      <c r="C34" s="656"/>
      <c r="D34" s="657"/>
      <c r="E34" s="658"/>
      <c r="F34" s="657"/>
      <c r="G34" s="657"/>
      <c r="H34" s="658"/>
      <c r="I34" s="658"/>
    </row>
    <row r="35" spans="1:9" ht="17.45" customHeight="1">
      <c r="A35" s="655"/>
      <c r="B35" s="656"/>
      <c r="C35" s="656"/>
      <c r="D35" s="657"/>
      <c r="E35" s="658"/>
      <c r="F35" s="657"/>
      <c r="G35" s="657"/>
      <c r="H35" s="658"/>
      <c r="I35" s="658"/>
    </row>
    <row r="36" spans="1:9" ht="16.5">
      <c r="A36" s="1904" t="s">
        <v>600</v>
      </c>
      <c r="B36" s="414"/>
      <c r="C36" s="414"/>
      <c r="D36" s="414"/>
      <c r="E36" s="414"/>
      <c r="F36" s="414"/>
      <c r="G36" s="414"/>
      <c r="H36" s="414"/>
      <c r="I36" s="414"/>
    </row>
    <row r="37" spans="1:9">
      <c r="A37" s="659"/>
      <c r="B37" s="659"/>
      <c r="C37" s="659"/>
      <c r="D37" s="659"/>
      <c r="E37" s="659"/>
      <c r="F37" s="659"/>
      <c r="G37" s="659"/>
      <c r="H37" s="659"/>
      <c r="I37" s="659"/>
    </row>
    <row r="40" spans="1:9">
      <c r="E40" s="660"/>
    </row>
  </sheetData>
  <mergeCells count="3">
    <mergeCell ref="B6:B7"/>
    <mergeCell ref="C6:C7"/>
    <mergeCell ref="D6:D7"/>
  </mergeCells>
  <printOptions horizontalCentered="1"/>
  <pageMargins left="0" right="0" top="1.25" bottom="0"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pageSetUpPr fitToPage="1"/>
  </sheetPr>
  <dimension ref="A1:P40"/>
  <sheetViews>
    <sheetView zoomScale="67" zoomScaleNormal="67" workbookViewId="0">
      <pane ySplit="8" topLeftCell="A24" activePane="bottomLeft" state="frozen"/>
      <selection activeCell="A49" sqref="A1:XFD1048576"/>
      <selection pane="bottomLeft" activeCell="A49" sqref="A1:XFD1048576"/>
    </sheetView>
  </sheetViews>
  <sheetFormatPr defaultColWidth="9.140625" defaultRowHeight="15"/>
  <cols>
    <col min="1" max="1" width="35" style="159" customWidth="1"/>
    <col min="2" max="3" width="16.7109375" style="159" customWidth="1"/>
    <col min="4" max="4" width="14.28515625" style="159" customWidth="1"/>
    <col min="5" max="5" width="13.5703125" style="159" customWidth="1"/>
    <col min="6" max="6" width="14.140625" style="159" customWidth="1"/>
    <col min="7" max="7" width="14.5703125" style="159" customWidth="1"/>
    <col min="8" max="8" width="14.7109375" style="159" customWidth="1"/>
    <col min="9" max="9" width="10.7109375" style="159" customWidth="1"/>
    <col min="10" max="10" width="12.42578125" style="159" customWidth="1"/>
    <col min="11" max="11" width="15.7109375" style="159" customWidth="1"/>
    <col min="12" max="14" width="10.7109375" style="159" customWidth="1"/>
    <col min="15" max="15" width="32.85546875" style="159" customWidth="1"/>
    <col min="16" max="16384" width="9.140625" style="159"/>
  </cols>
  <sheetData>
    <row r="1" spans="1:16" s="443" customFormat="1" ht="18">
      <c r="A1" s="297" t="s">
        <v>1627</v>
      </c>
      <c r="B1" s="414"/>
      <c r="C1" s="414"/>
      <c r="D1" s="414"/>
      <c r="E1" s="414"/>
      <c r="F1" s="414"/>
      <c r="G1" s="414"/>
      <c r="H1" s="414"/>
      <c r="I1" s="414"/>
      <c r="J1" s="414"/>
      <c r="K1" s="414"/>
      <c r="L1" s="414"/>
      <c r="M1" s="414"/>
      <c r="N1" s="414"/>
      <c r="O1" s="414"/>
    </row>
    <row r="2" spans="1:16" s="1883" customFormat="1" ht="21.75" customHeight="1">
      <c r="A2" s="1881" t="s">
        <v>1628</v>
      </c>
      <c r="B2" s="1882"/>
      <c r="C2" s="1882"/>
      <c r="D2" s="1882"/>
      <c r="E2" s="1882"/>
      <c r="F2" s="1882"/>
      <c r="G2" s="1882"/>
      <c r="H2" s="1882"/>
      <c r="I2" s="1882"/>
      <c r="J2" s="1882"/>
      <c r="K2" s="1882"/>
      <c r="L2" s="1882"/>
      <c r="M2" s="1882"/>
      <c r="N2" s="1882"/>
      <c r="O2" s="1882"/>
    </row>
    <row r="3" spans="1:16" s="443" customFormat="1" ht="18">
      <c r="A3" s="297" t="s">
        <v>1629</v>
      </c>
      <c r="B3" s="414"/>
      <c r="C3" s="414"/>
      <c r="D3" s="414"/>
      <c r="E3" s="414"/>
      <c r="F3" s="414"/>
      <c r="G3" s="414"/>
      <c r="H3" s="414"/>
      <c r="I3" s="414"/>
      <c r="J3" s="414"/>
      <c r="K3" s="414"/>
      <c r="L3" s="414"/>
      <c r="M3" s="414"/>
      <c r="N3" s="414"/>
      <c r="O3" s="414"/>
    </row>
    <row r="4" spans="1:16" s="443" customFormat="1" ht="14.25" customHeight="1">
      <c r="A4" s="1884" t="s">
        <v>536</v>
      </c>
      <c r="B4" s="442"/>
      <c r="C4" s="442"/>
      <c r="D4" s="442"/>
      <c r="E4" s="442"/>
      <c r="F4" s="442"/>
      <c r="O4" s="1885" t="s">
        <v>537</v>
      </c>
    </row>
    <row r="5" spans="1:16" s="172" customFormat="1" ht="23.85" customHeight="1">
      <c r="A5" s="2107" t="s">
        <v>391</v>
      </c>
      <c r="B5" s="1886" t="s">
        <v>586</v>
      </c>
      <c r="C5" s="171"/>
      <c r="D5" s="450"/>
      <c r="E5" s="450"/>
      <c r="F5" s="171"/>
      <c r="G5" s="1887" t="s">
        <v>587</v>
      </c>
      <c r="H5" s="1886" t="s">
        <v>588</v>
      </c>
      <c r="I5" s="452"/>
      <c r="J5" s="452"/>
      <c r="K5" s="188"/>
      <c r="L5" s="453"/>
      <c r="M5" s="453"/>
      <c r="N5" s="1887" t="s">
        <v>589</v>
      </c>
      <c r="O5" s="2110" t="s">
        <v>418</v>
      </c>
    </row>
    <row r="6" spans="1:16" s="431" customFormat="1" ht="20.25" customHeight="1">
      <c r="A6" s="2108"/>
      <c r="B6" s="1888"/>
      <c r="C6" s="458"/>
      <c r="D6" s="458"/>
      <c r="E6" s="458"/>
      <c r="F6" s="1889"/>
      <c r="G6" s="1890"/>
      <c r="H6" s="459" t="s">
        <v>545</v>
      </c>
      <c r="I6" s="196"/>
      <c r="J6" s="196"/>
      <c r="K6" s="451" t="s">
        <v>546</v>
      </c>
      <c r="L6" s="694"/>
      <c r="N6" s="460"/>
      <c r="O6" s="2111"/>
    </row>
    <row r="7" spans="1:16" s="431" customFormat="1" ht="31.5">
      <c r="A7" s="2108"/>
      <c r="B7" s="461" t="s">
        <v>550</v>
      </c>
      <c r="C7" s="463" t="s">
        <v>551</v>
      </c>
      <c r="D7" s="463" t="s">
        <v>552</v>
      </c>
      <c r="E7" s="463" t="s">
        <v>377</v>
      </c>
      <c r="F7" s="463" t="s">
        <v>367</v>
      </c>
      <c r="G7" s="463" t="s">
        <v>601</v>
      </c>
      <c r="H7" s="1890" t="s">
        <v>555</v>
      </c>
      <c r="I7" s="463" t="s">
        <v>556</v>
      </c>
      <c r="J7" s="463" t="s">
        <v>557</v>
      </c>
      <c r="K7" s="463" t="s">
        <v>558</v>
      </c>
      <c r="L7" s="463" t="s">
        <v>377</v>
      </c>
      <c r="M7" s="463" t="s">
        <v>367</v>
      </c>
      <c r="N7" s="463" t="s">
        <v>559</v>
      </c>
      <c r="O7" s="2111"/>
    </row>
    <row r="8" spans="1:16" s="431" customFormat="1" ht="47.25">
      <c r="A8" s="2109"/>
      <c r="B8" s="429" t="s">
        <v>562</v>
      </c>
      <c r="C8" s="429" t="s">
        <v>563</v>
      </c>
      <c r="D8" s="429" t="s">
        <v>564</v>
      </c>
      <c r="E8" s="429" t="s">
        <v>602</v>
      </c>
      <c r="F8" s="429" t="s">
        <v>603</v>
      </c>
      <c r="G8" s="429" t="s">
        <v>604</v>
      </c>
      <c r="H8" s="429" t="s">
        <v>568</v>
      </c>
      <c r="I8" s="429" t="s">
        <v>569</v>
      </c>
      <c r="J8" s="429" t="s">
        <v>570</v>
      </c>
      <c r="K8" s="429" t="s">
        <v>571</v>
      </c>
      <c r="L8" s="429" t="s">
        <v>385</v>
      </c>
      <c r="M8" s="429" t="s">
        <v>572</v>
      </c>
      <c r="N8" s="429" t="s">
        <v>573</v>
      </c>
      <c r="O8" s="2112"/>
      <c r="P8" s="466"/>
    </row>
    <row r="9" spans="1:16" ht="30.2" customHeight="1">
      <c r="A9" s="1891" t="s">
        <v>605</v>
      </c>
      <c r="B9" s="1892" t="s">
        <v>606</v>
      </c>
      <c r="C9" s="1892" t="s">
        <v>606</v>
      </c>
      <c r="D9" s="1893" t="s">
        <v>606</v>
      </c>
      <c r="E9" s="1893" t="s">
        <v>606</v>
      </c>
      <c r="F9" s="1893" t="s">
        <v>606</v>
      </c>
      <c r="G9" s="1894" t="s">
        <v>606</v>
      </c>
      <c r="H9" s="1895">
        <v>6.5</v>
      </c>
      <c r="I9" s="1895" t="s">
        <v>606</v>
      </c>
      <c r="J9" s="1895" t="s">
        <v>606</v>
      </c>
      <c r="K9" s="1892">
        <v>7.7857142857142856</v>
      </c>
      <c r="L9" s="1895" t="s">
        <v>606</v>
      </c>
      <c r="M9" s="1895">
        <v>6.68</v>
      </c>
      <c r="N9" s="1895">
        <v>19.5</v>
      </c>
      <c r="O9" s="1896" t="s">
        <v>607</v>
      </c>
    </row>
    <row r="10" spans="1:16" ht="21.2" customHeight="1">
      <c r="A10" s="1891" t="s">
        <v>608</v>
      </c>
      <c r="B10" s="1892">
        <v>5.5672304068949154</v>
      </c>
      <c r="C10" s="1892">
        <v>5.6415044482596359</v>
      </c>
      <c r="D10" s="1895">
        <v>5.271277936494136</v>
      </c>
      <c r="E10" s="1895">
        <v>5.5000000000000009</v>
      </c>
      <c r="F10" s="1895">
        <v>5.4946702482160603</v>
      </c>
      <c r="G10" s="1895">
        <v>4.762447298915629</v>
      </c>
      <c r="H10" s="1895">
        <v>5.5</v>
      </c>
      <c r="I10" s="1895">
        <v>6.0276477146042362</v>
      </c>
      <c r="J10" s="1895">
        <v>4.5</v>
      </c>
      <c r="K10" s="1892">
        <v>5.5058459698576714</v>
      </c>
      <c r="L10" s="1895" t="s">
        <v>606</v>
      </c>
      <c r="M10" s="1895">
        <v>5.5100122586264666</v>
      </c>
      <c r="N10" s="1895" t="s">
        <v>606</v>
      </c>
      <c r="O10" s="1897" t="s">
        <v>609</v>
      </c>
    </row>
    <row r="11" spans="1:16" ht="21.2" customHeight="1">
      <c r="A11" s="1891" t="s">
        <v>610</v>
      </c>
      <c r="B11" s="1892" t="s">
        <v>606</v>
      </c>
      <c r="C11" s="1892" t="s">
        <v>606</v>
      </c>
      <c r="D11" s="1895" t="s">
        <v>606</v>
      </c>
      <c r="E11" s="1895" t="s">
        <v>606</v>
      </c>
      <c r="F11" s="1895" t="s">
        <v>606</v>
      </c>
      <c r="G11" s="1895" t="s">
        <v>606</v>
      </c>
      <c r="H11" s="1895">
        <v>5.0578947368421057</v>
      </c>
      <c r="I11" s="1895">
        <v>4.1194690265486731</v>
      </c>
      <c r="J11" s="1895" t="s">
        <v>606</v>
      </c>
      <c r="K11" s="1892">
        <v>8.5</v>
      </c>
      <c r="L11" s="1895" t="s">
        <v>606</v>
      </c>
      <c r="M11" s="1895">
        <v>4.8116723129042187</v>
      </c>
      <c r="N11" s="1895" t="s">
        <v>606</v>
      </c>
      <c r="O11" s="1897" t="s">
        <v>611</v>
      </c>
    </row>
    <row r="12" spans="1:16" ht="21.2" customHeight="1">
      <c r="A12" s="1891" t="s">
        <v>612</v>
      </c>
      <c r="B12" s="1892">
        <v>6.0467775467775464</v>
      </c>
      <c r="C12" s="1892">
        <v>4.2487300435413644</v>
      </c>
      <c r="D12" s="1895">
        <v>2.8630047763786366</v>
      </c>
      <c r="E12" s="1895">
        <v>8.1659919028340084</v>
      </c>
      <c r="F12" s="1895">
        <v>4.2213676408893859</v>
      </c>
      <c r="G12" s="1895" t="s">
        <v>606</v>
      </c>
      <c r="H12" s="1895">
        <v>4.7627345844504019</v>
      </c>
      <c r="I12" s="1895">
        <v>5.5703125</v>
      </c>
      <c r="J12" s="1895" t="s">
        <v>606</v>
      </c>
      <c r="K12" s="1892">
        <v>6.5589216231239575</v>
      </c>
      <c r="L12" s="1895" t="s">
        <v>606</v>
      </c>
      <c r="M12" s="1895">
        <v>6.2126086956521736</v>
      </c>
      <c r="N12" s="1895">
        <v>20.5</v>
      </c>
      <c r="O12" s="1897" t="s">
        <v>613</v>
      </c>
    </row>
    <row r="13" spans="1:16" ht="21.2" customHeight="1">
      <c r="A13" s="1891" t="s">
        <v>614</v>
      </c>
      <c r="B13" s="1892" t="s">
        <v>606</v>
      </c>
      <c r="C13" s="1892" t="s">
        <v>606</v>
      </c>
      <c r="D13" s="1895" t="s">
        <v>606</v>
      </c>
      <c r="E13" s="1895">
        <v>5.5</v>
      </c>
      <c r="F13" s="1895">
        <v>5.5</v>
      </c>
      <c r="G13" s="1895" t="s">
        <v>606</v>
      </c>
      <c r="H13" s="1895" t="s">
        <v>606</v>
      </c>
      <c r="I13" s="1895" t="s">
        <v>606</v>
      </c>
      <c r="J13" s="1895" t="s">
        <v>606</v>
      </c>
      <c r="K13" s="1892" t="s">
        <v>606</v>
      </c>
      <c r="L13" s="1895" t="s">
        <v>606</v>
      </c>
      <c r="M13" s="1895" t="s">
        <v>606</v>
      </c>
      <c r="N13" s="1895" t="s">
        <v>606</v>
      </c>
      <c r="O13" s="1897" t="s">
        <v>615</v>
      </c>
    </row>
    <row r="14" spans="1:16" ht="21.2" customHeight="1">
      <c r="A14" s="1891" t="s">
        <v>616</v>
      </c>
      <c r="B14" s="1892" t="s">
        <v>606</v>
      </c>
      <c r="C14" s="1892" t="s">
        <v>606</v>
      </c>
      <c r="D14" s="1895" t="s">
        <v>606</v>
      </c>
      <c r="E14" s="1895" t="s">
        <v>606</v>
      </c>
      <c r="F14" s="1895" t="s">
        <v>606</v>
      </c>
      <c r="G14" s="1895" t="s">
        <v>606</v>
      </c>
      <c r="H14" s="1895" t="s">
        <v>606</v>
      </c>
      <c r="I14" s="1895" t="s">
        <v>606</v>
      </c>
      <c r="J14" s="1895" t="s">
        <v>606</v>
      </c>
      <c r="K14" s="1892">
        <v>15.927147485840074</v>
      </c>
      <c r="L14" s="1895">
        <v>19.970975435249223</v>
      </c>
      <c r="M14" s="1895">
        <v>17.308000521206591</v>
      </c>
      <c r="N14" s="1895">
        <v>22</v>
      </c>
      <c r="O14" s="1897" t="s">
        <v>617</v>
      </c>
    </row>
    <row r="15" spans="1:16" ht="33.950000000000003" customHeight="1">
      <c r="A15" s="1898" t="s">
        <v>618</v>
      </c>
      <c r="B15" s="1892" t="s">
        <v>606</v>
      </c>
      <c r="C15" s="1892" t="s">
        <v>606</v>
      </c>
      <c r="D15" s="1895" t="s">
        <v>606</v>
      </c>
      <c r="E15" s="1895" t="s">
        <v>606</v>
      </c>
      <c r="F15" s="1895" t="s">
        <v>606</v>
      </c>
      <c r="G15" s="1895" t="s">
        <v>606</v>
      </c>
      <c r="H15" s="1895" t="s">
        <v>606</v>
      </c>
      <c r="I15" s="1895" t="s">
        <v>606</v>
      </c>
      <c r="J15" s="1895" t="s">
        <v>606</v>
      </c>
      <c r="K15" s="1892" t="s">
        <v>606</v>
      </c>
      <c r="L15" s="1895" t="s">
        <v>606</v>
      </c>
      <c r="M15" s="1895" t="s">
        <v>606</v>
      </c>
      <c r="N15" s="1895" t="s">
        <v>606</v>
      </c>
      <c r="O15" s="1897" t="s">
        <v>619</v>
      </c>
    </row>
    <row r="16" spans="1:16" ht="21.2" customHeight="1">
      <c r="A16" s="1891" t="s">
        <v>620</v>
      </c>
      <c r="B16" s="1892">
        <v>4.8381037567084082</v>
      </c>
      <c r="C16" s="1892" t="s">
        <v>606</v>
      </c>
      <c r="D16" s="1895">
        <v>3.5367469879518074</v>
      </c>
      <c r="E16" s="1895">
        <v>2.8781362007168458</v>
      </c>
      <c r="F16" s="1895">
        <v>3.6178724363308543</v>
      </c>
      <c r="G16" s="1895" t="s">
        <v>606</v>
      </c>
      <c r="H16" s="1895" t="s">
        <v>606</v>
      </c>
      <c r="I16" s="1895" t="s">
        <v>606</v>
      </c>
      <c r="J16" s="1895" t="s">
        <v>606</v>
      </c>
      <c r="K16" s="1892" t="s">
        <v>606</v>
      </c>
      <c r="L16" s="1895" t="s">
        <v>606</v>
      </c>
      <c r="M16" s="1895" t="s">
        <v>606</v>
      </c>
      <c r="N16" s="1895" t="s">
        <v>606</v>
      </c>
      <c r="O16" s="1897" t="s">
        <v>621</v>
      </c>
    </row>
    <row r="17" spans="1:15" ht="21.2" customHeight="1">
      <c r="A17" s="1891" t="s">
        <v>622</v>
      </c>
      <c r="B17" s="1892">
        <v>4.4011328527291456</v>
      </c>
      <c r="C17" s="1892">
        <v>4.7980769230769234</v>
      </c>
      <c r="D17" s="1895">
        <v>4.1100686498855836</v>
      </c>
      <c r="E17" s="1895">
        <v>8.1732673267326739</v>
      </c>
      <c r="F17" s="1895">
        <v>4.2948455117879627</v>
      </c>
      <c r="G17" s="1895">
        <v>5.7879432624113472</v>
      </c>
      <c r="H17" s="1895">
        <v>5.2534685165421555</v>
      </c>
      <c r="I17" s="1895" t="s">
        <v>606</v>
      </c>
      <c r="J17" s="1895">
        <v>2.5</v>
      </c>
      <c r="K17" s="1892">
        <v>3.9603696853600026</v>
      </c>
      <c r="L17" s="1895" t="s">
        <v>606</v>
      </c>
      <c r="M17" s="1895">
        <v>4.1966179737551617</v>
      </c>
      <c r="N17" s="1895">
        <v>20.602023281989275</v>
      </c>
      <c r="O17" s="1897" t="s">
        <v>623</v>
      </c>
    </row>
    <row r="18" spans="1:15" ht="21.2" customHeight="1">
      <c r="A18" s="1891" t="s">
        <v>624</v>
      </c>
      <c r="B18" s="1892" t="s">
        <v>606</v>
      </c>
      <c r="C18" s="1892" t="s">
        <v>606</v>
      </c>
      <c r="D18" s="1895" t="s">
        <v>606</v>
      </c>
      <c r="E18" s="1895" t="s">
        <v>606</v>
      </c>
      <c r="F18" s="1895" t="s">
        <v>606</v>
      </c>
      <c r="G18" s="1895">
        <v>3.8571428571428572</v>
      </c>
      <c r="H18" s="1895" t="s">
        <v>606</v>
      </c>
      <c r="I18" s="1895" t="s">
        <v>606</v>
      </c>
      <c r="J18" s="1895" t="s">
        <v>606</v>
      </c>
      <c r="K18" s="1892" t="s">
        <v>606</v>
      </c>
      <c r="L18" s="1895" t="s">
        <v>606</v>
      </c>
      <c r="M18" s="1895" t="s">
        <v>606</v>
      </c>
      <c r="N18" s="1895" t="s">
        <v>606</v>
      </c>
      <c r="O18" s="1897" t="s">
        <v>625</v>
      </c>
    </row>
    <row r="19" spans="1:15" ht="21.2" customHeight="1">
      <c r="A19" s="1891" t="s">
        <v>626</v>
      </c>
      <c r="B19" s="1892" t="s">
        <v>606</v>
      </c>
      <c r="C19" s="1892">
        <v>5.5</v>
      </c>
      <c r="D19" s="1895">
        <v>4.2643467643467643</v>
      </c>
      <c r="E19" s="1895" t="s">
        <v>606</v>
      </c>
      <c r="F19" s="1895">
        <v>4.2673568818514012</v>
      </c>
      <c r="G19" s="1895" t="s">
        <v>606</v>
      </c>
      <c r="H19" s="1895" t="s">
        <v>606</v>
      </c>
      <c r="I19" s="1895">
        <v>8.8296644514927252</v>
      </c>
      <c r="J19" s="1895" t="s">
        <v>606</v>
      </c>
      <c r="K19" s="1892">
        <v>6.2513658084261214</v>
      </c>
      <c r="L19" s="1895" t="s">
        <v>606</v>
      </c>
      <c r="M19" s="1895">
        <v>6.3268827632904605</v>
      </c>
      <c r="N19" s="1895">
        <v>22</v>
      </c>
      <c r="O19" s="1897" t="s">
        <v>627</v>
      </c>
    </row>
    <row r="20" spans="1:15" ht="21.2" customHeight="1">
      <c r="A20" s="1891" t="s">
        <v>628</v>
      </c>
      <c r="B20" s="1892" t="s">
        <v>606</v>
      </c>
      <c r="C20" s="1892" t="s">
        <v>606</v>
      </c>
      <c r="D20" s="1895" t="s">
        <v>606</v>
      </c>
      <c r="E20" s="1895" t="s">
        <v>606</v>
      </c>
      <c r="F20" s="1895" t="s">
        <v>606</v>
      </c>
      <c r="G20" s="1895" t="s">
        <v>606</v>
      </c>
      <c r="H20" s="1895" t="s">
        <v>606</v>
      </c>
      <c r="I20" s="1895" t="s">
        <v>606</v>
      </c>
      <c r="J20" s="1895" t="s">
        <v>606</v>
      </c>
      <c r="K20" s="1892" t="s">
        <v>606</v>
      </c>
      <c r="L20" s="1895" t="s">
        <v>606</v>
      </c>
      <c r="M20" s="1895" t="s">
        <v>606</v>
      </c>
      <c r="N20" s="1895">
        <v>9.4473684210526319</v>
      </c>
      <c r="O20" s="1897" t="s">
        <v>629</v>
      </c>
    </row>
    <row r="21" spans="1:15" ht="21.2" customHeight="1">
      <c r="A21" s="1891" t="s">
        <v>630</v>
      </c>
      <c r="B21" s="1892" t="s">
        <v>606</v>
      </c>
      <c r="C21" s="1892" t="s">
        <v>606</v>
      </c>
      <c r="D21" s="1895" t="s">
        <v>606</v>
      </c>
      <c r="E21" s="1895" t="s">
        <v>606</v>
      </c>
      <c r="F21" s="1895" t="s">
        <v>606</v>
      </c>
      <c r="G21" s="1895" t="s">
        <v>606</v>
      </c>
      <c r="H21" s="1895" t="s">
        <v>606</v>
      </c>
      <c r="I21" s="1895">
        <v>6.5</v>
      </c>
      <c r="J21" s="1895">
        <v>4.4322033898305087</v>
      </c>
      <c r="K21" s="1892">
        <v>6.5</v>
      </c>
      <c r="L21" s="1895" t="s">
        <v>606</v>
      </c>
      <c r="M21" s="1895">
        <v>5.5962962962962965</v>
      </c>
      <c r="N21" s="1895" t="s">
        <v>606</v>
      </c>
      <c r="O21" s="1897" t="s">
        <v>631</v>
      </c>
    </row>
    <row r="22" spans="1:15" ht="21.2" customHeight="1">
      <c r="A22" s="1891" t="s">
        <v>632</v>
      </c>
      <c r="B22" s="1892" t="s">
        <v>606</v>
      </c>
      <c r="C22" s="1892" t="s">
        <v>606</v>
      </c>
      <c r="D22" s="1895" t="s">
        <v>606</v>
      </c>
      <c r="E22" s="1895" t="s">
        <v>606</v>
      </c>
      <c r="F22" s="1895" t="s">
        <v>606</v>
      </c>
      <c r="G22" s="1895" t="s">
        <v>606</v>
      </c>
      <c r="H22" s="1895" t="s">
        <v>606</v>
      </c>
      <c r="I22" s="1895" t="s">
        <v>606</v>
      </c>
      <c r="J22" s="1895" t="s">
        <v>606</v>
      </c>
      <c r="K22" s="1892" t="s">
        <v>606</v>
      </c>
      <c r="L22" s="1895" t="s">
        <v>606</v>
      </c>
      <c r="M22" s="1895" t="s">
        <v>606</v>
      </c>
      <c r="N22" s="1895" t="s">
        <v>606</v>
      </c>
      <c r="O22" s="1897" t="s">
        <v>633</v>
      </c>
    </row>
    <row r="23" spans="1:15" ht="21.2" customHeight="1">
      <c r="A23" s="1891" t="s">
        <v>634</v>
      </c>
      <c r="B23" s="1892" t="s">
        <v>606</v>
      </c>
      <c r="C23" s="1892" t="s">
        <v>606</v>
      </c>
      <c r="D23" s="1895" t="s">
        <v>606</v>
      </c>
      <c r="E23" s="1895" t="s">
        <v>606</v>
      </c>
      <c r="F23" s="1895" t="s">
        <v>606</v>
      </c>
      <c r="G23" s="1895" t="s">
        <v>606</v>
      </c>
      <c r="H23" s="1895" t="s">
        <v>606</v>
      </c>
      <c r="I23" s="1895" t="s">
        <v>606</v>
      </c>
      <c r="J23" s="1895" t="s">
        <v>606</v>
      </c>
      <c r="K23" s="1892" t="s">
        <v>606</v>
      </c>
      <c r="L23" s="1895" t="s">
        <v>606</v>
      </c>
      <c r="M23" s="1895" t="s">
        <v>606</v>
      </c>
      <c r="N23" s="1895" t="s">
        <v>606</v>
      </c>
      <c r="O23" s="1897" t="s">
        <v>635</v>
      </c>
    </row>
    <row r="24" spans="1:15" ht="21.2" customHeight="1">
      <c r="A24" s="1891" t="s">
        <v>636</v>
      </c>
      <c r="B24" s="1892" t="s">
        <v>606</v>
      </c>
      <c r="C24" s="1892" t="s">
        <v>606</v>
      </c>
      <c r="D24" s="1895" t="s">
        <v>606</v>
      </c>
      <c r="E24" s="1895">
        <v>5.6626553683937901</v>
      </c>
      <c r="F24" s="1895">
        <v>5.6626553683937901</v>
      </c>
      <c r="G24" s="1895" t="s">
        <v>606</v>
      </c>
      <c r="H24" s="1895" t="s">
        <v>606</v>
      </c>
      <c r="I24" s="1895">
        <v>5.0996360311721469</v>
      </c>
      <c r="J24" s="1895" t="s">
        <v>606</v>
      </c>
      <c r="K24" s="1892">
        <v>4.5</v>
      </c>
      <c r="L24" s="1895">
        <v>0.5</v>
      </c>
      <c r="M24" s="1895">
        <v>3.9899330103150668</v>
      </c>
      <c r="N24" s="1895">
        <v>17.5</v>
      </c>
      <c r="O24" s="1897" t="s">
        <v>637</v>
      </c>
    </row>
    <row r="25" spans="1:15" ht="21.2" customHeight="1">
      <c r="A25" s="1891" t="s">
        <v>638</v>
      </c>
      <c r="B25" s="1892" t="s">
        <v>606</v>
      </c>
      <c r="C25" s="1892" t="s">
        <v>606</v>
      </c>
      <c r="D25" s="1895" t="s">
        <v>606</v>
      </c>
      <c r="E25" s="1895" t="s">
        <v>606</v>
      </c>
      <c r="F25" s="1895" t="s">
        <v>606</v>
      </c>
      <c r="G25" s="1895" t="s">
        <v>606</v>
      </c>
      <c r="H25" s="1895">
        <v>2.5</v>
      </c>
      <c r="I25" s="1895" t="s">
        <v>606</v>
      </c>
      <c r="J25" s="1895" t="s">
        <v>606</v>
      </c>
      <c r="K25" s="1892" t="s">
        <v>606</v>
      </c>
      <c r="L25" s="1895" t="s">
        <v>606</v>
      </c>
      <c r="M25" s="1895">
        <v>2.5</v>
      </c>
      <c r="N25" s="1895" t="s">
        <v>606</v>
      </c>
      <c r="O25" s="1897" t="s">
        <v>639</v>
      </c>
    </row>
    <row r="26" spans="1:15" ht="21.2" customHeight="1">
      <c r="A26" s="1891" t="s">
        <v>640</v>
      </c>
      <c r="B26" s="1892" t="s">
        <v>606</v>
      </c>
      <c r="C26" s="1892" t="s">
        <v>606</v>
      </c>
      <c r="D26" s="1895" t="s">
        <v>606</v>
      </c>
      <c r="E26" s="1895" t="s">
        <v>606</v>
      </c>
      <c r="F26" s="1895" t="s">
        <v>606</v>
      </c>
      <c r="G26" s="1895" t="s">
        <v>606</v>
      </c>
      <c r="H26" s="1895" t="s">
        <v>606</v>
      </c>
      <c r="I26" s="1895" t="s">
        <v>606</v>
      </c>
      <c r="J26" s="1895" t="s">
        <v>606</v>
      </c>
      <c r="K26" s="1892" t="s">
        <v>606</v>
      </c>
      <c r="L26" s="1895" t="s">
        <v>606</v>
      </c>
      <c r="M26" s="1895" t="s">
        <v>606</v>
      </c>
      <c r="N26" s="1895" t="s">
        <v>606</v>
      </c>
      <c r="O26" s="1897" t="s">
        <v>641</v>
      </c>
    </row>
    <row r="27" spans="1:15" ht="21.2" customHeight="1">
      <c r="A27" s="1891" t="s">
        <v>642</v>
      </c>
      <c r="B27" s="1892">
        <v>5.5</v>
      </c>
      <c r="C27" s="1892">
        <v>3.0760376241531278</v>
      </c>
      <c r="D27" s="1895">
        <v>3.7780303030303028</v>
      </c>
      <c r="E27" s="1895" t="s">
        <v>606</v>
      </c>
      <c r="F27" s="1895">
        <v>3.1821757509588195</v>
      </c>
      <c r="G27" s="1895" t="s">
        <v>606</v>
      </c>
      <c r="H27" s="1895" t="s">
        <v>606</v>
      </c>
      <c r="I27" s="1895" t="s">
        <v>606</v>
      </c>
      <c r="J27" s="1895" t="s">
        <v>606</v>
      </c>
      <c r="K27" s="1892" t="s">
        <v>606</v>
      </c>
      <c r="L27" s="1895" t="s">
        <v>606</v>
      </c>
      <c r="M27" s="1895" t="s">
        <v>606</v>
      </c>
      <c r="N27" s="1895" t="s">
        <v>606</v>
      </c>
      <c r="O27" s="1897" t="s">
        <v>643</v>
      </c>
    </row>
    <row r="28" spans="1:15" ht="21.2" customHeight="1">
      <c r="A28" s="1891" t="s">
        <v>644</v>
      </c>
      <c r="B28" s="1892" t="s">
        <v>606</v>
      </c>
      <c r="C28" s="1892" t="s">
        <v>606</v>
      </c>
      <c r="D28" s="1895" t="s">
        <v>606</v>
      </c>
      <c r="E28" s="1895" t="s">
        <v>606</v>
      </c>
      <c r="F28" s="1895" t="s">
        <v>606</v>
      </c>
      <c r="G28" s="1895" t="s">
        <v>606</v>
      </c>
      <c r="H28" s="1895" t="s">
        <v>606</v>
      </c>
      <c r="I28" s="1895" t="s">
        <v>606</v>
      </c>
      <c r="J28" s="1895" t="s">
        <v>606</v>
      </c>
      <c r="K28" s="1892" t="s">
        <v>606</v>
      </c>
      <c r="L28" s="1895" t="s">
        <v>606</v>
      </c>
      <c r="M28" s="1895" t="s">
        <v>606</v>
      </c>
      <c r="N28" s="1895" t="s">
        <v>606</v>
      </c>
      <c r="O28" s="1897" t="s">
        <v>645</v>
      </c>
    </row>
    <row r="29" spans="1:15" ht="21.2" customHeight="1">
      <c r="A29" s="1891" t="s">
        <v>646</v>
      </c>
      <c r="B29" s="1892" t="s">
        <v>606</v>
      </c>
      <c r="C29" s="1892" t="s">
        <v>606</v>
      </c>
      <c r="D29" s="1895" t="s">
        <v>606</v>
      </c>
      <c r="E29" s="1895" t="s">
        <v>606</v>
      </c>
      <c r="F29" s="1895" t="s">
        <v>606</v>
      </c>
      <c r="G29" s="1895" t="s">
        <v>606</v>
      </c>
      <c r="H29" s="1895" t="s">
        <v>606</v>
      </c>
      <c r="I29" s="1895" t="s">
        <v>606</v>
      </c>
      <c r="J29" s="1895" t="s">
        <v>606</v>
      </c>
      <c r="K29" s="1892" t="s">
        <v>606</v>
      </c>
      <c r="L29" s="1895" t="s">
        <v>606</v>
      </c>
      <c r="M29" s="1895" t="s">
        <v>606</v>
      </c>
      <c r="N29" s="1895" t="s">
        <v>606</v>
      </c>
      <c r="O29" s="1897" t="s">
        <v>647</v>
      </c>
    </row>
    <row r="30" spans="1:15" ht="21.2" customHeight="1">
      <c r="A30" s="1891" t="s">
        <v>1566</v>
      </c>
      <c r="B30" s="1892" t="s">
        <v>606</v>
      </c>
      <c r="C30" s="1892">
        <v>2.9618461530632243</v>
      </c>
      <c r="D30" s="1895">
        <v>2.913642438085851</v>
      </c>
      <c r="E30" s="1895">
        <v>3.1000846742168142</v>
      </c>
      <c r="F30" s="1895">
        <v>3.0132026517323038</v>
      </c>
      <c r="G30" s="1895" t="s">
        <v>606</v>
      </c>
      <c r="H30" s="1895" t="s">
        <v>606</v>
      </c>
      <c r="I30" s="1895" t="s">
        <v>606</v>
      </c>
      <c r="J30" s="1895" t="s">
        <v>606</v>
      </c>
      <c r="K30" s="1892" t="s">
        <v>606</v>
      </c>
      <c r="L30" s="1895" t="s">
        <v>606</v>
      </c>
      <c r="M30" s="1895" t="s">
        <v>606</v>
      </c>
      <c r="N30" s="1895" t="s">
        <v>606</v>
      </c>
      <c r="O30" s="1897" t="s">
        <v>1567</v>
      </c>
    </row>
    <row r="31" spans="1:15" s="176" customFormat="1" ht="30.2" customHeight="1">
      <c r="A31" s="1899" t="s">
        <v>648</v>
      </c>
      <c r="B31" s="1900">
        <v>5.2124743566055747</v>
      </c>
      <c r="C31" s="1900">
        <v>4.2782912506791488</v>
      </c>
      <c r="D31" s="1901">
        <v>4.3129871692984798</v>
      </c>
      <c r="E31" s="1901">
        <v>6.0682826895419337</v>
      </c>
      <c r="F31" s="1901">
        <v>4.6198665697516956</v>
      </c>
      <c r="G31" s="1901">
        <v>4.8421211068674559</v>
      </c>
      <c r="H31" s="1901">
        <v>5.2418150165314623</v>
      </c>
      <c r="I31" s="1901">
        <v>5.2894602594899851</v>
      </c>
      <c r="J31" s="1901">
        <v>4.1221000793923182</v>
      </c>
      <c r="K31" s="1900">
        <v>4.604582771973317</v>
      </c>
      <c r="L31" s="1901">
        <v>19.825906251500971</v>
      </c>
      <c r="M31" s="1901">
        <v>4.7219688059213301</v>
      </c>
      <c r="N31" s="1901">
        <v>20.892521566503159</v>
      </c>
      <c r="O31" s="1902" t="s">
        <v>649</v>
      </c>
    </row>
    <row r="32" spans="1:15" s="327" customFormat="1" ht="20.25" customHeight="1">
      <c r="A32" s="273" t="s">
        <v>574</v>
      </c>
      <c r="B32" s="273"/>
      <c r="C32" s="273"/>
      <c r="D32" s="273"/>
      <c r="E32" s="273"/>
      <c r="F32" s="273"/>
      <c r="G32" s="273"/>
      <c r="H32" s="273"/>
      <c r="I32" s="273"/>
      <c r="J32" s="273"/>
      <c r="K32" s="273"/>
      <c r="L32" s="273"/>
      <c r="M32" s="273"/>
      <c r="N32" s="273"/>
      <c r="O32" s="470" t="s">
        <v>650</v>
      </c>
    </row>
    <row r="33" spans="1:15" s="327" customFormat="1" ht="14.25" customHeight="1">
      <c r="A33" s="381" t="s">
        <v>651</v>
      </c>
      <c r="B33" s="381"/>
      <c r="C33" s="381"/>
      <c r="D33" s="381"/>
      <c r="E33" s="381"/>
      <c r="F33" s="381"/>
      <c r="G33" s="381"/>
      <c r="H33" s="381"/>
      <c r="I33" s="381"/>
      <c r="J33" s="381"/>
      <c r="K33" s="381"/>
      <c r="L33" s="381"/>
      <c r="O33" s="471" t="s">
        <v>652</v>
      </c>
    </row>
    <row r="34" spans="1:15" s="327" customFormat="1" ht="14.25" customHeight="1">
      <c r="A34" s="381" t="s">
        <v>653</v>
      </c>
      <c r="B34" s="381"/>
      <c r="C34" s="381"/>
      <c r="D34" s="381"/>
      <c r="E34" s="381"/>
      <c r="F34" s="343"/>
      <c r="G34" s="343"/>
      <c r="H34" s="381"/>
      <c r="I34" s="381"/>
      <c r="O34" s="326" t="s">
        <v>654</v>
      </c>
    </row>
    <row r="35" spans="1:15" s="327" customFormat="1" ht="14.25">
      <c r="A35" s="327" t="s">
        <v>655</v>
      </c>
      <c r="O35" s="326" t="s">
        <v>656</v>
      </c>
    </row>
    <row r="36" spans="1:15" s="327" customFormat="1" ht="14.25" customHeight="1">
      <c r="A36" s="327" t="s">
        <v>582</v>
      </c>
      <c r="D36" s="473"/>
      <c r="E36" s="473"/>
      <c r="F36" s="474"/>
      <c r="G36" s="343"/>
      <c r="O36" s="326" t="s">
        <v>583</v>
      </c>
    </row>
    <row r="37" spans="1:15" s="443" customFormat="1" ht="13.7" customHeight="1">
      <c r="A37" s="327"/>
      <c r="B37" s="327"/>
      <c r="C37" s="327"/>
      <c r="D37" s="327"/>
      <c r="E37" s="440"/>
      <c r="F37" s="441"/>
      <c r="G37" s="440"/>
      <c r="H37" s="440"/>
      <c r="I37" s="440"/>
      <c r="J37" s="327"/>
      <c r="K37" s="327"/>
      <c r="L37" s="327"/>
      <c r="M37" s="327"/>
      <c r="N37" s="326"/>
      <c r="O37" s="1903"/>
    </row>
    <row r="38" spans="1:15">
      <c r="B38" s="475"/>
      <c r="C38" s="475"/>
      <c r="D38" s="475"/>
      <c r="E38" s="475"/>
      <c r="F38" s="475"/>
      <c r="G38" s="475"/>
      <c r="H38" s="475"/>
      <c r="I38" s="475"/>
      <c r="J38" s="475"/>
      <c r="K38" s="475"/>
      <c r="L38" s="475"/>
      <c r="M38" s="475"/>
      <c r="N38" s="475"/>
    </row>
    <row r="39" spans="1:15">
      <c r="B39" s="475"/>
      <c r="C39" s="475"/>
      <c r="D39" s="475"/>
      <c r="E39" s="475"/>
      <c r="F39" s="475"/>
      <c r="G39" s="475"/>
      <c r="H39" s="475"/>
      <c r="I39" s="475"/>
      <c r="J39" s="475"/>
      <c r="K39" s="475"/>
      <c r="L39" s="475"/>
      <c r="M39" s="475"/>
      <c r="N39" s="475"/>
    </row>
    <row r="40" spans="1:15" ht="16.5">
      <c r="A40" s="1904" t="s">
        <v>657</v>
      </c>
      <c r="B40" s="414"/>
      <c r="C40" s="414"/>
      <c r="D40" s="414"/>
      <c r="E40" s="414"/>
      <c r="F40" s="414"/>
      <c r="G40" s="414"/>
      <c r="H40" s="414"/>
      <c r="I40" s="414"/>
      <c r="J40" s="414"/>
      <c r="K40" s="414"/>
      <c r="L40" s="414"/>
      <c r="M40" s="414"/>
      <c r="N40" s="414"/>
      <c r="O40" s="414"/>
    </row>
  </sheetData>
  <mergeCells count="2">
    <mergeCell ref="A5:A8"/>
    <mergeCell ref="O5:O8"/>
  </mergeCells>
  <printOptions horizontalCentered="1" verticalCentered="1"/>
  <pageMargins left="0" right="0" top="0" bottom="0" header="0.3" footer="0.3"/>
  <pageSetup paperSize="9" scale="6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A1:G77"/>
  <sheetViews>
    <sheetView zoomScale="79" zoomScaleNormal="79" workbookViewId="0">
      <pane ySplit="11" topLeftCell="A66" activePane="bottomLeft" state="frozen"/>
      <selection activeCell="A49" sqref="A1:XFD1048576"/>
      <selection pane="bottomLeft" activeCell="A49" sqref="A1:XFD1048576"/>
    </sheetView>
  </sheetViews>
  <sheetFormatPr defaultColWidth="9.140625" defaultRowHeight="12.75"/>
  <cols>
    <col min="1" max="1" width="18.7109375" style="477" customWidth="1"/>
    <col min="2" max="5" width="17.7109375" style="477" customWidth="1"/>
    <col min="6" max="6" width="22.7109375" style="477" customWidth="1"/>
    <col min="7" max="16384" width="9.140625" style="477"/>
  </cols>
  <sheetData>
    <row r="1" spans="1:7" ht="18" customHeight="1">
      <c r="A1" s="991" t="s">
        <v>1626</v>
      </c>
      <c r="B1" s="476"/>
      <c r="C1" s="476"/>
      <c r="D1" s="476"/>
      <c r="E1" s="476"/>
      <c r="F1" s="476"/>
      <c r="G1" s="2113" t="s">
        <v>658</v>
      </c>
    </row>
    <row r="2" spans="1:7" ht="18">
      <c r="A2" s="1876" t="s">
        <v>23</v>
      </c>
      <c r="B2" s="476"/>
      <c r="C2" s="476"/>
      <c r="D2" s="476"/>
      <c r="E2" s="476"/>
      <c r="F2" s="476"/>
      <c r="G2" s="2113"/>
    </row>
    <row r="3" spans="1:7" ht="18">
      <c r="A3" s="478" t="s">
        <v>22</v>
      </c>
      <c r="B3" s="476"/>
      <c r="C3" s="476"/>
      <c r="D3" s="476"/>
      <c r="E3" s="476"/>
      <c r="F3" s="476"/>
      <c r="G3" s="2113"/>
    </row>
    <row r="4" spans="1:7" s="480" customFormat="1" ht="12.75" customHeight="1">
      <c r="A4" s="478"/>
      <c r="B4" s="479"/>
      <c r="C4" s="479"/>
      <c r="D4" s="479"/>
      <c r="E4" s="479"/>
      <c r="F4" s="479"/>
      <c r="G4" s="2113"/>
    </row>
    <row r="5" spans="1:7" ht="15.75">
      <c r="A5" s="481"/>
      <c r="B5" s="482" t="s">
        <v>659</v>
      </c>
      <c r="C5" s="482" t="s">
        <v>322</v>
      </c>
      <c r="D5" s="482" t="s">
        <v>660</v>
      </c>
      <c r="E5" s="482" t="s">
        <v>661</v>
      </c>
      <c r="F5" s="483" t="s">
        <v>271</v>
      </c>
      <c r="G5" s="2113"/>
    </row>
    <row r="6" spans="1:7" ht="15.75">
      <c r="A6" s="484"/>
      <c r="B6" s="485" t="s">
        <v>662</v>
      </c>
      <c r="C6" s="485" t="s">
        <v>663</v>
      </c>
      <c r="D6" s="485" t="s">
        <v>664</v>
      </c>
      <c r="E6" s="485" t="s">
        <v>665</v>
      </c>
      <c r="F6" s="486" t="s">
        <v>666</v>
      </c>
      <c r="G6" s="2113"/>
    </row>
    <row r="7" spans="1:7" ht="15.75">
      <c r="A7" s="484" t="s">
        <v>667</v>
      </c>
      <c r="B7" s="485" t="s">
        <v>668</v>
      </c>
      <c r="C7" s="485" t="s">
        <v>668</v>
      </c>
      <c r="D7" s="485" t="s">
        <v>669</v>
      </c>
      <c r="E7" s="485" t="s">
        <v>670</v>
      </c>
      <c r="F7" s="486" t="s">
        <v>671</v>
      </c>
      <c r="G7" s="2113"/>
    </row>
    <row r="8" spans="1:7" ht="15.75">
      <c r="A8" s="487" t="s">
        <v>672</v>
      </c>
      <c r="B8" s="488" t="s">
        <v>378</v>
      </c>
      <c r="C8" s="488" t="s">
        <v>673</v>
      </c>
      <c r="D8" s="488" t="s">
        <v>674</v>
      </c>
      <c r="E8" s="488" t="s">
        <v>675</v>
      </c>
      <c r="F8" s="489" t="s">
        <v>676</v>
      </c>
      <c r="G8" s="2113"/>
    </row>
    <row r="9" spans="1:7" ht="15.75">
      <c r="A9" s="487" t="s">
        <v>677</v>
      </c>
      <c r="B9" s="488" t="s">
        <v>678</v>
      </c>
      <c r="C9" s="488" t="s">
        <v>679</v>
      </c>
      <c r="D9" s="488" t="s">
        <v>680</v>
      </c>
      <c r="E9" s="488" t="s">
        <v>681</v>
      </c>
      <c r="F9" s="489" t="s">
        <v>682</v>
      </c>
      <c r="G9" s="2113"/>
    </row>
    <row r="10" spans="1:7" ht="15.75">
      <c r="A10" s="487"/>
      <c r="B10" s="488" t="s">
        <v>683</v>
      </c>
      <c r="C10" s="488" t="s">
        <v>684</v>
      </c>
      <c r="D10" s="488" t="s">
        <v>685</v>
      </c>
      <c r="E10" s="488" t="s">
        <v>686</v>
      </c>
      <c r="F10" s="489" t="s">
        <v>687</v>
      </c>
      <c r="G10" s="2113"/>
    </row>
    <row r="11" spans="1:7" s="493" customFormat="1" ht="15.75">
      <c r="A11" s="490"/>
      <c r="B11" s="491" t="s">
        <v>688</v>
      </c>
      <c r="C11" s="491" t="s">
        <v>688</v>
      </c>
      <c r="D11" s="491" t="s">
        <v>689</v>
      </c>
      <c r="E11" s="491" t="s">
        <v>690</v>
      </c>
      <c r="F11" s="492" t="s">
        <v>690</v>
      </c>
      <c r="G11" s="2113"/>
    </row>
    <row r="12" spans="1:7" ht="20.25" customHeight="1">
      <c r="A12" s="1877" t="s">
        <v>691</v>
      </c>
      <c r="B12" s="1878">
        <v>190.372523</v>
      </c>
      <c r="C12" s="1878">
        <v>70</v>
      </c>
      <c r="D12" s="1879">
        <v>99.167000000000002</v>
      </c>
      <c r="E12" s="1880">
        <v>3.32</v>
      </c>
      <c r="F12" s="1880">
        <v>2.58</v>
      </c>
      <c r="G12" s="2113"/>
    </row>
    <row r="13" spans="1:7" ht="12.75" customHeight="1">
      <c r="A13" s="1877" t="s">
        <v>692</v>
      </c>
      <c r="B13" s="1878">
        <v>79.771280000000004</v>
      </c>
      <c r="C13" s="1878">
        <v>70</v>
      </c>
      <c r="D13" s="1879">
        <v>99.18</v>
      </c>
      <c r="E13" s="1880">
        <v>3.27</v>
      </c>
      <c r="F13" s="1880">
        <v>2.56</v>
      </c>
      <c r="G13" s="2113"/>
    </row>
    <row r="14" spans="1:7" ht="12.75" customHeight="1">
      <c r="A14" s="1877" t="s">
        <v>693</v>
      </c>
      <c r="B14" s="1878">
        <v>116.36507</v>
      </c>
      <c r="C14" s="1878">
        <v>35</v>
      </c>
      <c r="D14" s="1879">
        <v>98.263000000000005</v>
      </c>
      <c r="E14" s="1880">
        <v>3.5</v>
      </c>
      <c r="F14" s="1880">
        <v>2.59</v>
      </c>
      <c r="G14" s="2113"/>
    </row>
    <row r="15" spans="1:7" ht="12.75" customHeight="1">
      <c r="A15" s="1877" t="s">
        <v>694</v>
      </c>
      <c r="B15" s="1878">
        <v>131.496726</v>
      </c>
      <c r="C15" s="1878">
        <v>70</v>
      </c>
      <c r="D15" s="1879">
        <v>99.201999999999998</v>
      </c>
      <c r="E15" s="1880">
        <v>3.18</v>
      </c>
      <c r="F15" s="1880">
        <v>2.5299999999999998</v>
      </c>
      <c r="G15" s="2113"/>
    </row>
    <row r="16" spans="1:7" ht="12.75" customHeight="1">
      <c r="A16" s="1877" t="s">
        <v>695</v>
      </c>
      <c r="B16" s="1878">
        <v>95.590840999999998</v>
      </c>
      <c r="C16" s="1878">
        <v>70</v>
      </c>
      <c r="D16" s="1879">
        <v>99.212999999999994</v>
      </c>
      <c r="E16" s="1880">
        <v>3.14</v>
      </c>
      <c r="F16" s="1880">
        <v>2.5299999999999998</v>
      </c>
      <c r="G16" s="2113"/>
    </row>
    <row r="17" spans="1:7" ht="12.75" customHeight="1">
      <c r="A17" s="1877" t="s">
        <v>696</v>
      </c>
      <c r="B17" s="1878">
        <v>300.44727399999999</v>
      </c>
      <c r="C17" s="1878">
        <v>100</v>
      </c>
      <c r="D17" s="1879">
        <v>96.575999999999993</v>
      </c>
      <c r="E17" s="1880">
        <v>3.51</v>
      </c>
      <c r="F17" s="1880">
        <v>2.62</v>
      </c>
      <c r="G17" s="2113"/>
    </row>
    <row r="18" spans="1:7" ht="20.25" customHeight="1">
      <c r="A18" s="1877" t="s">
        <v>697</v>
      </c>
      <c r="B18" s="1878">
        <v>125.384</v>
      </c>
      <c r="C18" s="1878">
        <v>35</v>
      </c>
      <c r="D18" s="1879">
        <v>98.396000000000001</v>
      </c>
      <c r="E18" s="1880">
        <v>3.22</v>
      </c>
      <c r="F18" s="1880">
        <v>2.54</v>
      </c>
      <c r="G18" s="2113"/>
    </row>
    <row r="19" spans="1:7" ht="12.75" customHeight="1">
      <c r="A19" s="1877" t="s">
        <v>698</v>
      </c>
      <c r="B19" s="1878">
        <v>76.169961000000001</v>
      </c>
      <c r="C19" s="1878">
        <v>70</v>
      </c>
      <c r="D19" s="1879">
        <v>99.203000000000003</v>
      </c>
      <c r="E19" s="1880">
        <v>3.18</v>
      </c>
      <c r="F19" s="1880">
        <v>2.5</v>
      </c>
      <c r="G19" s="2113"/>
    </row>
    <row r="20" spans="1:7" ht="12.75" customHeight="1">
      <c r="A20" s="1877" t="s">
        <v>699</v>
      </c>
      <c r="B20" s="1878">
        <v>106.942329</v>
      </c>
      <c r="C20" s="1878">
        <v>70</v>
      </c>
      <c r="D20" s="1879">
        <v>99.215999999999994</v>
      </c>
      <c r="E20" s="1880">
        <v>3.13</v>
      </c>
      <c r="F20" s="1880">
        <v>2.4500000000000002</v>
      </c>
      <c r="G20" s="2113"/>
    </row>
    <row r="21" spans="1:7" ht="12.75" customHeight="1">
      <c r="A21" s="1877" t="s">
        <v>700</v>
      </c>
      <c r="B21" s="1878">
        <v>97.191862</v>
      </c>
      <c r="C21" s="1878">
        <v>70</v>
      </c>
      <c r="D21" s="1879">
        <v>99.215999999999994</v>
      </c>
      <c r="E21" s="1880">
        <v>3.12</v>
      </c>
      <c r="F21" s="1880">
        <v>2.35</v>
      </c>
      <c r="G21" s="2113"/>
    </row>
    <row r="22" spans="1:7" ht="12.75" customHeight="1">
      <c r="A22" s="1877" t="s">
        <v>701</v>
      </c>
      <c r="B22" s="1878">
        <v>233.13689500000001</v>
      </c>
      <c r="C22" s="1878">
        <v>100</v>
      </c>
      <c r="D22" s="1879">
        <v>96.81</v>
      </c>
      <c r="E22" s="1880">
        <v>3.26</v>
      </c>
      <c r="F22" s="1880">
        <v>2.1800000000000002</v>
      </c>
      <c r="G22" s="2113"/>
    </row>
    <row r="23" spans="1:7" ht="12.75" customHeight="1">
      <c r="A23" s="1877" t="s">
        <v>702</v>
      </c>
      <c r="B23" s="1878">
        <v>103.38813</v>
      </c>
      <c r="C23" s="1878">
        <v>35</v>
      </c>
      <c r="D23" s="1879">
        <v>98.450999999999993</v>
      </c>
      <c r="E23" s="1880">
        <v>3.11</v>
      </c>
      <c r="F23" s="1880">
        <v>2.1</v>
      </c>
      <c r="G23" s="2113"/>
    </row>
    <row r="24" spans="1:7" ht="20.25" customHeight="1">
      <c r="A24" s="1877" t="s">
        <v>703</v>
      </c>
      <c r="B24" s="1878">
        <v>79.536277999999996</v>
      </c>
      <c r="C24" s="1878">
        <v>70</v>
      </c>
      <c r="D24" s="1879">
        <v>99.218999999999994</v>
      </c>
      <c r="E24" s="1880">
        <v>3.12</v>
      </c>
      <c r="F24" s="1880">
        <v>2.3199999999999998</v>
      </c>
      <c r="G24" s="2113"/>
    </row>
    <row r="25" spans="1:7" ht="12.75" customHeight="1">
      <c r="A25" s="1877" t="s">
        <v>704</v>
      </c>
      <c r="B25" s="1878">
        <v>108.447711</v>
      </c>
      <c r="C25" s="1878">
        <v>70</v>
      </c>
      <c r="D25" s="1879">
        <v>99.225999999999999</v>
      </c>
      <c r="E25" s="1880">
        <v>3.09</v>
      </c>
      <c r="F25" s="1880">
        <v>2.31</v>
      </c>
      <c r="G25" s="2113"/>
    </row>
    <row r="26" spans="1:7" ht="12.75" customHeight="1">
      <c r="A26" s="1877" t="s">
        <v>705</v>
      </c>
      <c r="B26" s="1878">
        <v>114.465231</v>
      </c>
      <c r="C26" s="1878">
        <v>70</v>
      </c>
      <c r="D26" s="1879">
        <v>99.233999999999995</v>
      </c>
      <c r="E26" s="1880">
        <v>3.05</v>
      </c>
      <c r="F26" s="1880">
        <v>2.2599999999999998</v>
      </c>
      <c r="G26" s="2113"/>
    </row>
    <row r="27" spans="1:7" ht="12.75" customHeight="1">
      <c r="A27" s="1877" t="s">
        <v>706</v>
      </c>
      <c r="B27" s="1878">
        <v>167.14599999999999</v>
      </c>
      <c r="C27" s="1878">
        <v>100</v>
      </c>
      <c r="D27" s="1879">
        <v>96.939462000000006</v>
      </c>
      <c r="E27" s="1880">
        <v>3.12</v>
      </c>
      <c r="F27" s="1880">
        <v>2.19</v>
      </c>
      <c r="G27" s="2113"/>
    </row>
    <row r="28" spans="1:7" ht="12.75" customHeight="1">
      <c r="A28" s="1877" t="s">
        <v>707</v>
      </c>
      <c r="B28" s="1878">
        <v>72.192331999999993</v>
      </c>
      <c r="C28" s="1878">
        <v>70</v>
      </c>
      <c r="D28" s="1879">
        <v>99.225999999999999</v>
      </c>
      <c r="E28" s="1880">
        <v>3.08</v>
      </c>
      <c r="F28" s="1880">
        <v>2.27</v>
      </c>
      <c r="G28" s="2113"/>
    </row>
    <row r="29" spans="1:7" ht="20.25" customHeight="1">
      <c r="A29" s="1877" t="s">
        <v>708</v>
      </c>
      <c r="B29" s="1878">
        <v>96.742500000000007</v>
      </c>
      <c r="C29" s="1878">
        <v>35</v>
      </c>
      <c r="D29" s="1879">
        <v>98.54</v>
      </c>
      <c r="E29" s="1880">
        <v>2.93</v>
      </c>
      <c r="F29" s="1880">
        <v>2.19</v>
      </c>
      <c r="G29" s="2113"/>
    </row>
    <row r="30" spans="1:7" ht="12.75" customHeight="1">
      <c r="A30" s="1877" t="s">
        <v>709</v>
      </c>
      <c r="B30" s="1878">
        <v>79.674000000000007</v>
      </c>
      <c r="C30" s="1878">
        <v>70</v>
      </c>
      <c r="D30" s="1879">
        <v>99.253</v>
      </c>
      <c r="E30" s="1880">
        <v>2.98</v>
      </c>
      <c r="F30" s="1880">
        <v>2.2400000000000002</v>
      </c>
      <c r="G30" s="2113"/>
    </row>
    <row r="31" spans="1:7" ht="12.75" customHeight="1">
      <c r="A31" s="1877" t="s">
        <v>710</v>
      </c>
      <c r="B31" s="1878">
        <v>115.37736700000001</v>
      </c>
      <c r="C31" s="1878">
        <v>70</v>
      </c>
      <c r="D31" s="1879">
        <v>99.260999999999996</v>
      </c>
      <c r="E31" s="1880">
        <v>2.95</v>
      </c>
      <c r="F31" s="1880">
        <v>2.19</v>
      </c>
      <c r="G31" s="2113"/>
    </row>
    <row r="32" spans="1:7" ht="12.75" customHeight="1">
      <c r="A32" s="1877" t="s">
        <v>711</v>
      </c>
      <c r="B32" s="1878">
        <v>76.829499999999996</v>
      </c>
      <c r="C32" s="1878">
        <v>70</v>
      </c>
      <c r="D32" s="1879">
        <v>99.272000000000006</v>
      </c>
      <c r="E32" s="1880">
        <v>2.9</v>
      </c>
      <c r="F32" s="1880">
        <v>2.14</v>
      </c>
      <c r="G32" s="2113"/>
    </row>
    <row r="33" spans="1:7" ht="12.75" customHeight="1">
      <c r="A33" s="1877" t="s">
        <v>712</v>
      </c>
      <c r="B33" s="1878">
        <v>218.0401</v>
      </c>
      <c r="C33" s="1878">
        <v>100</v>
      </c>
      <c r="D33" s="1879">
        <v>97.156999999999996</v>
      </c>
      <c r="E33" s="1880">
        <v>2.89</v>
      </c>
      <c r="F33" s="1880">
        <v>2.0299999999999998</v>
      </c>
      <c r="G33" s="2113"/>
    </row>
    <row r="34" spans="1:7" ht="20.25" customHeight="1">
      <c r="A34" s="1877" t="s">
        <v>713</v>
      </c>
      <c r="B34" s="1878">
        <v>85.103999999999999</v>
      </c>
      <c r="C34" s="1878">
        <v>35</v>
      </c>
      <c r="D34" s="1879">
        <v>98.58</v>
      </c>
      <c r="E34" s="1880">
        <v>2.85</v>
      </c>
      <c r="F34" s="1880">
        <v>2.04</v>
      </c>
      <c r="G34" s="2113"/>
    </row>
    <row r="35" spans="1:7" ht="12.75" customHeight="1">
      <c r="A35" s="1877" t="s">
        <v>714</v>
      </c>
      <c r="B35" s="1878">
        <v>135.76102599999999</v>
      </c>
      <c r="C35" s="1878">
        <v>70</v>
      </c>
      <c r="D35" s="1879">
        <v>99.287999999999997</v>
      </c>
      <c r="E35" s="1880">
        <v>2.84</v>
      </c>
      <c r="F35" s="1880">
        <v>2.14</v>
      </c>
      <c r="G35" s="2113"/>
    </row>
    <row r="36" spans="1:7" ht="12.75" customHeight="1">
      <c r="A36" s="1877" t="s">
        <v>715</v>
      </c>
      <c r="B36" s="1878">
        <v>106.17160800000001</v>
      </c>
      <c r="C36" s="1878">
        <v>70</v>
      </c>
      <c r="D36" s="1879">
        <v>99.299000000000007</v>
      </c>
      <c r="E36" s="1880">
        <v>2.79</v>
      </c>
      <c r="F36" s="1880">
        <v>2.13</v>
      </c>
      <c r="G36" s="2113"/>
    </row>
    <row r="37" spans="1:7" ht="12.75" customHeight="1">
      <c r="A37" s="1877" t="s">
        <v>716</v>
      </c>
      <c r="B37" s="1878">
        <v>101.96913000000001</v>
      </c>
      <c r="C37" s="1878">
        <v>70</v>
      </c>
      <c r="D37" s="1879">
        <v>99.293000000000006</v>
      </c>
      <c r="E37" s="1880">
        <v>2.82</v>
      </c>
      <c r="F37" s="1880">
        <v>2.14</v>
      </c>
      <c r="G37" s="2113"/>
    </row>
    <row r="38" spans="1:7" ht="12.75" customHeight="1">
      <c r="A38" s="1877" t="s">
        <v>717</v>
      </c>
      <c r="B38" s="1878">
        <v>151.14400000000001</v>
      </c>
      <c r="C38" s="1878">
        <v>100</v>
      </c>
      <c r="D38" s="1879">
        <v>97.176000000000002</v>
      </c>
      <c r="E38" s="1880">
        <v>2.87</v>
      </c>
      <c r="F38" s="1880">
        <v>2.0299999999999998</v>
      </c>
      <c r="G38" s="2113"/>
    </row>
    <row r="39" spans="1:7" ht="12.75" customHeight="1">
      <c r="A39" s="1877" t="s">
        <v>718</v>
      </c>
      <c r="B39" s="1878">
        <v>98.534999999999997</v>
      </c>
      <c r="C39" s="1878">
        <v>35</v>
      </c>
      <c r="D39" s="1879">
        <v>98.578999999999994</v>
      </c>
      <c r="E39" s="1880">
        <v>2.85</v>
      </c>
      <c r="F39" s="1880">
        <v>2.06</v>
      </c>
      <c r="G39" s="2113"/>
    </row>
    <row r="40" spans="1:7" ht="20.25" customHeight="1">
      <c r="A40" s="1877" t="s">
        <v>719</v>
      </c>
      <c r="B40" s="1878">
        <v>76.452399999999997</v>
      </c>
      <c r="C40" s="1878">
        <v>70</v>
      </c>
      <c r="D40" s="1879">
        <v>99.286000000000001</v>
      </c>
      <c r="E40" s="1880">
        <v>2.84</v>
      </c>
      <c r="F40" s="1880">
        <v>2.1</v>
      </c>
      <c r="G40" s="2113"/>
    </row>
    <row r="41" spans="1:7" ht="12.75" customHeight="1">
      <c r="A41" s="1877" t="s">
        <v>720</v>
      </c>
      <c r="B41" s="1878">
        <v>99.952799999999996</v>
      </c>
      <c r="C41" s="1878">
        <v>70</v>
      </c>
      <c r="D41" s="1879">
        <v>99.289000000000001</v>
      </c>
      <c r="E41" s="1880">
        <v>2.83</v>
      </c>
      <c r="F41" s="1880">
        <v>2.0299999999999998</v>
      </c>
      <c r="G41" s="2113"/>
    </row>
    <row r="42" spans="1:7" ht="12.75" customHeight="1">
      <c r="A42" s="1877" t="s">
        <v>721</v>
      </c>
      <c r="B42" s="1878">
        <v>109.532906</v>
      </c>
      <c r="C42" s="1878">
        <v>70</v>
      </c>
      <c r="D42" s="1879">
        <v>99.292000000000002</v>
      </c>
      <c r="E42" s="1880">
        <v>2.82</v>
      </c>
      <c r="F42" s="1880">
        <v>1.95</v>
      </c>
      <c r="G42" s="2113"/>
    </row>
    <row r="43" spans="1:7" ht="12.75" customHeight="1">
      <c r="A43" s="1877" t="s">
        <v>722</v>
      </c>
      <c r="B43" s="1878">
        <v>177.22675899999999</v>
      </c>
      <c r="C43" s="1878">
        <v>100</v>
      </c>
      <c r="D43" s="1879">
        <v>97.224999999999994</v>
      </c>
      <c r="E43" s="1880">
        <v>2.82</v>
      </c>
      <c r="F43" s="1880">
        <v>3.13</v>
      </c>
      <c r="G43" s="2113"/>
    </row>
    <row r="44" spans="1:7" ht="12.75" customHeight="1">
      <c r="A44" s="1877" t="s">
        <v>723</v>
      </c>
      <c r="B44" s="1878">
        <v>111.86308200000001</v>
      </c>
      <c r="C44" s="1878">
        <v>70</v>
      </c>
      <c r="D44" s="1879">
        <v>99.3</v>
      </c>
      <c r="E44" s="1880">
        <v>2.79</v>
      </c>
      <c r="F44" s="1880">
        <v>1.93</v>
      </c>
      <c r="G44" s="2113"/>
    </row>
    <row r="45" spans="1:7" ht="20.25" customHeight="1">
      <c r="A45" s="1877" t="s">
        <v>724</v>
      </c>
      <c r="B45" s="1878">
        <v>109.33750000000001</v>
      </c>
      <c r="C45" s="1878">
        <v>70</v>
      </c>
      <c r="D45" s="1879">
        <v>99.332999999999998</v>
      </c>
      <c r="E45" s="1880">
        <v>2.65</v>
      </c>
      <c r="F45" s="1880">
        <v>1.89</v>
      </c>
      <c r="G45" s="2113"/>
    </row>
    <row r="46" spans="1:7" ht="12.75" customHeight="1">
      <c r="A46" s="1877" t="s">
        <v>725</v>
      </c>
      <c r="B46" s="1878">
        <v>79.155000000000001</v>
      </c>
      <c r="C46" s="1878">
        <v>35</v>
      </c>
      <c r="D46" s="1879">
        <v>98.686999999999998</v>
      </c>
      <c r="E46" s="1880">
        <v>2.63</v>
      </c>
      <c r="F46" s="1880">
        <v>1.93</v>
      </c>
      <c r="G46" s="2113"/>
    </row>
    <row r="47" spans="1:7" ht="12.75" customHeight="1">
      <c r="A47" s="1877" t="s">
        <v>726</v>
      </c>
      <c r="B47" s="1878">
        <v>84.721196000000006</v>
      </c>
      <c r="C47" s="1878">
        <v>70</v>
      </c>
      <c r="D47" s="1879">
        <v>99.35</v>
      </c>
      <c r="E47" s="1880">
        <v>2.59</v>
      </c>
      <c r="F47" s="1880">
        <v>1.9</v>
      </c>
      <c r="G47" s="2113"/>
    </row>
    <row r="48" spans="1:7" ht="12.75" customHeight="1">
      <c r="A48" s="1877" t="s">
        <v>727</v>
      </c>
      <c r="B48" s="1878">
        <v>70.490099999999998</v>
      </c>
      <c r="C48" s="1878">
        <v>70</v>
      </c>
      <c r="D48" s="1879">
        <v>99.353999999999999</v>
      </c>
      <c r="E48" s="1880">
        <v>2.57</v>
      </c>
      <c r="F48" s="1880">
        <v>1.92</v>
      </c>
      <c r="G48" s="2113"/>
    </row>
    <row r="49" spans="1:7" ht="12.75" customHeight="1">
      <c r="A49" s="1877" t="s">
        <v>728</v>
      </c>
      <c r="B49" s="1878">
        <v>203.72472400000001</v>
      </c>
      <c r="C49" s="1878">
        <v>100</v>
      </c>
      <c r="D49" s="1879">
        <v>97.409000000000006</v>
      </c>
      <c r="E49" s="1880">
        <v>2.63</v>
      </c>
      <c r="F49" s="1880">
        <v>1.94</v>
      </c>
      <c r="G49" s="2113"/>
    </row>
    <row r="50" spans="1:7" ht="20.25" customHeight="1">
      <c r="A50" s="1877" t="s">
        <v>729</v>
      </c>
      <c r="B50" s="1878">
        <v>115.08</v>
      </c>
      <c r="C50" s="1878">
        <v>35</v>
      </c>
      <c r="D50" s="1879">
        <v>98.715000000000003</v>
      </c>
      <c r="E50" s="1880">
        <v>2.57</v>
      </c>
      <c r="F50" s="1880">
        <v>1.91</v>
      </c>
      <c r="G50" s="2113"/>
    </row>
    <row r="51" spans="1:7" ht="12.75" customHeight="1">
      <c r="A51" s="1877" t="s">
        <v>730</v>
      </c>
      <c r="B51" s="1878">
        <v>70</v>
      </c>
      <c r="C51" s="1878">
        <v>70</v>
      </c>
      <c r="D51" s="1879">
        <v>99.352999999999994</v>
      </c>
      <c r="E51" s="1880">
        <v>2.58</v>
      </c>
      <c r="F51" s="1880">
        <v>1.91</v>
      </c>
      <c r="G51" s="2113"/>
    </row>
    <row r="52" spans="1:7" ht="12.75" customHeight="1">
      <c r="A52" s="1877" t="s">
        <v>731</v>
      </c>
      <c r="B52" s="1878">
        <v>122.777</v>
      </c>
      <c r="C52" s="1878">
        <v>70</v>
      </c>
      <c r="D52" s="1879">
        <v>99.355999999999995</v>
      </c>
      <c r="E52" s="1880">
        <v>2.56</v>
      </c>
      <c r="F52" s="1880">
        <v>1.89</v>
      </c>
      <c r="G52" s="2113"/>
    </row>
    <row r="53" spans="1:7" ht="12.75" customHeight="1">
      <c r="A53" s="1877" t="s">
        <v>732</v>
      </c>
      <c r="B53" s="1878">
        <v>76.754000000000005</v>
      </c>
      <c r="C53" s="1878">
        <v>70</v>
      </c>
      <c r="D53" s="1879">
        <v>99.352000000000004</v>
      </c>
      <c r="E53" s="1880">
        <v>2.58</v>
      </c>
      <c r="F53" s="1880">
        <v>1.94</v>
      </c>
      <c r="G53" s="2113"/>
    </row>
    <row r="54" spans="1:7" ht="12.75" customHeight="1">
      <c r="A54" s="1877" t="s">
        <v>733</v>
      </c>
      <c r="B54" s="1878">
        <v>100</v>
      </c>
      <c r="C54" s="1878">
        <v>100</v>
      </c>
      <c r="D54" s="1879">
        <v>97.429000000000002</v>
      </c>
      <c r="E54" s="1880">
        <v>2.61</v>
      </c>
      <c r="F54" s="1880">
        <v>2</v>
      </c>
      <c r="G54" s="2113"/>
    </row>
    <row r="55" spans="1:7" ht="12.75" customHeight="1">
      <c r="A55" s="1877" t="s">
        <v>734</v>
      </c>
      <c r="B55" s="1878">
        <v>35.377000000000002</v>
      </c>
      <c r="C55" s="1878">
        <v>35</v>
      </c>
      <c r="D55" s="1879">
        <v>98.716999999999999</v>
      </c>
      <c r="E55" s="1880">
        <v>2.57</v>
      </c>
      <c r="F55" s="1880">
        <v>1.92</v>
      </c>
      <c r="G55" s="2113"/>
    </row>
    <row r="56" spans="1:7" ht="20.25" customHeight="1">
      <c r="A56" s="1877" t="s">
        <v>735</v>
      </c>
      <c r="B56" s="1878">
        <v>70.376999999999995</v>
      </c>
      <c r="C56" s="1878">
        <v>70</v>
      </c>
      <c r="D56" s="1879">
        <v>99.352000000000004</v>
      </c>
      <c r="E56" s="1880">
        <v>2.58</v>
      </c>
      <c r="F56" s="1880">
        <v>1.94</v>
      </c>
      <c r="G56" s="2113"/>
    </row>
    <row r="57" spans="1:7" ht="12.75" customHeight="1">
      <c r="A57" s="1877" t="s">
        <v>736</v>
      </c>
      <c r="B57" s="1878">
        <v>84.264653999999993</v>
      </c>
      <c r="C57" s="1878">
        <v>70</v>
      </c>
      <c r="D57" s="1879">
        <v>99.343999999999994</v>
      </c>
      <c r="E57" s="1880">
        <v>2.61</v>
      </c>
      <c r="F57" s="1880">
        <v>1.87</v>
      </c>
      <c r="G57" s="2113"/>
    </row>
    <row r="58" spans="1:7" ht="12.75" customHeight="1">
      <c r="A58" s="1877" t="s">
        <v>737</v>
      </c>
      <c r="B58" s="1878">
        <v>128.78876299999999</v>
      </c>
      <c r="C58" s="1878">
        <v>70</v>
      </c>
      <c r="D58" s="1879">
        <v>99.353999999999999</v>
      </c>
      <c r="E58" s="1880">
        <v>2.57</v>
      </c>
      <c r="F58" s="1880">
        <v>1.82</v>
      </c>
      <c r="G58" s="2113"/>
    </row>
    <row r="59" spans="1:7" ht="12.75" customHeight="1">
      <c r="A59" s="1877" t="s">
        <v>738</v>
      </c>
      <c r="B59" s="1878">
        <v>196.35</v>
      </c>
      <c r="C59" s="1878">
        <v>100</v>
      </c>
      <c r="D59" s="1879">
        <v>97.436000000000007</v>
      </c>
      <c r="E59" s="1880">
        <v>2.6</v>
      </c>
      <c r="F59" s="1880">
        <v>1.92</v>
      </c>
      <c r="G59" s="2113"/>
    </row>
    <row r="60" spans="1:7" ht="12.75" customHeight="1">
      <c r="A60" s="1877" t="s">
        <v>739</v>
      </c>
      <c r="B60" s="1878">
        <v>151.73699999999999</v>
      </c>
      <c r="C60" s="1878">
        <v>70</v>
      </c>
      <c r="D60" s="1879">
        <v>99.36</v>
      </c>
      <c r="E60" s="1880">
        <v>2.5499999999999998</v>
      </c>
      <c r="F60" s="1880">
        <v>1.8</v>
      </c>
      <c r="G60" s="2113"/>
    </row>
    <row r="61" spans="1:7" ht="20.25" customHeight="1">
      <c r="A61" s="1877" t="s">
        <v>740</v>
      </c>
      <c r="B61" s="1878">
        <v>107.72</v>
      </c>
      <c r="C61" s="1878">
        <v>35</v>
      </c>
      <c r="D61" s="1879">
        <v>98.74</v>
      </c>
      <c r="E61" s="1880">
        <v>2.52</v>
      </c>
      <c r="F61" s="1880">
        <v>1.77</v>
      </c>
      <c r="G61" s="2113"/>
    </row>
    <row r="62" spans="1:7" ht="12.75" customHeight="1">
      <c r="A62" s="1877" t="s">
        <v>741</v>
      </c>
      <c r="B62" s="1878">
        <v>89.87</v>
      </c>
      <c r="C62" s="1878">
        <v>70</v>
      </c>
      <c r="D62" s="1879">
        <v>99.358000000000004</v>
      </c>
      <c r="E62" s="1880">
        <v>2.56</v>
      </c>
      <c r="F62" s="1880">
        <v>1.75</v>
      </c>
      <c r="G62" s="2113"/>
    </row>
    <row r="63" spans="1:7" ht="12.75" customHeight="1">
      <c r="A63" s="1877" t="s">
        <v>742</v>
      </c>
      <c r="B63" s="1878">
        <v>127.99</v>
      </c>
      <c r="C63" s="1878">
        <v>70</v>
      </c>
      <c r="D63" s="1879">
        <v>99.373000000000005</v>
      </c>
      <c r="E63" s="1880">
        <v>2.5</v>
      </c>
      <c r="F63" s="1880">
        <v>1.73</v>
      </c>
      <c r="G63" s="2113"/>
    </row>
    <row r="64" spans="1:7" ht="12.75" customHeight="1">
      <c r="A64" s="1877" t="s">
        <v>743</v>
      </c>
      <c r="B64" s="1878">
        <v>70</v>
      </c>
      <c r="C64" s="1878">
        <v>70</v>
      </c>
      <c r="D64" s="1879">
        <v>99.373999999999995</v>
      </c>
      <c r="E64" s="1880">
        <v>2.4900000000000002</v>
      </c>
      <c r="F64" s="1880">
        <v>1.68</v>
      </c>
      <c r="G64" s="2113"/>
    </row>
    <row r="65" spans="1:7" ht="12.75" customHeight="1">
      <c r="A65" s="1877" t="s">
        <v>744</v>
      </c>
      <c r="B65" s="1878">
        <v>168.66</v>
      </c>
      <c r="C65" s="1878">
        <v>100</v>
      </c>
      <c r="D65" s="1879">
        <v>97.475999999999999</v>
      </c>
      <c r="E65" s="1880">
        <v>2.56</v>
      </c>
      <c r="F65" s="1880">
        <v>1.64</v>
      </c>
      <c r="G65" s="2113"/>
    </row>
    <row r="66" spans="1:7" ht="20.25" customHeight="1">
      <c r="A66" s="1877" t="s">
        <v>1568</v>
      </c>
      <c r="B66" s="1878">
        <v>82.775000000000006</v>
      </c>
      <c r="C66" s="1878">
        <v>35</v>
      </c>
      <c r="D66" s="1879">
        <v>98.766000000000005</v>
      </c>
      <c r="E66" s="1880">
        <v>2.4700000000000002</v>
      </c>
      <c r="F66" s="1880">
        <v>1.63</v>
      </c>
      <c r="G66" s="2113"/>
    </row>
    <row r="67" spans="1:7" ht="12.75" customHeight="1">
      <c r="A67" s="1877" t="s">
        <v>1569</v>
      </c>
      <c r="B67" s="1878">
        <v>70</v>
      </c>
      <c r="C67" s="1878">
        <v>70</v>
      </c>
      <c r="D67" s="1879">
        <v>99.385000000000005</v>
      </c>
      <c r="E67" s="1880">
        <v>2.4500000000000002</v>
      </c>
      <c r="F67" s="1880">
        <v>1.46</v>
      </c>
      <c r="G67" s="2113"/>
    </row>
    <row r="68" spans="1:7" ht="12.75" customHeight="1">
      <c r="A68" s="1877" t="s">
        <v>1570</v>
      </c>
      <c r="B68" s="1878">
        <v>84.870999999999995</v>
      </c>
      <c r="C68" s="1878">
        <v>70</v>
      </c>
      <c r="D68" s="1879">
        <v>99.481999999999999</v>
      </c>
      <c r="E68" s="1880">
        <v>2.06</v>
      </c>
      <c r="F68" s="1880">
        <v>0.9</v>
      </c>
      <c r="G68" s="2113"/>
    </row>
    <row r="69" spans="1:7" ht="12.75" customHeight="1">
      <c r="A69" s="1877" t="s">
        <v>1571</v>
      </c>
      <c r="B69" s="1878">
        <v>70</v>
      </c>
      <c r="C69" s="1878">
        <v>70</v>
      </c>
      <c r="D69" s="1879">
        <v>99.481999999999999</v>
      </c>
      <c r="E69" s="1880">
        <v>2.06</v>
      </c>
      <c r="F69" s="1880">
        <v>1.2</v>
      </c>
      <c r="G69" s="2113"/>
    </row>
    <row r="70" spans="1:7" ht="12.75" customHeight="1">
      <c r="A70" s="1877" t="s">
        <v>1572</v>
      </c>
      <c r="B70" s="1878">
        <v>100</v>
      </c>
      <c r="C70" s="1878">
        <v>100</v>
      </c>
      <c r="D70" s="1879">
        <v>97.180999999999997</v>
      </c>
      <c r="E70" s="1880">
        <v>2.87</v>
      </c>
      <c r="F70" s="1880">
        <v>0.94</v>
      </c>
      <c r="G70" s="2113"/>
    </row>
    <row r="71" spans="1:7" ht="12.75" customHeight="1">
      <c r="A71" s="1877" t="s">
        <v>1573</v>
      </c>
      <c r="B71" s="1878">
        <v>35</v>
      </c>
      <c r="C71" s="1878">
        <v>35</v>
      </c>
      <c r="D71" s="1879">
        <v>98.665000000000006</v>
      </c>
      <c r="E71" s="1880">
        <v>2.68</v>
      </c>
      <c r="F71" s="1880">
        <v>0.98</v>
      </c>
      <c r="G71" s="2113"/>
    </row>
    <row r="72" spans="1:7" ht="20.25" customHeight="1">
      <c r="A72" s="1877" t="s">
        <v>1582</v>
      </c>
      <c r="B72" s="1878">
        <v>70</v>
      </c>
      <c r="C72" s="1878">
        <v>70</v>
      </c>
      <c r="D72" s="1879">
        <v>99.444999999999993</v>
      </c>
      <c r="E72" s="1880">
        <v>2.21</v>
      </c>
      <c r="F72" s="1880">
        <v>1.45</v>
      </c>
      <c r="G72" s="2113"/>
    </row>
    <row r="73" spans="1:7" ht="12.75" customHeight="1">
      <c r="A73" s="1877" t="s">
        <v>1583</v>
      </c>
      <c r="B73" s="1878">
        <v>70</v>
      </c>
      <c r="C73" s="1878">
        <v>70</v>
      </c>
      <c r="D73" s="1879">
        <v>99.424999999999997</v>
      </c>
      <c r="E73" s="1880">
        <v>2.29</v>
      </c>
      <c r="F73" s="1880">
        <v>1.39</v>
      </c>
      <c r="G73" s="2113"/>
    </row>
    <row r="74" spans="1:7" ht="12.75" customHeight="1">
      <c r="A74" s="1877" t="s">
        <v>1579</v>
      </c>
      <c r="B74" s="1878">
        <v>72</v>
      </c>
      <c r="C74" s="1878">
        <v>70</v>
      </c>
      <c r="D74" s="1879">
        <v>99.429000000000002</v>
      </c>
      <c r="E74" s="1880">
        <v>2.27</v>
      </c>
      <c r="F74" s="1880">
        <v>1.1100000000000001</v>
      </c>
      <c r="G74" s="2113"/>
    </row>
    <row r="75" spans="1:7" ht="12.75" customHeight="1">
      <c r="A75" s="1877" t="s">
        <v>1580</v>
      </c>
      <c r="B75" s="1878">
        <v>100.5</v>
      </c>
      <c r="C75" s="1878">
        <v>100</v>
      </c>
      <c r="D75" s="1879">
        <v>97.183999999999997</v>
      </c>
      <c r="E75" s="1880">
        <v>2.87</v>
      </c>
      <c r="F75" s="1880">
        <v>0.98</v>
      </c>
      <c r="G75" s="2113"/>
    </row>
    <row r="76" spans="1:7" ht="12.75" customHeight="1">
      <c r="A76" s="1877" t="s">
        <v>1581</v>
      </c>
      <c r="B76" s="1878">
        <v>70</v>
      </c>
      <c r="C76" s="1878">
        <v>70</v>
      </c>
      <c r="D76" s="1879">
        <v>99.417000000000002</v>
      </c>
      <c r="E76" s="1880">
        <v>2.3199999999999998</v>
      </c>
      <c r="F76" s="1880">
        <v>0.8871</v>
      </c>
      <c r="G76" s="2113"/>
    </row>
    <row r="77" spans="1:7" ht="15">
      <c r="A77" s="494"/>
      <c r="B77" s="495"/>
      <c r="C77" s="495"/>
      <c r="D77" s="496"/>
      <c r="E77" s="496"/>
      <c r="F77" s="497"/>
    </row>
  </sheetData>
  <mergeCells count="1">
    <mergeCell ref="G1:G76"/>
  </mergeCells>
  <printOptions horizontalCentered="1" verticalCentered="1"/>
  <pageMargins left="0.39" right="0" top="0" bottom="0" header="0.3" footer="0"/>
  <pageSetup scale="67"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dimension ref="A1:R50"/>
  <sheetViews>
    <sheetView zoomScale="80" zoomScaleNormal="80" workbookViewId="0">
      <pane xSplit="2" ySplit="12" topLeftCell="C37" activePane="bottomRight" state="frozen"/>
      <selection activeCell="A49" sqref="A1:XFD1048576"/>
      <selection pane="topRight" activeCell="A49" sqref="A1:XFD1048576"/>
      <selection pane="bottomLeft" activeCell="A49" sqref="A1:XFD1048576"/>
      <selection pane="bottomRight" activeCell="A49" sqref="A1:XFD1048576"/>
    </sheetView>
  </sheetViews>
  <sheetFormatPr defaultColWidth="9.140625" defaultRowHeight="12.75"/>
  <cols>
    <col min="1" max="2" width="9.7109375" style="620" customWidth="1"/>
    <col min="3" max="8" width="11.7109375" style="620" customWidth="1"/>
    <col min="9" max="9" width="13.7109375" style="620" customWidth="1"/>
    <col min="10" max="15" width="11.7109375" style="620" customWidth="1"/>
    <col min="16" max="17" width="13.85546875" style="620" customWidth="1"/>
    <col min="18" max="18" width="9.28515625" style="620" bestFit="1" customWidth="1"/>
    <col min="19" max="16384" width="9.140625" style="620"/>
  </cols>
  <sheetData>
    <row r="1" spans="1:17" ht="19.5">
      <c r="A1" s="1856" t="s">
        <v>745</v>
      </c>
      <c r="B1" s="696"/>
      <c r="C1" s="636"/>
      <c r="D1" s="636"/>
      <c r="E1" s="636"/>
      <c r="F1" s="636"/>
      <c r="G1" s="636"/>
      <c r="H1" s="636"/>
      <c r="I1" s="636"/>
      <c r="J1" s="636"/>
      <c r="K1" s="636"/>
      <c r="L1" s="636"/>
      <c r="M1" s="636"/>
      <c r="N1" s="636"/>
      <c r="O1" s="636"/>
      <c r="P1" s="636"/>
      <c r="Q1" s="636"/>
    </row>
    <row r="2" spans="1:17" ht="19.5">
      <c r="A2" s="1857" t="s">
        <v>25</v>
      </c>
      <c r="B2" s="696"/>
      <c r="C2" s="636"/>
      <c r="D2" s="636"/>
      <c r="E2" s="636"/>
      <c r="F2" s="636"/>
      <c r="G2" s="636"/>
      <c r="H2" s="636"/>
      <c r="I2" s="636"/>
      <c r="J2" s="636"/>
      <c r="K2" s="636"/>
      <c r="L2" s="636"/>
      <c r="M2" s="636"/>
      <c r="N2" s="636"/>
      <c r="O2" s="636"/>
      <c r="P2" s="636"/>
      <c r="Q2" s="636"/>
    </row>
    <row r="3" spans="1:17" ht="19.5">
      <c r="A3" s="1856" t="s">
        <v>24</v>
      </c>
      <c r="B3" s="696"/>
      <c r="C3" s="636"/>
      <c r="D3" s="636"/>
      <c r="E3" s="636"/>
      <c r="F3" s="636"/>
      <c r="G3" s="636"/>
      <c r="H3" s="636"/>
      <c r="I3" s="636"/>
      <c r="J3" s="636"/>
      <c r="K3" s="636"/>
      <c r="L3" s="636"/>
      <c r="M3" s="636"/>
      <c r="N3" s="636"/>
      <c r="O3" s="636"/>
      <c r="P3" s="636"/>
      <c r="Q3" s="636"/>
    </row>
    <row r="4" spans="1:17" ht="18" hidden="1" customHeight="1">
      <c r="A4" s="1858"/>
      <c r="B4" s="696"/>
    </row>
    <row r="5" spans="1:17" ht="18" hidden="1" customHeight="1">
      <c r="A5" s="1858"/>
      <c r="B5" s="696"/>
    </row>
    <row r="6" spans="1:17" ht="18" hidden="1" customHeight="1">
      <c r="A6" s="1858"/>
      <c r="B6" s="696"/>
    </row>
    <row r="7" spans="1:17" s="615" customFormat="1" ht="15">
      <c r="A7" s="697" t="s">
        <v>354</v>
      </c>
      <c r="B7" s="696"/>
      <c r="P7" s="698"/>
      <c r="Q7" s="699" t="s">
        <v>355</v>
      </c>
    </row>
    <row r="8" spans="1:17" s="707" customFormat="1" ht="23.25" customHeight="1">
      <c r="A8" s="700"/>
      <c r="B8" s="701"/>
      <c r="C8" s="702" t="s">
        <v>746</v>
      </c>
      <c r="D8" s="1107"/>
      <c r="E8" s="703"/>
      <c r="F8" s="704"/>
      <c r="G8" s="1107"/>
      <c r="H8" s="704"/>
      <c r="I8" s="705" t="s">
        <v>747</v>
      </c>
      <c r="J8" s="702" t="s">
        <v>748</v>
      </c>
      <c r="K8" s="1107"/>
      <c r="L8" s="703"/>
      <c r="M8" s="704"/>
      <c r="N8" s="1107"/>
      <c r="O8" s="704"/>
      <c r="P8" s="705" t="s">
        <v>749</v>
      </c>
      <c r="Q8" s="706"/>
    </row>
    <row r="9" spans="1:17" s="707" customFormat="1" ht="19.5" customHeight="1">
      <c r="A9" s="708"/>
      <c r="C9" s="709" t="s">
        <v>320</v>
      </c>
      <c r="D9" s="710"/>
      <c r="E9" s="711"/>
      <c r="F9" s="709" t="s">
        <v>322</v>
      </c>
      <c r="G9" s="710"/>
      <c r="H9" s="711"/>
      <c r="I9" s="1105"/>
      <c r="J9" s="712" t="s">
        <v>326</v>
      </c>
      <c r="K9" s="710"/>
      <c r="L9" s="711"/>
      <c r="M9" s="713" t="s">
        <v>324</v>
      </c>
      <c r="N9" s="710"/>
      <c r="O9" s="711"/>
      <c r="P9" s="1105"/>
      <c r="Q9" s="1106"/>
    </row>
    <row r="10" spans="1:17" s="707" customFormat="1" ht="19.5" customHeight="1">
      <c r="A10" s="714" t="s">
        <v>364</v>
      </c>
      <c r="B10" s="715"/>
      <c r="C10" s="716" t="s">
        <v>750</v>
      </c>
      <c r="D10" s="717"/>
      <c r="E10" s="718"/>
      <c r="F10" s="716" t="s">
        <v>751</v>
      </c>
      <c r="G10" s="719"/>
      <c r="H10" s="718"/>
      <c r="I10" s="720" t="s">
        <v>752</v>
      </c>
      <c r="J10" s="721" t="s">
        <v>753</v>
      </c>
      <c r="K10" s="722"/>
      <c r="L10" s="723"/>
      <c r="M10" s="721" t="s">
        <v>754</v>
      </c>
      <c r="N10" s="722"/>
      <c r="O10" s="723"/>
      <c r="P10" s="724" t="s">
        <v>752</v>
      </c>
      <c r="Q10" s="724" t="s">
        <v>367</v>
      </c>
    </row>
    <row r="11" spans="1:17" s="707" customFormat="1" ht="21.2" customHeight="1">
      <c r="A11" s="725" t="s">
        <v>372</v>
      </c>
      <c r="B11" s="726"/>
      <c r="C11" s="1106" t="s">
        <v>755</v>
      </c>
      <c r="D11" s="1106" t="s">
        <v>756</v>
      </c>
      <c r="E11" s="1106" t="s">
        <v>757</v>
      </c>
      <c r="F11" s="1106" t="s">
        <v>755</v>
      </c>
      <c r="G11" s="1106" t="s">
        <v>756</v>
      </c>
      <c r="H11" s="1106" t="s">
        <v>757</v>
      </c>
      <c r="I11" s="1106" t="s">
        <v>758</v>
      </c>
      <c r="J11" s="1106" t="s">
        <v>755</v>
      </c>
      <c r="K11" s="1106" t="s">
        <v>756</v>
      </c>
      <c r="L11" s="1106" t="s">
        <v>757</v>
      </c>
      <c r="M11" s="1106" t="s">
        <v>755</v>
      </c>
      <c r="N11" s="1106" t="s">
        <v>756</v>
      </c>
      <c r="O11" s="1106" t="s">
        <v>757</v>
      </c>
      <c r="P11" s="1106" t="s">
        <v>758</v>
      </c>
      <c r="Q11" s="1106" t="s">
        <v>759</v>
      </c>
    </row>
    <row r="12" spans="1:17" s="707" customFormat="1" ht="31.5">
      <c r="A12" s="708"/>
      <c r="B12" s="727"/>
      <c r="C12" s="1106" t="s">
        <v>760</v>
      </c>
      <c r="D12" s="1103" t="s">
        <v>761</v>
      </c>
      <c r="E12" s="1106" t="s">
        <v>762</v>
      </c>
      <c r="F12" s="1106" t="s">
        <v>760</v>
      </c>
      <c r="G12" s="1103" t="s">
        <v>761</v>
      </c>
      <c r="H12" s="1106" t="s">
        <v>762</v>
      </c>
      <c r="I12" s="728" t="s">
        <v>762</v>
      </c>
      <c r="J12" s="616" t="s">
        <v>760</v>
      </c>
      <c r="K12" s="1104" t="s">
        <v>761</v>
      </c>
      <c r="L12" s="616" t="s">
        <v>762</v>
      </c>
      <c r="M12" s="616" t="s">
        <v>760</v>
      </c>
      <c r="N12" s="1104" t="s">
        <v>761</v>
      </c>
      <c r="O12" s="616" t="s">
        <v>762</v>
      </c>
      <c r="P12" s="729" t="s">
        <v>762</v>
      </c>
      <c r="Q12" s="728"/>
    </row>
    <row r="13" spans="1:17" s="697" customFormat="1" ht="20.25" customHeight="1">
      <c r="A13" s="1859">
        <v>2010</v>
      </c>
      <c r="B13" s="1860"/>
      <c r="C13" s="730">
        <v>0</v>
      </c>
      <c r="D13" s="730">
        <v>920</v>
      </c>
      <c r="E13" s="730">
        <v>975</v>
      </c>
      <c r="F13" s="730">
        <v>1285</v>
      </c>
      <c r="G13" s="730">
        <v>1440</v>
      </c>
      <c r="H13" s="730">
        <v>570</v>
      </c>
      <c r="I13" s="731">
        <v>1545</v>
      </c>
      <c r="J13" s="730">
        <v>120</v>
      </c>
      <c r="K13" s="730">
        <v>120</v>
      </c>
      <c r="L13" s="730">
        <v>860</v>
      </c>
      <c r="M13" s="730">
        <v>126</v>
      </c>
      <c r="N13" s="730">
        <v>144</v>
      </c>
      <c r="O13" s="730">
        <v>36</v>
      </c>
      <c r="P13" s="730">
        <v>896</v>
      </c>
      <c r="Q13" s="732">
        <v>2441</v>
      </c>
    </row>
    <row r="14" spans="1:17" s="736" customFormat="1" ht="15.75">
      <c r="A14" s="1861">
        <v>2011</v>
      </c>
      <c r="B14" s="1862"/>
      <c r="C14" s="733">
        <v>55</v>
      </c>
      <c r="D14" s="733">
        <v>0</v>
      </c>
      <c r="E14" s="733">
        <v>920</v>
      </c>
      <c r="F14" s="735">
        <v>1580</v>
      </c>
      <c r="G14" s="735">
        <v>1890</v>
      </c>
      <c r="H14" s="733">
        <v>880</v>
      </c>
      <c r="I14" s="734">
        <v>1800</v>
      </c>
      <c r="J14" s="733">
        <v>216.5</v>
      </c>
      <c r="K14" s="733">
        <v>672</v>
      </c>
      <c r="L14" s="1070">
        <v>1315.5</v>
      </c>
      <c r="M14" s="733">
        <v>168</v>
      </c>
      <c r="N14" s="733">
        <v>186</v>
      </c>
      <c r="O14" s="733">
        <v>54</v>
      </c>
      <c r="P14" s="735">
        <v>1369.5</v>
      </c>
      <c r="Q14" s="735">
        <v>3169.5</v>
      </c>
    </row>
    <row r="15" spans="1:17" s="736" customFormat="1" ht="15.75">
      <c r="A15" s="1861">
        <v>2012</v>
      </c>
      <c r="B15" s="1862"/>
      <c r="C15" s="733">
        <v>0</v>
      </c>
      <c r="D15" s="733">
        <v>749</v>
      </c>
      <c r="E15" s="735">
        <v>1669</v>
      </c>
      <c r="F15" s="735">
        <v>2110</v>
      </c>
      <c r="G15" s="735">
        <v>2160</v>
      </c>
      <c r="H15" s="733">
        <v>930</v>
      </c>
      <c r="I15" s="734">
        <v>2599</v>
      </c>
      <c r="J15" s="733">
        <v>500</v>
      </c>
      <c r="K15" s="733">
        <v>400</v>
      </c>
      <c r="L15" s="1070">
        <v>1215.5</v>
      </c>
      <c r="M15" s="733">
        <v>216</v>
      </c>
      <c r="N15" s="733">
        <v>216</v>
      </c>
      <c r="O15" s="733">
        <v>54</v>
      </c>
      <c r="P15" s="735">
        <v>1269.5</v>
      </c>
      <c r="Q15" s="735">
        <v>3868.5</v>
      </c>
    </row>
    <row r="16" spans="1:17" s="736" customFormat="1" ht="15.75">
      <c r="A16" s="1861">
        <v>2013</v>
      </c>
      <c r="B16" s="1862"/>
      <c r="C16" s="733">
        <v>50</v>
      </c>
      <c r="D16" s="735">
        <v>1064</v>
      </c>
      <c r="E16" s="735">
        <v>2683</v>
      </c>
      <c r="F16" s="735">
        <v>2190</v>
      </c>
      <c r="G16" s="735">
        <v>2390</v>
      </c>
      <c r="H16" s="735">
        <v>1130</v>
      </c>
      <c r="I16" s="734">
        <v>3813</v>
      </c>
      <c r="J16" s="733">
        <v>371.6</v>
      </c>
      <c r="K16" s="733">
        <v>340</v>
      </c>
      <c r="L16" s="1070">
        <v>1183.9000000000001</v>
      </c>
      <c r="M16" s="733">
        <v>234</v>
      </c>
      <c r="N16" s="733">
        <v>288</v>
      </c>
      <c r="O16" s="733">
        <v>108</v>
      </c>
      <c r="P16" s="735">
        <v>1291.9000000000001</v>
      </c>
      <c r="Q16" s="735">
        <v>5104.8999999999996</v>
      </c>
    </row>
    <row r="17" spans="1:18" s="736" customFormat="1" ht="15.75">
      <c r="A17" s="1861">
        <v>2014</v>
      </c>
      <c r="B17" s="1862"/>
      <c r="C17" s="733">
        <v>0</v>
      </c>
      <c r="D17" s="735">
        <v>470</v>
      </c>
      <c r="E17" s="735">
        <v>3153</v>
      </c>
      <c r="F17" s="735">
        <v>2705</v>
      </c>
      <c r="G17" s="735">
        <v>2805</v>
      </c>
      <c r="H17" s="735">
        <v>1230</v>
      </c>
      <c r="I17" s="734">
        <v>4383</v>
      </c>
      <c r="J17" s="733">
        <v>562</v>
      </c>
      <c r="K17" s="733">
        <v>240</v>
      </c>
      <c r="L17" s="1070">
        <v>861.9</v>
      </c>
      <c r="M17" s="733">
        <v>432</v>
      </c>
      <c r="N17" s="733">
        <v>432</v>
      </c>
      <c r="O17" s="733">
        <v>108</v>
      </c>
      <c r="P17" s="735">
        <v>969.9</v>
      </c>
      <c r="Q17" s="735">
        <v>5352.9</v>
      </c>
    </row>
    <row r="18" spans="1:18" s="736" customFormat="1" ht="15.75">
      <c r="A18" s="1861">
        <v>2015</v>
      </c>
      <c r="B18" s="1862"/>
      <c r="C18" s="733">
        <v>200</v>
      </c>
      <c r="D18" s="735">
        <v>914</v>
      </c>
      <c r="E18" s="735">
        <v>3867</v>
      </c>
      <c r="F18" s="735">
        <v>3405</v>
      </c>
      <c r="G18" s="735">
        <v>3885</v>
      </c>
      <c r="H18" s="735">
        <v>1710</v>
      </c>
      <c r="I18" s="734">
        <v>5777</v>
      </c>
      <c r="J18" s="733">
        <v>358</v>
      </c>
      <c r="K18" s="733">
        <v>844</v>
      </c>
      <c r="L18" s="1070">
        <v>1347.9</v>
      </c>
      <c r="M18" s="733">
        <v>474</v>
      </c>
      <c r="N18" s="733">
        <v>495</v>
      </c>
      <c r="O18" s="733">
        <v>129</v>
      </c>
      <c r="P18" s="735">
        <v>1476.9</v>
      </c>
      <c r="Q18" s="735">
        <v>7053.9</v>
      </c>
    </row>
    <row r="19" spans="1:18" s="736" customFormat="1" ht="15.75">
      <c r="A19" s="1861">
        <v>2016</v>
      </c>
      <c r="B19" s="1862"/>
      <c r="C19" s="733">
        <v>150</v>
      </c>
      <c r="D19" s="735">
        <v>1386.6</v>
      </c>
      <c r="E19" s="735">
        <v>5103.6000000000004</v>
      </c>
      <c r="F19" s="735">
        <v>4020</v>
      </c>
      <c r="G19" s="735">
        <v>4095</v>
      </c>
      <c r="H19" s="735">
        <v>1785</v>
      </c>
      <c r="I19" s="734">
        <v>6888.6</v>
      </c>
      <c r="J19" s="733">
        <v>512</v>
      </c>
      <c r="K19" s="733">
        <v>851.9</v>
      </c>
      <c r="L19" s="1070">
        <v>1687.8</v>
      </c>
      <c r="M19" s="733">
        <v>516</v>
      </c>
      <c r="N19" s="733">
        <v>516</v>
      </c>
      <c r="O19" s="733">
        <v>129</v>
      </c>
      <c r="P19" s="735">
        <v>1816.8</v>
      </c>
      <c r="Q19" s="735">
        <v>8705.4</v>
      </c>
    </row>
    <row r="20" spans="1:18" s="736" customFormat="1" ht="15.75">
      <c r="A20" s="1861">
        <v>2017</v>
      </c>
      <c r="B20" s="1862"/>
      <c r="C20" s="733">
        <v>300</v>
      </c>
      <c r="D20" s="735">
        <v>1622</v>
      </c>
      <c r="E20" s="735">
        <v>6425.6</v>
      </c>
      <c r="F20" s="735">
        <v>4130</v>
      </c>
      <c r="G20" s="735">
        <v>4405</v>
      </c>
      <c r="H20" s="735">
        <v>2060</v>
      </c>
      <c r="I20" s="734">
        <v>8485.6</v>
      </c>
      <c r="J20" s="733">
        <v>472</v>
      </c>
      <c r="K20" s="733">
        <v>756.6</v>
      </c>
      <c r="L20" s="1070">
        <v>1972.4</v>
      </c>
      <c r="M20" s="733">
        <v>516</v>
      </c>
      <c r="N20" s="733">
        <v>516</v>
      </c>
      <c r="O20" s="733">
        <v>129</v>
      </c>
      <c r="P20" s="735">
        <v>2101.4</v>
      </c>
      <c r="Q20" s="735">
        <v>10587</v>
      </c>
    </row>
    <row r="21" spans="1:18" s="736" customFormat="1" ht="16.5" customHeight="1">
      <c r="A21" s="1863">
        <v>2018</v>
      </c>
      <c r="B21" s="1067"/>
      <c r="C21" s="1068">
        <v>100</v>
      </c>
      <c r="D21" s="1068">
        <v>638</v>
      </c>
      <c r="E21" s="735">
        <v>6963.6</v>
      </c>
      <c r="F21" s="1069">
        <v>4370</v>
      </c>
      <c r="G21" s="1070">
        <v>4420</v>
      </c>
      <c r="H21" s="1070">
        <v>2110</v>
      </c>
      <c r="I21" s="1070">
        <v>9073.6</v>
      </c>
      <c r="J21" s="1068">
        <v>694</v>
      </c>
      <c r="K21" s="1068">
        <v>976</v>
      </c>
      <c r="L21" s="1070">
        <v>2254.4</v>
      </c>
      <c r="M21" s="1070">
        <v>516</v>
      </c>
      <c r="N21" s="1068">
        <v>516</v>
      </c>
      <c r="O21" s="1068">
        <v>129</v>
      </c>
      <c r="P21" s="1070">
        <v>2383.4</v>
      </c>
      <c r="Q21" s="1070">
        <v>11457</v>
      </c>
    </row>
    <row r="22" spans="1:18" s="736" customFormat="1" ht="16.5" customHeight="1">
      <c r="A22" s="1864">
        <v>2019</v>
      </c>
      <c r="B22" s="1865"/>
      <c r="C22" s="1866">
        <v>485</v>
      </c>
      <c r="D22" s="1866">
        <v>861</v>
      </c>
      <c r="E22" s="895">
        <v>7339.6</v>
      </c>
      <c r="F22" s="1867">
        <v>4420</v>
      </c>
      <c r="G22" s="1868">
        <v>4420</v>
      </c>
      <c r="H22" s="1868">
        <v>2110</v>
      </c>
      <c r="I22" s="1868">
        <v>9449.6</v>
      </c>
      <c r="J22" s="1866">
        <v>475.6</v>
      </c>
      <c r="K22" s="1866">
        <v>688</v>
      </c>
      <c r="L22" s="1868">
        <v>2466.8000000000002</v>
      </c>
      <c r="M22" s="1868">
        <v>516</v>
      </c>
      <c r="N22" s="1866">
        <v>516</v>
      </c>
      <c r="O22" s="1866">
        <v>129</v>
      </c>
      <c r="P22" s="1868">
        <v>2595.8000000000002</v>
      </c>
      <c r="Q22" s="1868">
        <v>12045.4</v>
      </c>
    </row>
    <row r="23" spans="1:18" s="736" customFormat="1" ht="20.25" customHeight="1">
      <c r="A23" s="1863">
        <v>2018</v>
      </c>
      <c r="B23" s="1067" t="s">
        <v>223</v>
      </c>
      <c r="C23" s="1068">
        <v>0</v>
      </c>
      <c r="D23" s="1068">
        <v>488</v>
      </c>
      <c r="E23" s="735">
        <v>6913.6</v>
      </c>
      <c r="F23" s="1069">
        <v>1130</v>
      </c>
      <c r="G23" s="1070">
        <v>1105</v>
      </c>
      <c r="H23" s="1070">
        <v>2110</v>
      </c>
      <c r="I23" s="1070">
        <v>9023.6</v>
      </c>
      <c r="J23" s="1068">
        <v>78</v>
      </c>
      <c r="K23" s="1068">
        <v>454</v>
      </c>
      <c r="L23" s="1070">
        <v>2348.4</v>
      </c>
      <c r="M23" s="1070">
        <v>129</v>
      </c>
      <c r="N23" s="1068">
        <v>129</v>
      </c>
      <c r="O23" s="1068">
        <v>129</v>
      </c>
      <c r="P23" s="1070">
        <v>2477.4</v>
      </c>
      <c r="Q23" s="1070">
        <v>11501</v>
      </c>
    </row>
    <row r="24" spans="1:18" s="736" customFormat="1" ht="16.5" customHeight="1">
      <c r="A24" s="1863"/>
      <c r="B24" s="1067" t="s">
        <v>224</v>
      </c>
      <c r="C24" s="1068">
        <v>100</v>
      </c>
      <c r="D24" s="1068">
        <v>150</v>
      </c>
      <c r="E24" s="735">
        <v>6963.6</v>
      </c>
      <c r="F24" s="1069">
        <v>1140</v>
      </c>
      <c r="G24" s="1070">
        <v>1140</v>
      </c>
      <c r="H24" s="1070">
        <v>2110</v>
      </c>
      <c r="I24" s="1070">
        <v>9073.6</v>
      </c>
      <c r="J24" s="1068">
        <v>78</v>
      </c>
      <c r="K24" s="1068">
        <v>266</v>
      </c>
      <c r="L24" s="1070">
        <v>2536.4</v>
      </c>
      <c r="M24" s="1070">
        <v>129</v>
      </c>
      <c r="N24" s="1068">
        <v>129</v>
      </c>
      <c r="O24" s="1068">
        <v>129</v>
      </c>
      <c r="P24" s="1070">
        <v>2665.4</v>
      </c>
      <c r="Q24" s="1070">
        <v>11739</v>
      </c>
    </row>
    <row r="25" spans="1:18" s="736" customFormat="1" ht="16.5" customHeight="1">
      <c r="A25" s="1863"/>
      <c r="B25" s="1067" t="s">
        <v>225</v>
      </c>
      <c r="C25" s="1068">
        <v>0</v>
      </c>
      <c r="D25" s="1068">
        <v>0</v>
      </c>
      <c r="E25" s="735">
        <v>6963.6</v>
      </c>
      <c r="F25" s="1069">
        <v>1105</v>
      </c>
      <c r="G25" s="1070">
        <v>1105</v>
      </c>
      <c r="H25" s="1070">
        <v>2110</v>
      </c>
      <c r="I25" s="1070">
        <v>9073.6</v>
      </c>
      <c r="J25" s="1068">
        <v>360</v>
      </c>
      <c r="K25" s="1068">
        <v>78</v>
      </c>
      <c r="L25" s="1070">
        <v>2254.4</v>
      </c>
      <c r="M25" s="1070">
        <v>129</v>
      </c>
      <c r="N25" s="1068">
        <v>129</v>
      </c>
      <c r="O25" s="1068">
        <v>129</v>
      </c>
      <c r="P25" s="1070">
        <v>2383.4</v>
      </c>
      <c r="Q25" s="1070">
        <v>11457</v>
      </c>
    </row>
    <row r="26" spans="1:18" s="736" customFormat="1" ht="20.25" customHeight="1">
      <c r="A26" s="1863">
        <v>2019</v>
      </c>
      <c r="B26" s="1067" t="s">
        <v>222</v>
      </c>
      <c r="C26" s="1068">
        <v>0</v>
      </c>
      <c r="D26" s="1068">
        <v>0</v>
      </c>
      <c r="E26" s="735">
        <v>6963.6</v>
      </c>
      <c r="F26" s="1069">
        <v>1105</v>
      </c>
      <c r="G26" s="1070">
        <v>1105</v>
      </c>
      <c r="H26" s="1070">
        <v>2110</v>
      </c>
      <c r="I26" s="1070">
        <v>9073.6</v>
      </c>
      <c r="J26" s="1068">
        <v>78</v>
      </c>
      <c r="K26" s="1068">
        <v>78</v>
      </c>
      <c r="L26" s="1070">
        <v>2254.4</v>
      </c>
      <c r="M26" s="1070">
        <v>129</v>
      </c>
      <c r="N26" s="1068">
        <v>129</v>
      </c>
      <c r="O26" s="1068">
        <v>129</v>
      </c>
      <c r="P26" s="1070">
        <v>2383.4</v>
      </c>
      <c r="Q26" s="1070">
        <v>11457</v>
      </c>
    </row>
    <row r="27" spans="1:18" s="736" customFormat="1" ht="17.25" customHeight="1">
      <c r="A27" s="1863"/>
      <c r="B27" s="1067" t="s">
        <v>223</v>
      </c>
      <c r="C27" s="1068">
        <v>0</v>
      </c>
      <c r="D27" s="1068">
        <v>0</v>
      </c>
      <c r="E27" s="735">
        <v>6963.6</v>
      </c>
      <c r="F27" s="1069">
        <v>1105</v>
      </c>
      <c r="G27" s="1070">
        <v>1105</v>
      </c>
      <c r="H27" s="1070">
        <v>2110</v>
      </c>
      <c r="I27" s="1070">
        <v>9073.6</v>
      </c>
      <c r="J27" s="1068">
        <v>241.6</v>
      </c>
      <c r="K27" s="1068">
        <v>78</v>
      </c>
      <c r="L27" s="1070">
        <v>2090.8000000000002</v>
      </c>
      <c r="M27" s="1070">
        <v>129</v>
      </c>
      <c r="N27" s="1068">
        <v>129</v>
      </c>
      <c r="O27" s="1068">
        <v>129</v>
      </c>
      <c r="P27" s="1070">
        <v>2219.8000000000002</v>
      </c>
      <c r="Q27" s="1070">
        <v>11293.4</v>
      </c>
    </row>
    <row r="28" spans="1:18" s="736" customFormat="1" ht="17.25" customHeight="1">
      <c r="A28" s="1863"/>
      <c r="B28" s="1067" t="s">
        <v>224</v>
      </c>
      <c r="C28" s="1068">
        <f>SUM(C34:C36)</f>
        <v>300</v>
      </c>
      <c r="D28" s="1068">
        <f>SUM(D34:D36)</f>
        <v>676</v>
      </c>
      <c r="E28" s="735">
        <f>E27-C28+D28</f>
        <v>7339.6</v>
      </c>
      <c r="F28" s="1069">
        <f>SUM(F34:F36)</f>
        <v>1105</v>
      </c>
      <c r="G28" s="1070">
        <f>SUM(G34:G36)</f>
        <v>1105</v>
      </c>
      <c r="H28" s="1070">
        <f>H27-F28+G28</f>
        <v>2110</v>
      </c>
      <c r="I28" s="1070">
        <f>E28+H28</f>
        <v>9449.6</v>
      </c>
      <c r="J28" s="1068">
        <f>SUM(J34:J36)</f>
        <v>78</v>
      </c>
      <c r="K28" s="1068">
        <f>SUM(K34:K36)</f>
        <v>454</v>
      </c>
      <c r="L28" s="1070">
        <f>L27-J28+K28</f>
        <v>2466.8000000000002</v>
      </c>
      <c r="M28" s="1070">
        <f>SUM(M34:M36)</f>
        <v>129</v>
      </c>
      <c r="N28" s="1068">
        <f>SUM(N34:N36)</f>
        <v>129</v>
      </c>
      <c r="O28" s="1068">
        <f>O27-M28+N28</f>
        <v>129</v>
      </c>
      <c r="P28" s="1070">
        <f>L28+O28</f>
        <v>2595.8000000000002</v>
      </c>
      <c r="Q28" s="1070">
        <f>I28+P28</f>
        <v>12045.400000000001</v>
      </c>
    </row>
    <row r="29" spans="1:18" s="736" customFormat="1" ht="17.25" customHeight="1">
      <c r="A29" s="1863"/>
      <c r="B29" s="1067" t="s">
        <v>225</v>
      </c>
      <c r="C29" s="1068">
        <f>SUM(C37:C39)</f>
        <v>185</v>
      </c>
      <c r="D29" s="1068">
        <f>SUM(D37:D39)</f>
        <v>185</v>
      </c>
      <c r="E29" s="735">
        <f>E28-C29+D29</f>
        <v>7339.6</v>
      </c>
      <c r="F29" s="1069">
        <f t="shared" ref="F29:G29" si="0">SUM(F37:F39)</f>
        <v>1105</v>
      </c>
      <c r="G29" s="1070">
        <f t="shared" si="0"/>
        <v>1105</v>
      </c>
      <c r="H29" s="1070">
        <f>H28-F29+G29</f>
        <v>2110</v>
      </c>
      <c r="I29" s="1070">
        <f>E29+H29</f>
        <v>9449.6</v>
      </c>
      <c r="J29" s="1068">
        <f t="shared" ref="J29:K29" si="1">SUM(J37:J39)</f>
        <v>78</v>
      </c>
      <c r="K29" s="1068">
        <f t="shared" si="1"/>
        <v>78</v>
      </c>
      <c r="L29" s="1070">
        <f>L28-J29+K29</f>
        <v>2466.8000000000002</v>
      </c>
      <c r="M29" s="1070">
        <f t="shared" ref="M29:N29" si="2">SUM(M37:M39)</f>
        <v>129</v>
      </c>
      <c r="N29" s="1068">
        <f t="shared" si="2"/>
        <v>129</v>
      </c>
      <c r="O29" s="1068">
        <f>O28-M29+N29</f>
        <v>129</v>
      </c>
      <c r="P29" s="1070">
        <f>L29+O29</f>
        <v>2595.8000000000002</v>
      </c>
      <c r="Q29" s="1070">
        <f>I29+P29</f>
        <v>12045.400000000001</v>
      </c>
    </row>
    <row r="30" spans="1:18" s="736" customFormat="1" ht="21" customHeight="1">
      <c r="A30" s="1864">
        <v>2020</v>
      </c>
      <c r="B30" s="1865" t="s">
        <v>222</v>
      </c>
      <c r="C30" s="1866">
        <f>SUM(C40:C42)</f>
        <v>470</v>
      </c>
      <c r="D30" s="1866">
        <f>SUM(D40:D42)</f>
        <v>0</v>
      </c>
      <c r="E30" s="895">
        <f>E29-C30+D30</f>
        <v>6869.6</v>
      </c>
      <c r="F30" s="1867">
        <f>SUM(F40:F42)</f>
        <v>1105</v>
      </c>
      <c r="G30" s="1868">
        <f>SUM(G40:G42)</f>
        <v>1105</v>
      </c>
      <c r="H30" s="1868">
        <f>H29-F30+G30</f>
        <v>2110</v>
      </c>
      <c r="I30" s="1868">
        <f>E30+H30</f>
        <v>8979.6</v>
      </c>
      <c r="J30" s="1866">
        <f>SUM(J40:J42)</f>
        <v>78</v>
      </c>
      <c r="K30" s="1866">
        <f>SUM(K40:K42)</f>
        <v>78</v>
      </c>
      <c r="L30" s="1868">
        <f>L29-J30+K30</f>
        <v>2466.8000000000002</v>
      </c>
      <c r="M30" s="1868">
        <f>SUM(M40:M42)</f>
        <v>129</v>
      </c>
      <c r="N30" s="1866">
        <f>SUM(N40:N42)</f>
        <v>129</v>
      </c>
      <c r="O30" s="1866">
        <f>O29-M30+N30</f>
        <v>129</v>
      </c>
      <c r="P30" s="1868">
        <f>L30+O30</f>
        <v>2595.8000000000002</v>
      </c>
      <c r="Q30" s="1868">
        <f>I30+P30</f>
        <v>11575.400000000001</v>
      </c>
    </row>
    <row r="31" spans="1:18" s="736" customFormat="1" ht="20.25" customHeight="1">
      <c r="A31" s="1863">
        <v>2019</v>
      </c>
      <c r="B31" s="1067" t="s">
        <v>399</v>
      </c>
      <c r="C31" s="1068">
        <v>0</v>
      </c>
      <c r="D31" s="1068">
        <v>0</v>
      </c>
      <c r="E31" s="735">
        <v>6963.6</v>
      </c>
      <c r="F31" s="1069">
        <v>310</v>
      </c>
      <c r="G31" s="1068">
        <v>310</v>
      </c>
      <c r="H31" s="1070">
        <v>2110</v>
      </c>
      <c r="I31" s="1070">
        <v>9073.6</v>
      </c>
      <c r="J31" s="1068">
        <v>26</v>
      </c>
      <c r="K31" s="1068">
        <v>26</v>
      </c>
      <c r="L31" s="1070">
        <v>2254.4</v>
      </c>
      <c r="M31" s="1070">
        <v>43</v>
      </c>
      <c r="N31" s="1068">
        <v>43</v>
      </c>
      <c r="O31" s="1068">
        <v>129</v>
      </c>
      <c r="P31" s="1070">
        <v>2383.4</v>
      </c>
      <c r="Q31" s="1070">
        <v>11457</v>
      </c>
    </row>
    <row r="32" spans="1:18" s="736" customFormat="1" ht="16.5" customHeight="1">
      <c r="A32" s="1863"/>
      <c r="B32" s="1067" t="s">
        <v>400</v>
      </c>
      <c r="C32" s="1068">
        <v>0</v>
      </c>
      <c r="D32" s="1068">
        <v>0</v>
      </c>
      <c r="E32" s="735">
        <v>6963.6</v>
      </c>
      <c r="F32" s="1069">
        <v>415</v>
      </c>
      <c r="G32" s="1068">
        <v>415</v>
      </c>
      <c r="H32" s="1070">
        <v>2110</v>
      </c>
      <c r="I32" s="1070">
        <v>9073.6</v>
      </c>
      <c r="J32" s="1068">
        <v>189.56</v>
      </c>
      <c r="K32" s="1068">
        <v>26</v>
      </c>
      <c r="L32" s="1070">
        <v>2090.84</v>
      </c>
      <c r="M32" s="1070">
        <v>43</v>
      </c>
      <c r="N32" s="1068">
        <v>43</v>
      </c>
      <c r="O32" s="1068">
        <v>129</v>
      </c>
      <c r="P32" s="1070">
        <v>2219.8000000000002</v>
      </c>
      <c r="Q32" s="1070">
        <v>11293.4</v>
      </c>
      <c r="R32" s="736">
        <f>G32-SUM('10'!C12:C17)</f>
        <v>0</v>
      </c>
    </row>
    <row r="33" spans="1:18" s="736" customFormat="1" ht="16.5" customHeight="1">
      <c r="A33" s="1863"/>
      <c r="B33" s="1067" t="s">
        <v>401</v>
      </c>
      <c r="C33" s="1068">
        <v>0</v>
      </c>
      <c r="D33" s="1068">
        <v>0</v>
      </c>
      <c r="E33" s="735">
        <v>6963.6</v>
      </c>
      <c r="F33" s="1069">
        <v>380</v>
      </c>
      <c r="G33" s="1068">
        <v>380</v>
      </c>
      <c r="H33" s="1070">
        <v>2110</v>
      </c>
      <c r="I33" s="1070">
        <v>9073.6</v>
      </c>
      <c r="J33" s="1068">
        <v>26</v>
      </c>
      <c r="K33" s="1068">
        <v>26</v>
      </c>
      <c r="L33" s="1070">
        <v>2090.8000000000002</v>
      </c>
      <c r="M33" s="1070">
        <v>43</v>
      </c>
      <c r="N33" s="1068">
        <v>43</v>
      </c>
      <c r="O33" s="1068">
        <v>129</v>
      </c>
      <c r="P33" s="1070">
        <v>2219.8000000000002</v>
      </c>
      <c r="Q33" s="1070">
        <v>11293.4</v>
      </c>
      <c r="R33" s="736">
        <f>G33-SUM('10'!C18:C23)</f>
        <v>0</v>
      </c>
    </row>
    <row r="34" spans="1:18" s="736" customFormat="1" ht="16.5" customHeight="1">
      <c r="A34" s="1863"/>
      <c r="B34" s="1067" t="s">
        <v>402</v>
      </c>
      <c r="C34" s="1068">
        <v>300</v>
      </c>
      <c r="D34" s="1068">
        <v>300</v>
      </c>
      <c r="E34" s="735">
        <v>6963.6</v>
      </c>
      <c r="F34" s="1069">
        <v>380</v>
      </c>
      <c r="G34" s="1068">
        <v>380</v>
      </c>
      <c r="H34" s="1070">
        <v>2110</v>
      </c>
      <c r="I34" s="1070">
        <v>9073.6</v>
      </c>
      <c r="J34" s="1068">
        <v>26</v>
      </c>
      <c r="K34" s="1068">
        <v>26</v>
      </c>
      <c r="L34" s="1070">
        <v>2090.8000000000002</v>
      </c>
      <c r="M34" s="1070">
        <v>43</v>
      </c>
      <c r="N34" s="1068">
        <v>43</v>
      </c>
      <c r="O34" s="1068">
        <v>129</v>
      </c>
      <c r="P34" s="1070">
        <v>2219.8000000000002</v>
      </c>
      <c r="Q34" s="1070">
        <v>11293.4</v>
      </c>
      <c r="R34" s="736">
        <f>G34-SUM('10'!C24:C28)</f>
        <v>0</v>
      </c>
    </row>
    <row r="35" spans="1:18" s="736" customFormat="1" ht="16.5" customHeight="1">
      <c r="A35" s="1863"/>
      <c r="B35" s="1067" t="s">
        <v>403</v>
      </c>
      <c r="C35" s="1068">
        <v>0</v>
      </c>
      <c r="D35" s="1068">
        <v>0</v>
      </c>
      <c r="E35" s="735">
        <v>6963.6</v>
      </c>
      <c r="F35" s="1069">
        <v>345</v>
      </c>
      <c r="G35" s="1068">
        <v>345</v>
      </c>
      <c r="H35" s="1070">
        <v>2110</v>
      </c>
      <c r="I35" s="1070">
        <v>9073.6</v>
      </c>
      <c r="J35" s="1068">
        <v>26</v>
      </c>
      <c r="K35" s="1068">
        <v>26</v>
      </c>
      <c r="L35" s="1070">
        <v>2090.8000000000002</v>
      </c>
      <c r="M35" s="1070">
        <v>43</v>
      </c>
      <c r="N35" s="1068">
        <v>43</v>
      </c>
      <c r="O35" s="1068">
        <v>129</v>
      </c>
      <c r="P35" s="1070">
        <v>2219.8000000000002</v>
      </c>
      <c r="Q35" s="1070">
        <v>11293.400000000001</v>
      </c>
      <c r="R35" s="736">
        <f>G35-SUM('10'!C29:C33)</f>
        <v>0</v>
      </c>
    </row>
    <row r="36" spans="1:18" s="736" customFormat="1" ht="16.5" customHeight="1">
      <c r="A36" s="1863"/>
      <c r="B36" s="1067" t="s">
        <v>404</v>
      </c>
      <c r="C36" s="1068">
        <v>0</v>
      </c>
      <c r="D36" s="1068">
        <v>376</v>
      </c>
      <c r="E36" s="735">
        <v>7339.6</v>
      </c>
      <c r="F36" s="1069">
        <v>380</v>
      </c>
      <c r="G36" s="1068">
        <v>380</v>
      </c>
      <c r="H36" s="1070">
        <v>2110</v>
      </c>
      <c r="I36" s="1070">
        <v>9449.6</v>
      </c>
      <c r="J36" s="1068">
        <v>26</v>
      </c>
      <c r="K36" s="1068">
        <v>402</v>
      </c>
      <c r="L36" s="1070">
        <v>2466.8000000000002</v>
      </c>
      <c r="M36" s="1070">
        <v>43</v>
      </c>
      <c r="N36" s="1068">
        <v>43</v>
      </c>
      <c r="O36" s="1068">
        <v>129</v>
      </c>
      <c r="P36" s="1070">
        <v>2595.8000000000002</v>
      </c>
      <c r="Q36" s="1070">
        <v>12045.4</v>
      </c>
      <c r="R36" s="736">
        <f>G36-SUM('10'!C34:C39)</f>
        <v>0</v>
      </c>
    </row>
    <row r="37" spans="1:18" s="736" customFormat="1" ht="16.5" customHeight="1">
      <c r="A37" s="1863"/>
      <c r="B37" s="1067" t="s">
        <v>405</v>
      </c>
      <c r="C37" s="1068">
        <v>0</v>
      </c>
      <c r="D37" s="1068">
        <v>0</v>
      </c>
      <c r="E37" s="735">
        <v>7339.6</v>
      </c>
      <c r="F37" s="1069">
        <v>380</v>
      </c>
      <c r="G37" s="1068">
        <v>380</v>
      </c>
      <c r="H37" s="1070">
        <v>2110</v>
      </c>
      <c r="I37" s="1070">
        <v>9449.6</v>
      </c>
      <c r="J37" s="1068">
        <v>26</v>
      </c>
      <c r="K37" s="1068">
        <v>26</v>
      </c>
      <c r="L37" s="1070">
        <v>2466.8000000000002</v>
      </c>
      <c r="M37" s="1070">
        <v>43</v>
      </c>
      <c r="N37" s="1068">
        <v>43</v>
      </c>
      <c r="O37" s="1068">
        <v>129</v>
      </c>
      <c r="P37" s="1070">
        <v>2595.8000000000002</v>
      </c>
      <c r="Q37" s="1070">
        <v>12045.4</v>
      </c>
      <c r="R37" s="736">
        <f>G37-SUM('10'!C40:C44)</f>
        <v>0</v>
      </c>
    </row>
    <row r="38" spans="1:18" s="736" customFormat="1" ht="16.5" customHeight="1">
      <c r="A38" s="1863"/>
      <c r="B38" s="1067" t="s">
        <v>406</v>
      </c>
      <c r="C38" s="1068">
        <v>185</v>
      </c>
      <c r="D38" s="1068">
        <v>185</v>
      </c>
      <c r="E38" s="735">
        <v>7339.6</v>
      </c>
      <c r="F38" s="1069">
        <v>345</v>
      </c>
      <c r="G38" s="1068">
        <v>345</v>
      </c>
      <c r="H38" s="1070">
        <v>2110</v>
      </c>
      <c r="I38" s="1070">
        <v>9449.6</v>
      </c>
      <c r="J38" s="1068">
        <v>26</v>
      </c>
      <c r="K38" s="1068">
        <v>26</v>
      </c>
      <c r="L38" s="1070">
        <v>2466.84</v>
      </c>
      <c r="M38" s="1070">
        <v>43</v>
      </c>
      <c r="N38" s="1068">
        <v>43</v>
      </c>
      <c r="O38" s="1068">
        <v>129</v>
      </c>
      <c r="P38" s="1070">
        <v>2595.84</v>
      </c>
      <c r="Q38" s="1070">
        <v>12045.44</v>
      </c>
      <c r="R38" s="736">
        <f>G38-SUM('10'!C45:C49)</f>
        <v>0</v>
      </c>
    </row>
    <row r="39" spans="1:18" s="736" customFormat="1" ht="16.5" customHeight="1">
      <c r="A39" s="1863"/>
      <c r="B39" s="1067" t="s">
        <v>407</v>
      </c>
      <c r="C39" s="1068">
        <v>0</v>
      </c>
      <c r="D39" s="1068">
        <v>0</v>
      </c>
      <c r="E39" s="735">
        <v>7339.6</v>
      </c>
      <c r="F39" s="1069">
        <v>380</v>
      </c>
      <c r="G39" s="1068">
        <v>380</v>
      </c>
      <c r="H39" s="1070">
        <v>2110</v>
      </c>
      <c r="I39" s="1070">
        <v>9449.6</v>
      </c>
      <c r="J39" s="1068">
        <v>26</v>
      </c>
      <c r="K39" s="1068">
        <v>26</v>
      </c>
      <c r="L39" s="1070">
        <v>2466.84</v>
      </c>
      <c r="M39" s="1070">
        <v>43</v>
      </c>
      <c r="N39" s="1068">
        <v>43</v>
      </c>
      <c r="O39" s="1068">
        <v>129</v>
      </c>
      <c r="P39" s="1070">
        <v>2595.84</v>
      </c>
      <c r="Q39" s="1070">
        <v>12045.44</v>
      </c>
      <c r="R39" s="736">
        <f>G39-SUM('10'!C50:C55)</f>
        <v>0</v>
      </c>
    </row>
    <row r="40" spans="1:18" s="736" customFormat="1" ht="20.25" customHeight="1">
      <c r="A40" s="1863">
        <v>2020</v>
      </c>
      <c r="B40" s="1067" t="s">
        <v>408</v>
      </c>
      <c r="C40" s="1068">
        <v>0</v>
      </c>
      <c r="D40" s="1068">
        <v>0</v>
      </c>
      <c r="E40" s="735">
        <v>7339.6</v>
      </c>
      <c r="F40" s="1069">
        <v>380</v>
      </c>
      <c r="G40" s="1068">
        <v>380</v>
      </c>
      <c r="H40" s="1070">
        <v>2110</v>
      </c>
      <c r="I40" s="1070">
        <v>9449.6</v>
      </c>
      <c r="J40" s="1068">
        <v>26</v>
      </c>
      <c r="K40" s="1068">
        <v>26</v>
      </c>
      <c r="L40" s="1070">
        <v>2466.8000000000002</v>
      </c>
      <c r="M40" s="1070">
        <v>43</v>
      </c>
      <c r="N40" s="1068">
        <v>43</v>
      </c>
      <c r="O40" s="1068">
        <v>129</v>
      </c>
      <c r="P40" s="1070">
        <v>2595.8000000000002</v>
      </c>
      <c r="Q40" s="1070">
        <v>12045.4</v>
      </c>
      <c r="R40" s="736">
        <f>G40-SUM('10'!C56:C60)</f>
        <v>0</v>
      </c>
    </row>
    <row r="41" spans="1:18" s="736" customFormat="1" ht="16.5" customHeight="1">
      <c r="A41" s="1869"/>
      <c r="B41" s="1870" t="s">
        <v>409</v>
      </c>
      <c r="C41" s="1068">
        <v>0</v>
      </c>
      <c r="D41" s="1068">
        <v>0</v>
      </c>
      <c r="E41" s="735">
        <v>7339.6</v>
      </c>
      <c r="F41" s="1069">
        <v>345</v>
      </c>
      <c r="G41" s="1068">
        <v>345</v>
      </c>
      <c r="H41" s="1070">
        <v>2110</v>
      </c>
      <c r="I41" s="1070">
        <v>9449.6</v>
      </c>
      <c r="J41" s="1068">
        <v>26</v>
      </c>
      <c r="K41" s="1068">
        <v>26</v>
      </c>
      <c r="L41" s="1070">
        <v>2466.8000000000002</v>
      </c>
      <c r="M41" s="1070">
        <v>43</v>
      </c>
      <c r="N41" s="1068">
        <v>43</v>
      </c>
      <c r="O41" s="1068">
        <v>129</v>
      </c>
      <c r="P41" s="1070">
        <v>2595.8000000000002</v>
      </c>
      <c r="Q41" s="1070">
        <v>12045.4</v>
      </c>
      <c r="R41" s="1871">
        <f>G41-SUM('10'!C61:C65)</f>
        <v>0</v>
      </c>
    </row>
    <row r="42" spans="1:18" s="736" customFormat="1" ht="16.5" customHeight="1">
      <c r="A42" s="1869"/>
      <c r="B42" s="1870" t="s">
        <v>398</v>
      </c>
      <c r="C42" s="1068">
        <v>470</v>
      </c>
      <c r="D42" s="1068">
        <v>0</v>
      </c>
      <c r="E42" s="735">
        <v>6869.6</v>
      </c>
      <c r="F42" s="1069">
        <v>380</v>
      </c>
      <c r="G42" s="1068">
        <v>380</v>
      </c>
      <c r="H42" s="1070">
        <v>2110</v>
      </c>
      <c r="I42" s="1070">
        <v>8979.6</v>
      </c>
      <c r="J42" s="1068">
        <v>26</v>
      </c>
      <c r="K42" s="1068">
        <v>26</v>
      </c>
      <c r="L42" s="1070">
        <v>2466.8000000000002</v>
      </c>
      <c r="M42" s="1070">
        <v>43</v>
      </c>
      <c r="N42" s="1068">
        <v>43</v>
      </c>
      <c r="O42" s="1068">
        <v>129</v>
      </c>
      <c r="P42" s="1070">
        <v>2595.8000000000002</v>
      </c>
      <c r="Q42" s="1070">
        <v>11575.400000000001</v>
      </c>
      <c r="R42" s="1871">
        <f>G42-SUM('10'!C66:C71)</f>
        <v>0</v>
      </c>
    </row>
    <row r="43" spans="1:18" s="736" customFormat="1" ht="16.5" customHeight="1">
      <c r="A43" s="1869"/>
      <c r="B43" s="1870" t="s">
        <v>399</v>
      </c>
      <c r="C43" s="1068">
        <v>0</v>
      </c>
      <c r="D43" s="1068">
        <v>0</v>
      </c>
      <c r="E43" s="735">
        <v>6869.6</v>
      </c>
      <c r="F43" s="1069">
        <v>380</v>
      </c>
      <c r="G43" s="1068">
        <v>380</v>
      </c>
      <c r="H43" s="1070">
        <v>2110</v>
      </c>
      <c r="I43" s="1070">
        <v>8979.6</v>
      </c>
      <c r="J43" s="1068">
        <v>26</v>
      </c>
      <c r="K43" s="1068">
        <v>26</v>
      </c>
      <c r="L43" s="1070">
        <v>2466.8000000000002</v>
      </c>
      <c r="M43" s="1070">
        <v>43</v>
      </c>
      <c r="N43" s="1068">
        <v>43</v>
      </c>
      <c r="O43" s="1068">
        <v>129</v>
      </c>
      <c r="P43" s="1070">
        <v>2595.8000000000002</v>
      </c>
      <c r="Q43" s="1070">
        <v>11575.400000000001</v>
      </c>
      <c r="R43" s="1871">
        <f>G43-SUM('10'!C72:C76)</f>
        <v>0</v>
      </c>
    </row>
    <row r="44" spans="1:18" ht="21.2" customHeight="1">
      <c r="A44" s="1872" t="s">
        <v>763</v>
      </c>
      <c r="B44" s="1873"/>
      <c r="C44" s="632"/>
      <c r="D44" s="632"/>
      <c r="E44" s="632"/>
      <c r="F44" s="632"/>
      <c r="G44" s="632"/>
      <c r="H44" s="632"/>
      <c r="I44" s="632"/>
      <c r="J44" s="632"/>
      <c r="K44" s="632"/>
      <c r="L44" s="632"/>
      <c r="M44" s="632"/>
      <c r="N44" s="632"/>
      <c r="O44" s="632"/>
      <c r="P44" s="632"/>
      <c r="Q44" s="1874" t="s">
        <v>764</v>
      </c>
    </row>
    <row r="45" spans="1:18" ht="14.25" customHeight="1">
      <c r="A45" s="1875" t="s">
        <v>765</v>
      </c>
      <c r="B45" s="615"/>
      <c r="Q45" s="1714" t="s">
        <v>766</v>
      </c>
    </row>
    <row r="46" spans="1:18" ht="14.25" customHeight="1">
      <c r="A46" s="1875" t="s">
        <v>767</v>
      </c>
      <c r="Q46" s="1715" t="s">
        <v>768</v>
      </c>
    </row>
    <row r="47" spans="1:18" ht="14.25">
      <c r="A47" s="1875" t="s">
        <v>769</v>
      </c>
      <c r="Q47" s="1714" t="s">
        <v>770</v>
      </c>
    </row>
    <row r="48" spans="1:18" ht="14.25">
      <c r="A48" s="1875" t="s">
        <v>771</v>
      </c>
      <c r="Q48" s="622" t="s">
        <v>772</v>
      </c>
    </row>
    <row r="50" spans="1:17" ht="14.25">
      <c r="A50" s="737" t="s">
        <v>773</v>
      </c>
      <c r="B50" s="636"/>
      <c r="C50" s="636"/>
      <c r="D50" s="738"/>
      <c r="E50" s="636"/>
      <c r="F50" s="636"/>
      <c r="G50" s="636"/>
      <c r="H50" s="636"/>
      <c r="I50" s="636"/>
      <c r="J50" s="636"/>
      <c r="K50" s="636"/>
      <c r="L50" s="636"/>
      <c r="M50" s="636"/>
      <c r="N50" s="636"/>
      <c r="O50" s="636"/>
      <c r="P50" s="636"/>
      <c r="Q50" s="636"/>
    </row>
  </sheetData>
  <printOptions horizontalCentered="1" verticalCentered="1"/>
  <pageMargins left="0" right="0" top="0" bottom="0" header="0.3" footer="0.3"/>
  <pageSetup paperSize="9" scale="6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W49"/>
  <sheetViews>
    <sheetView zoomScale="85" zoomScaleNormal="85" workbookViewId="0">
      <pane ySplit="12" topLeftCell="A36" activePane="bottomLeft" state="frozen"/>
      <selection activeCell="A49" sqref="A1:XFD1048576"/>
      <selection pane="bottomLeft" activeCell="A49" sqref="A1:XFD1048576"/>
    </sheetView>
  </sheetViews>
  <sheetFormatPr defaultColWidth="7.85546875" defaultRowHeight="15"/>
  <cols>
    <col min="1" max="2" width="9.28515625" style="9" customWidth="1"/>
    <col min="3" max="3" width="11.7109375" style="9" customWidth="1"/>
    <col min="4" max="4" width="13" style="9" customWidth="1"/>
    <col min="5" max="5" width="16" style="9" customWidth="1"/>
    <col min="6" max="6" width="10.85546875" style="9" customWidth="1"/>
    <col min="7" max="7" width="11.7109375" style="9" customWidth="1"/>
    <col min="8" max="8" width="13" style="9" customWidth="1"/>
    <col min="9" max="9" width="12.140625" style="9" customWidth="1"/>
    <col min="10" max="10" width="11.7109375" style="9" customWidth="1"/>
    <col min="11" max="11" width="12.85546875" style="9" customWidth="1"/>
    <col min="12" max="12" width="16" style="9" customWidth="1"/>
    <col min="13" max="13" width="11.28515625" style="9" customWidth="1"/>
    <col min="14" max="14" width="11.7109375" style="9" customWidth="1"/>
    <col min="15" max="15" width="11.85546875" style="9" customWidth="1"/>
    <col min="16" max="19" width="7.85546875" style="31" customWidth="1"/>
    <col min="20" max="16384" width="7.85546875" style="9"/>
  </cols>
  <sheetData>
    <row r="1" spans="1:19" ht="18" customHeight="1">
      <c r="A1" s="18" t="s">
        <v>1625</v>
      </c>
      <c r="B1" s="1337"/>
      <c r="C1" s="1337"/>
      <c r="D1" s="1337"/>
      <c r="E1" s="1337"/>
      <c r="F1" s="1337"/>
      <c r="G1" s="1337"/>
      <c r="H1" s="1337"/>
      <c r="I1" s="1337"/>
      <c r="J1" s="1337"/>
      <c r="K1" s="1337"/>
      <c r="L1" s="1337"/>
      <c r="M1" s="1337"/>
      <c r="N1" s="1337"/>
      <c r="O1" s="1337"/>
    </row>
    <row r="2" spans="1:19" ht="18" customHeight="1">
      <c r="A2" s="1732" t="s">
        <v>774</v>
      </c>
      <c r="B2" s="1337"/>
      <c r="C2" s="1337"/>
      <c r="D2" s="1337"/>
      <c r="E2" s="1337"/>
      <c r="F2" s="1337"/>
      <c r="G2" s="1337"/>
      <c r="H2" s="1337"/>
      <c r="I2" s="1337"/>
      <c r="J2" s="1337"/>
      <c r="K2" s="1337"/>
      <c r="L2" s="1337"/>
      <c r="M2" s="1337"/>
      <c r="N2" s="1337"/>
      <c r="O2" s="1337"/>
    </row>
    <row r="3" spans="1:19" ht="18" customHeight="1">
      <c r="A3" s="18" t="s">
        <v>775</v>
      </c>
      <c r="B3" s="1337"/>
      <c r="C3" s="1337"/>
      <c r="D3" s="1337"/>
      <c r="E3" s="1337"/>
      <c r="F3" s="1337"/>
      <c r="G3" s="1337"/>
      <c r="H3" s="1337"/>
      <c r="I3" s="1337"/>
      <c r="J3" s="1337"/>
      <c r="K3" s="1337"/>
      <c r="L3" s="1337"/>
      <c r="M3" s="1337"/>
      <c r="N3" s="1337"/>
      <c r="O3" s="1337"/>
    </row>
    <row r="4" spans="1:19" ht="18" customHeight="1">
      <c r="A4" s="1338" t="s">
        <v>776</v>
      </c>
      <c r="B4" s="1337"/>
      <c r="C4" s="1337"/>
      <c r="D4" s="1337"/>
      <c r="E4" s="1337"/>
      <c r="F4" s="1337"/>
      <c r="G4" s="1337"/>
      <c r="H4" s="1337"/>
      <c r="I4" s="1337"/>
      <c r="J4" s="1337"/>
      <c r="K4" s="1337"/>
      <c r="L4" s="1337"/>
      <c r="M4" s="1337"/>
      <c r="N4" s="1337"/>
      <c r="O4" s="1337"/>
    </row>
    <row r="5" spans="1:19" ht="18" customHeight="1">
      <c r="A5" s="18" t="s">
        <v>777</v>
      </c>
      <c r="B5" s="1337"/>
      <c r="C5" s="1337"/>
      <c r="D5" s="1337"/>
      <c r="E5" s="1337"/>
      <c r="F5" s="1337"/>
      <c r="G5" s="1337"/>
      <c r="H5" s="1337"/>
      <c r="I5" s="1337"/>
      <c r="J5" s="1337"/>
      <c r="K5" s="1337"/>
      <c r="L5" s="1337"/>
      <c r="M5" s="1337"/>
      <c r="N5" s="1337"/>
      <c r="O5" s="1337"/>
    </row>
    <row r="6" spans="1:19" s="1344" customFormat="1" ht="14.25" customHeight="1">
      <c r="A6" s="1339" t="s">
        <v>778</v>
      </c>
      <c r="B6" s="1340"/>
      <c r="C6" s="1341"/>
      <c r="D6" s="1341"/>
      <c r="E6" s="1341"/>
      <c r="F6" s="1341"/>
      <c r="G6" s="1341"/>
      <c r="H6" s="1341"/>
      <c r="I6" s="1341"/>
      <c r="J6" s="1341"/>
      <c r="K6" s="1342"/>
      <c r="L6" s="1342"/>
      <c r="M6" s="1342"/>
      <c r="N6" s="1342"/>
      <c r="O6" s="1343" t="s">
        <v>779</v>
      </c>
      <c r="P6" s="1833"/>
      <c r="Q6" s="1833"/>
      <c r="R6" s="1833"/>
      <c r="S6" s="1833"/>
    </row>
    <row r="7" spans="1:19" s="1344" customFormat="1" ht="18" customHeight="1">
      <c r="A7" s="2118" t="s">
        <v>364</v>
      </c>
      <c r="B7" s="2119"/>
      <c r="C7" s="1345" t="s">
        <v>356</v>
      </c>
      <c r="D7" s="1347"/>
      <c r="E7" s="1341"/>
      <c r="F7" s="1341"/>
      <c r="G7" s="1348"/>
      <c r="H7" s="1349" t="s">
        <v>357</v>
      </c>
      <c r="I7" s="1834"/>
      <c r="J7" s="1346" t="s">
        <v>358</v>
      </c>
      <c r="K7" s="1835"/>
      <c r="L7" s="1342"/>
      <c r="M7" s="1342"/>
      <c r="N7" s="1348"/>
      <c r="O7" s="321" t="s">
        <v>359</v>
      </c>
      <c r="P7" s="1833"/>
      <c r="Q7" s="1833"/>
      <c r="R7" s="1833"/>
      <c r="S7" s="1833"/>
    </row>
    <row r="8" spans="1:19" s="56" customFormat="1" ht="18" customHeight="1">
      <c r="A8" s="2120"/>
      <c r="B8" s="2121"/>
      <c r="C8" s="1354" t="s">
        <v>780</v>
      </c>
      <c r="D8" s="1355"/>
      <c r="E8" s="1355"/>
      <c r="F8" s="1356"/>
      <c r="G8" s="1357" t="s">
        <v>362</v>
      </c>
      <c r="H8" s="1358"/>
      <c r="I8" s="1359"/>
      <c r="J8" s="640" t="s">
        <v>780</v>
      </c>
      <c r="K8" s="1355"/>
      <c r="L8" s="1355"/>
      <c r="M8" s="1356"/>
      <c r="N8" s="1357" t="s">
        <v>362</v>
      </c>
      <c r="O8" s="202"/>
      <c r="P8" s="1836"/>
      <c r="Q8" s="1836"/>
      <c r="R8" s="1836"/>
      <c r="S8" s="1836"/>
    </row>
    <row r="9" spans="1:19" s="56" customFormat="1" ht="18" customHeight="1">
      <c r="A9" s="2120"/>
      <c r="B9" s="2121"/>
      <c r="C9" s="91"/>
      <c r="D9" s="1364" t="s">
        <v>481</v>
      </c>
      <c r="E9" s="1369"/>
      <c r="F9" s="91"/>
      <c r="G9" s="90"/>
      <c r="H9" s="116" t="s">
        <v>360</v>
      </c>
      <c r="I9" s="1359" t="s">
        <v>367</v>
      </c>
      <c r="J9" s="1837"/>
      <c r="K9" s="1364" t="s">
        <v>481</v>
      </c>
      <c r="L9" s="1364"/>
      <c r="M9" s="90"/>
      <c r="N9" s="90"/>
      <c r="O9" s="1365" t="s">
        <v>360</v>
      </c>
      <c r="P9" s="1836"/>
      <c r="Q9" s="1836"/>
      <c r="R9" s="1836"/>
      <c r="S9" s="1836"/>
    </row>
    <row r="10" spans="1:19" s="56" customFormat="1" ht="18" customHeight="1">
      <c r="A10" s="2114" t="s">
        <v>372</v>
      </c>
      <c r="B10" s="2115"/>
      <c r="C10" s="1366" t="s">
        <v>418</v>
      </c>
      <c r="D10" s="1362" t="s">
        <v>781</v>
      </c>
      <c r="E10" s="1838" t="s">
        <v>376</v>
      </c>
      <c r="F10" s="1362" t="s">
        <v>782</v>
      </c>
      <c r="G10" s="1369" t="s">
        <v>367</v>
      </c>
      <c r="H10" s="1363"/>
      <c r="I10" s="187" t="s">
        <v>378</v>
      </c>
      <c r="J10" s="1368" t="s">
        <v>418</v>
      </c>
      <c r="K10" s="1362" t="s">
        <v>781</v>
      </c>
      <c r="L10" s="1364" t="s">
        <v>376</v>
      </c>
      <c r="M10" s="1364" t="s">
        <v>782</v>
      </c>
      <c r="N10" s="1369" t="s">
        <v>367</v>
      </c>
      <c r="O10" s="1365"/>
      <c r="P10" s="1836"/>
      <c r="Q10" s="1836"/>
      <c r="R10" s="1836"/>
      <c r="S10" s="1836"/>
    </row>
    <row r="11" spans="1:19" s="44" customFormat="1" ht="18" customHeight="1">
      <c r="A11" s="2114"/>
      <c r="B11" s="2115"/>
      <c r="C11" s="1370" t="s">
        <v>783</v>
      </c>
      <c r="D11" s="1092" t="s">
        <v>784</v>
      </c>
      <c r="E11" s="1370" t="s">
        <v>455</v>
      </c>
      <c r="F11" s="1370" t="s">
        <v>385</v>
      </c>
      <c r="G11" s="1370" t="s">
        <v>378</v>
      </c>
      <c r="H11" s="105" t="s">
        <v>365</v>
      </c>
      <c r="I11" s="1839"/>
      <c r="J11" s="1370" t="s">
        <v>783</v>
      </c>
      <c r="K11" s="69" t="s">
        <v>784</v>
      </c>
      <c r="L11" s="69" t="s">
        <v>455</v>
      </c>
      <c r="M11" s="69" t="s">
        <v>385</v>
      </c>
      <c r="N11" s="69" t="s">
        <v>378</v>
      </c>
      <c r="O11" s="57" t="s">
        <v>365</v>
      </c>
      <c r="P11" s="206" t="s">
        <v>785</v>
      </c>
      <c r="Q11" s="206"/>
      <c r="R11" s="206" t="s">
        <v>378</v>
      </c>
      <c r="S11" s="206"/>
    </row>
    <row r="12" spans="1:19" s="56" customFormat="1" ht="18" customHeight="1">
      <c r="A12" s="2116"/>
      <c r="B12" s="2117"/>
      <c r="C12" s="1372"/>
      <c r="D12" s="1372" t="s">
        <v>786</v>
      </c>
      <c r="E12" s="96" t="s">
        <v>787</v>
      </c>
      <c r="F12" s="1372"/>
      <c r="G12" s="1840"/>
      <c r="H12" s="1372"/>
      <c r="I12" s="1841"/>
      <c r="J12" s="1373"/>
      <c r="K12" s="1372" t="s">
        <v>786</v>
      </c>
      <c r="L12" s="96" t="s">
        <v>787</v>
      </c>
      <c r="M12" s="1840"/>
      <c r="N12" s="1840"/>
      <c r="O12" s="1842"/>
      <c r="P12" s="1843" t="s">
        <v>788</v>
      </c>
      <c r="Q12" s="1843" t="s">
        <v>789</v>
      </c>
      <c r="R12" s="1844" t="s">
        <v>790</v>
      </c>
      <c r="S12" s="1843" t="s">
        <v>791</v>
      </c>
    </row>
    <row r="13" spans="1:19" s="327" customFormat="1" ht="20.25" customHeight="1">
      <c r="A13" s="432">
        <v>2010</v>
      </c>
      <c r="B13" s="553"/>
      <c r="C13" s="1375">
        <v>17326.075139376058</v>
      </c>
      <c r="D13" s="803">
        <v>20366.552841987828</v>
      </c>
      <c r="E13" s="799">
        <v>4517.6852188903731</v>
      </c>
      <c r="F13" s="796">
        <v>3616.1603292446666</v>
      </c>
      <c r="G13" s="803">
        <v>45826.606508222321</v>
      </c>
      <c r="H13" s="796">
        <v>176351.14643154078</v>
      </c>
      <c r="I13" s="804">
        <v>222177.70293976308</v>
      </c>
      <c r="J13" s="796">
        <v>14429.177836742685</v>
      </c>
      <c r="K13" s="772">
        <v>20800.677027129797</v>
      </c>
      <c r="L13" s="799">
        <v>4883.252078101239</v>
      </c>
      <c r="M13" s="796">
        <v>10724.72524335711</v>
      </c>
      <c r="N13" s="808">
        <v>50837.888847479553</v>
      </c>
      <c r="O13" s="1845">
        <v>171339.81147026218</v>
      </c>
      <c r="P13" s="945">
        <f>G13-C13-D13-E13-F13</f>
        <v>0.13297872339489913</v>
      </c>
      <c r="Q13" s="1808">
        <f>N13-J13-K13-L13-M13</f>
        <v>5.6662148717805394E-2</v>
      </c>
      <c r="R13" s="1808">
        <f>I13-G13-H13</f>
        <v>-5.0000000017462298E-2</v>
      </c>
      <c r="S13" s="1808">
        <f>I13-N13-O13</f>
        <v>2.6220213621854782E-3</v>
      </c>
    </row>
    <row r="14" spans="1:19" s="435" customFormat="1" ht="14.85" customHeight="1">
      <c r="A14" s="380">
        <v>2011</v>
      </c>
      <c r="B14" s="1378"/>
      <c r="C14" s="1375">
        <v>14357.527293244721</v>
      </c>
      <c r="D14" s="803">
        <v>22369.457530443025</v>
      </c>
      <c r="E14" s="799">
        <v>5864.6422244512769</v>
      </c>
      <c r="F14" s="796">
        <v>4862.8715914009435</v>
      </c>
      <c r="G14" s="803">
        <v>47454.469485284651</v>
      </c>
      <c r="H14" s="796">
        <v>149662.63401247331</v>
      </c>
      <c r="I14" s="804">
        <v>197117.13328499201</v>
      </c>
      <c r="J14" s="796">
        <v>11632.128329758036</v>
      </c>
      <c r="K14" s="772">
        <v>21284.796904650244</v>
      </c>
      <c r="L14" s="799">
        <v>5472.2109271137961</v>
      </c>
      <c r="M14" s="796">
        <v>11828.074684017945</v>
      </c>
      <c r="N14" s="808">
        <v>50217.221483837893</v>
      </c>
      <c r="O14" s="1845">
        <v>146899.89079005833</v>
      </c>
      <c r="P14" s="945">
        <v>-2.9154255313187605E-2</v>
      </c>
      <c r="Q14" s="1808">
        <v>1.0638297870173119E-2</v>
      </c>
      <c r="R14" s="1808">
        <v>2.9787234059767798E-2</v>
      </c>
      <c r="S14" s="1808">
        <v>2.1011095785070211E-2</v>
      </c>
    </row>
    <row r="15" spans="1:19" s="435" customFormat="1" ht="14.85" customHeight="1">
      <c r="A15" s="380">
        <v>2012</v>
      </c>
      <c r="B15" s="1378"/>
      <c r="C15" s="1375">
        <v>15134.6707096521</v>
      </c>
      <c r="D15" s="803">
        <v>23213.167244807813</v>
      </c>
      <c r="E15" s="799">
        <v>6476.5913418270211</v>
      </c>
      <c r="F15" s="796">
        <v>3428.2197614655743</v>
      </c>
      <c r="G15" s="803">
        <v>48252.738525837616</v>
      </c>
      <c r="H15" s="796">
        <v>138069.73940918571</v>
      </c>
      <c r="I15" s="804">
        <v>186322.42793502333</v>
      </c>
      <c r="J15" s="796">
        <v>11819.284045726947</v>
      </c>
      <c r="K15" s="772">
        <v>22080.829913265829</v>
      </c>
      <c r="L15" s="799">
        <v>6194.2116843008844</v>
      </c>
      <c r="M15" s="796">
        <v>11153.821616588435</v>
      </c>
      <c r="N15" s="808">
        <v>51248.102071052315</v>
      </c>
      <c r="O15" s="1845">
        <v>135074.33216473754</v>
      </c>
      <c r="P15" s="945">
        <v>8.946808510881965E-2</v>
      </c>
      <c r="Q15" s="1808">
        <v>-4.5188829781181994E-2</v>
      </c>
      <c r="R15" s="1808">
        <v>-4.9999999988358468E-2</v>
      </c>
      <c r="S15" s="1808">
        <v>-6.3007665157783777E-3</v>
      </c>
    </row>
    <row r="16" spans="1:19" s="435" customFormat="1" ht="14.85" customHeight="1">
      <c r="A16" s="380">
        <v>2013</v>
      </c>
      <c r="B16" s="1378"/>
      <c r="C16" s="1375">
        <v>11650.528202551792</v>
      </c>
      <c r="D16" s="803">
        <v>24941.353590609666</v>
      </c>
      <c r="E16" s="799">
        <v>8735.8997018374994</v>
      </c>
      <c r="F16" s="796">
        <v>3396.0348112613538</v>
      </c>
      <c r="G16" s="803">
        <v>48723.880548213623</v>
      </c>
      <c r="H16" s="796">
        <v>143275.40902486758</v>
      </c>
      <c r="I16" s="804">
        <v>191999.28319957116</v>
      </c>
      <c r="J16" s="796">
        <v>8485.9002423992715</v>
      </c>
      <c r="K16" s="772">
        <v>23961.597682065003</v>
      </c>
      <c r="L16" s="799">
        <v>6290.3710426136586</v>
      </c>
      <c r="M16" s="796">
        <v>11759.925892192563</v>
      </c>
      <c r="N16" s="808">
        <v>50497.827998559784</v>
      </c>
      <c r="O16" s="1845">
        <v>141501.45502277659</v>
      </c>
      <c r="P16" s="945">
        <v>6.424195330873772E-2</v>
      </c>
      <c r="Q16" s="1808">
        <v>3.3139289287646534E-2</v>
      </c>
      <c r="R16" s="1808">
        <v>-6.3735100557096303E-3</v>
      </c>
      <c r="S16" s="1808">
        <v>1.7823479720391333E-4</v>
      </c>
    </row>
    <row r="17" spans="1:23" s="435" customFormat="1" ht="14.85" customHeight="1">
      <c r="A17" s="380">
        <v>2014</v>
      </c>
      <c r="B17" s="1378"/>
      <c r="C17" s="1375">
        <v>12623.787577917219</v>
      </c>
      <c r="D17" s="803">
        <v>23308.5812876948</v>
      </c>
      <c r="E17" s="799">
        <v>9520.7160022096614</v>
      </c>
      <c r="F17" s="796">
        <v>3805.1078958329153</v>
      </c>
      <c r="G17" s="803">
        <v>49258.192763390587</v>
      </c>
      <c r="H17" s="796">
        <v>140034.86334781136</v>
      </c>
      <c r="I17" s="804">
        <v>189293.05611120193</v>
      </c>
      <c r="J17" s="796">
        <v>8681.4471955924255</v>
      </c>
      <c r="K17" s="772">
        <v>25367.558978892022</v>
      </c>
      <c r="L17" s="799">
        <v>5951.9850451192879</v>
      </c>
      <c r="M17" s="796">
        <v>11871.40217146758</v>
      </c>
      <c r="N17" s="808">
        <v>51872.39339091174</v>
      </c>
      <c r="O17" s="1845">
        <v>137420.73351436335</v>
      </c>
      <c r="P17" s="945">
        <v>-2.6400721253594384E-7</v>
      </c>
      <c r="Q17" s="1808">
        <v>-1.5957266441546381E-7</v>
      </c>
      <c r="R17" s="1808">
        <v>0</v>
      </c>
      <c r="S17" s="1808">
        <v>-7.0794073166325688E-2</v>
      </c>
    </row>
    <row r="18" spans="1:23" s="435" customFormat="1" ht="14.85" customHeight="1">
      <c r="A18" s="380">
        <v>2015</v>
      </c>
      <c r="B18" s="1378"/>
      <c r="C18" s="1375">
        <v>12338.229197782712</v>
      </c>
      <c r="D18" s="803">
        <v>25189.572192268992</v>
      </c>
      <c r="E18" s="799">
        <v>10935.195717991073</v>
      </c>
      <c r="F18" s="796">
        <v>4125.1140618442832</v>
      </c>
      <c r="G18" s="803">
        <v>52587.998403793084</v>
      </c>
      <c r="H18" s="796">
        <v>138412.77532764338</v>
      </c>
      <c r="I18" s="804">
        <v>191000.77373143646</v>
      </c>
      <c r="J18" s="796">
        <v>8449.2090624463635</v>
      </c>
      <c r="K18" s="772">
        <v>25911.089971396086</v>
      </c>
      <c r="L18" s="799">
        <v>5750.5352879508473</v>
      </c>
      <c r="M18" s="796">
        <v>12448.79048155471</v>
      </c>
      <c r="N18" s="808">
        <v>52559.55778207141</v>
      </c>
      <c r="O18" s="1845">
        <v>138441.20682400296</v>
      </c>
      <c r="P18" s="945">
        <v>-0.11276609397555148</v>
      </c>
      <c r="Q18" s="1808">
        <v>-6.7021276592640788E-2</v>
      </c>
      <c r="R18" s="1808">
        <v>0</v>
      </c>
      <c r="S18" s="1808">
        <v>9.1253620921634138E-3</v>
      </c>
    </row>
    <row r="19" spans="1:23" s="435" customFormat="1" ht="14.85" customHeight="1">
      <c r="A19" s="380">
        <v>2016</v>
      </c>
      <c r="B19" s="1378"/>
      <c r="C19" s="1375">
        <v>13322.619717184172</v>
      </c>
      <c r="D19" s="803">
        <v>25399.302219789704</v>
      </c>
      <c r="E19" s="799">
        <v>13391.129491687345</v>
      </c>
      <c r="F19" s="796">
        <v>3648.0004800348456</v>
      </c>
      <c r="G19" s="803">
        <v>55761.027364558686</v>
      </c>
      <c r="H19" s="796">
        <v>130289.51337180738</v>
      </c>
      <c r="I19" s="804">
        <v>186050.53414062137</v>
      </c>
      <c r="J19" s="796">
        <v>9791.9844748150681</v>
      </c>
      <c r="K19" s="772">
        <v>26376.895345730412</v>
      </c>
      <c r="L19" s="799">
        <v>5814.8920479319322</v>
      </c>
      <c r="M19" s="796">
        <v>12842.668923176989</v>
      </c>
      <c r="N19" s="808">
        <v>54826.493983143766</v>
      </c>
      <c r="O19" s="1845">
        <v>131223.96980251285</v>
      </c>
      <c r="P19" s="945">
        <v>-2.4544137379507447E-2</v>
      </c>
      <c r="Q19" s="1808">
        <v>5.3191489369055489E-2</v>
      </c>
      <c r="R19" s="1808">
        <v>-6.5957446931861341E-3</v>
      </c>
      <c r="S19" s="1808">
        <v>7.035496475873515E-2</v>
      </c>
    </row>
    <row r="20" spans="1:23" s="435" customFormat="1" ht="14.85" customHeight="1">
      <c r="A20" s="380">
        <v>2017</v>
      </c>
      <c r="B20" s="1378"/>
      <c r="C20" s="1375">
        <v>13224.880169996653</v>
      </c>
      <c r="D20" s="803">
        <v>26108.650419549496</v>
      </c>
      <c r="E20" s="799">
        <v>14769.97242190436</v>
      </c>
      <c r="F20" s="796">
        <v>3679.4466524546515</v>
      </c>
      <c r="G20" s="803">
        <v>57782.962808951124</v>
      </c>
      <c r="H20" s="796">
        <v>129660.93887149695</v>
      </c>
      <c r="I20" s="804">
        <v>187443.85848895868</v>
      </c>
      <c r="J20" s="796">
        <v>8373.7614167460142</v>
      </c>
      <c r="K20" s="772">
        <v>27783.284980878758</v>
      </c>
      <c r="L20" s="799">
        <v>6107.4272603876352</v>
      </c>
      <c r="M20" s="796">
        <v>13633.07870770893</v>
      </c>
      <c r="N20" s="808">
        <v>55897.584317848989</v>
      </c>
      <c r="O20" s="1845">
        <v>131546.30366312145</v>
      </c>
      <c r="P20" s="945">
        <v>1.31450459593907E-2</v>
      </c>
      <c r="Q20" s="1808">
        <v>3.195212765422184E-2</v>
      </c>
      <c r="R20" s="1808">
        <v>-4.319148939976003E-2</v>
      </c>
      <c r="S20" s="1808">
        <v>-2.949201175943017E-2</v>
      </c>
    </row>
    <row r="21" spans="1:23" s="411" customFormat="1" ht="14.25" customHeight="1">
      <c r="A21" s="905">
        <v>2018</v>
      </c>
      <c r="B21" s="906"/>
      <c r="C21" s="1846">
        <f t="shared" ref="C21:O21" si="0">C25</f>
        <v>13700.065966641987</v>
      </c>
      <c r="D21" s="938">
        <f t="shared" si="0"/>
        <v>29500.543871063212</v>
      </c>
      <c r="E21" s="1847">
        <f t="shared" si="0"/>
        <v>15268.849943895733</v>
      </c>
      <c r="F21" s="866">
        <f t="shared" si="0"/>
        <v>3979.0083192753309</v>
      </c>
      <c r="G21" s="938">
        <f t="shared" si="0"/>
        <v>62448.439991715662</v>
      </c>
      <c r="H21" s="866">
        <f t="shared" si="0"/>
        <v>130201.03531637968</v>
      </c>
      <c r="I21" s="1848">
        <f t="shared" si="0"/>
        <v>192649.43830809538</v>
      </c>
      <c r="J21" s="866">
        <f t="shared" si="0"/>
        <v>8922.0947499335871</v>
      </c>
      <c r="K21" s="1725">
        <f t="shared" si="0"/>
        <v>28640.910506081611</v>
      </c>
      <c r="L21" s="1847">
        <f t="shared" si="0"/>
        <v>5962.2524878812819</v>
      </c>
      <c r="M21" s="866">
        <f t="shared" si="0"/>
        <v>14372.261661857876</v>
      </c>
      <c r="N21" s="880">
        <f t="shared" si="0"/>
        <v>57897.561530754348</v>
      </c>
      <c r="O21" s="1849">
        <f t="shared" si="0"/>
        <v>134751.8405038557</v>
      </c>
      <c r="P21" s="945">
        <f>G21-C21-D21-E21-F21</f>
        <v>-2.8109160602070915E-2</v>
      </c>
      <c r="Q21" s="1808">
        <f>N21-J21-K21-L21-M21</f>
        <v>4.2124999990846845E-2</v>
      </c>
      <c r="R21" s="1808">
        <f>I21-G21-H21</f>
        <v>-3.699999995296821E-2</v>
      </c>
      <c r="S21" s="1808">
        <f>I21-N21-O21</f>
        <v>3.6273485340643674E-2</v>
      </c>
    </row>
    <row r="22" spans="1:23" s="411" customFormat="1" ht="14.25" customHeight="1">
      <c r="A22" s="1193">
        <v>2019</v>
      </c>
      <c r="B22" s="1483"/>
      <c r="C22" s="1850">
        <f t="shared" ref="C22:O22" si="1">C29</f>
        <v>15457.608671876529</v>
      </c>
      <c r="D22" s="1658">
        <f t="shared" si="1"/>
        <v>30750.642866545204</v>
      </c>
      <c r="E22" s="1851">
        <f t="shared" si="1"/>
        <v>17357.256737510259</v>
      </c>
      <c r="F22" s="867">
        <f t="shared" si="1"/>
        <v>4949.9845587032196</v>
      </c>
      <c r="G22" s="1658">
        <f t="shared" si="1"/>
        <v>68515.450056265778</v>
      </c>
      <c r="H22" s="867">
        <f t="shared" si="1"/>
        <v>136391.29871570531</v>
      </c>
      <c r="I22" s="1852">
        <f t="shared" si="1"/>
        <v>204906.77877197106</v>
      </c>
      <c r="J22" s="867">
        <f t="shared" si="1"/>
        <v>9232.5869365932631</v>
      </c>
      <c r="K22" s="1731">
        <f t="shared" si="1"/>
        <v>31529.135210692151</v>
      </c>
      <c r="L22" s="1851">
        <f t="shared" si="1"/>
        <v>6046.6652735764028</v>
      </c>
      <c r="M22" s="867">
        <f t="shared" si="1"/>
        <v>15501.575138992888</v>
      </c>
      <c r="N22" s="1651">
        <f t="shared" si="1"/>
        <v>62310.018441341774</v>
      </c>
      <c r="O22" s="1853">
        <f t="shared" si="1"/>
        <v>142596.79664643575</v>
      </c>
      <c r="P22" s="945">
        <f>G22-C22-D22-E22-F22</f>
        <v>-4.2778369434017804E-2</v>
      </c>
      <c r="Q22" s="1808">
        <f>N22-J22-K22-L22-M22</f>
        <v>5.5881487071019365E-2</v>
      </c>
      <c r="R22" s="1808">
        <f>I22-G22-H22</f>
        <v>2.9999999969732016E-2</v>
      </c>
      <c r="S22" s="1808">
        <f>I22-N22-O22</f>
        <v>-3.631580644287169E-2</v>
      </c>
    </row>
    <row r="23" spans="1:23" s="411" customFormat="1" ht="20.25" customHeight="1">
      <c r="A23" s="905">
        <v>2018</v>
      </c>
      <c r="B23" s="906" t="s">
        <v>223</v>
      </c>
      <c r="C23" s="1846">
        <v>13381.365221017786</v>
      </c>
      <c r="D23" s="938">
        <v>27589.825587759122</v>
      </c>
      <c r="E23" s="1847">
        <v>15183.277198268621</v>
      </c>
      <c r="F23" s="866">
        <v>3963.9616184625538</v>
      </c>
      <c r="G23" s="938">
        <v>60118.486175866048</v>
      </c>
      <c r="H23" s="866">
        <v>128081.84368378343</v>
      </c>
      <c r="I23" s="1848">
        <v>188200.33985964948</v>
      </c>
      <c r="J23" s="866">
        <v>8502.8056682275419</v>
      </c>
      <c r="K23" s="1725">
        <v>28013.761634879982</v>
      </c>
      <c r="L23" s="1847">
        <v>6087.7560911062037</v>
      </c>
      <c r="M23" s="866">
        <v>13748.121237368177</v>
      </c>
      <c r="N23" s="880">
        <v>56352.456969347862</v>
      </c>
      <c r="O23" s="1849">
        <v>131847.7976775312</v>
      </c>
      <c r="P23" s="945">
        <v>5.6550357961896225E-2</v>
      </c>
      <c r="Q23" s="1808">
        <v>1.2337765958363889E-2</v>
      </c>
      <c r="R23" s="1808">
        <v>1.0000000009313226E-2</v>
      </c>
      <c r="S23" s="1808">
        <v>8.5212770412908867E-2</v>
      </c>
    </row>
    <row r="24" spans="1:23" s="411" customFormat="1" ht="14.25" customHeight="1">
      <c r="A24" s="905"/>
      <c r="B24" s="906" t="s">
        <v>224</v>
      </c>
      <c r="C24" s="1846">
        <v>12947.184689632044</v>
      </c>
      <c r="D24" s="938">
        <v>28204.883033630569</v>
      </c>
      <c r="E24" s="1847">
        <v>14635.055258018359</v>
      </c>
      <c r="F24" s="866">
        <v>4058.3048165045157</v>
      </c>
      <c r="G24" s="938">
        <v>59845.498977221767</v>
      </c>
      <c r="H24" s="866">
        <v>132846.63019214739</v>
      </c>
      <c r="I24" s="1848">
        <v>192692.05938213508</v>
      </c>
      <c r="J24" s="866">
        <v>8247.0315659328171</v>
      </c>
      <c r="K24" s="1725">
        <v>28433.480952274804</v>
      </c>
      <c r="L24" s="1847">
        <v>5869.9964379347202</v>
      </c>
      <c r="M24" s="866">
        <v>14387.914088112439</v>
      </c>
      <c r="N24" s="880">
        <v>56938.372190531372</v>
      </c>
      <c r="O24" s="1849">
        <v>135753.74367760285</v>
      </c>
      <c r="P24" s="945">
        <v>7.1179436280544905E-2</v>
      </c>
      <c r="Q24" s="1808">
        <v>-5.085372340909089E-2</v>
      </c>
      <c r="R24" s="1808">
        <v>-6.978723406791687E-2</v>
      </c>
      <c r="S24" s="1808">
        <v>-5.6485999142751098E-2</v>
      </c>
    </row>
    <row r="25" spans="1:23" s="411" customFormat="1" ht="14.25" customHeight="1">
      <c r="A25" s="905"/>
      <c r="B25" s="906" t="s">
        <v>225</v>
      </c>
      <c r="C25" s="1846">
        <v>13700.065966641987</v>
      </c>
      <c r="D25" s="938">
        <v>29500.543871063212</v>
      </c>
      <c r="E25" s="1847">
        <v>15268.849943895733</v>
      </c>
      <c r="F25" s="866">
        <v>3979.0083192753309</v>
      </c>
      <c r="G25" s="938">
        <v>62448.439991715662</v>
      </c>
      <c r="H25" s="866">
        <v>130201.03531637968</v>
      </c>
      <c r="I25" s="1848">
        <v>192649.43830809538</v>
      </c>
      <c r="J25" s="866">
        <v>8922.0947499335871</v>
      </c>
      <c r="K25" s="1725">
        <v>28640.910506081611</v>
      </c>
      <c r="L25" s="1847">
        <v>5962.2524878812819</v>
      </c>
      <c r="M25" s="866">
        <v>14372.261661857876</v>
      </c>
      <c r="N25" s="880">
        <v>57897.561530754348</v>
      </c>
      <c r="O25" s="1849">
        <v>134751.8405038557</v>
      </c>
      <c r="P25" s="945">
        <v>-2.8109160602070915E-2</v>
      </c>
      <c r="Q25" s="1808">
        <v>4.2124999990846845E-2</v>
      </c>
      <c r="R25" s="1808">
        <v>-3.699999995296821E-2</v>
      </c>
      <c r="S25" s="1808">
        <v>3.6273485340643674E-2</v>
      </c>
    </row>
    <row r="26" spans="1:23" s="411" customFormat="1" ht="20.25" customHeight="1">
      <c r="A26" s="905">
        <v>2019</v>
      </c>
      <c r="B26" s="906" t="s">
        <v>222</v>
      </c>
      <c r="C26" s="1846">
        <v>16139.096759763856</v>
      </c>
      <c r="D26" s="938">
        <v>29405.68791927486</v>
      </c>
      <c r="E26" s="1847">
        <v>16435.456012623265</v>
      </c>
      <c r="F26" s="866">
        <v>4077.8679766058576</v>
      </c>
      <c r="G26" s="938">
        <v>66058.15967695466</v>
      </c>
      <c r="H26" s="866">
        <v>141266.35511530275</v>
      </c>
      <c r="I26" s="1848">
        <v>207324.63055821485</v>
      </c>
      <c r="J26" s="866">
        <v>9074.3344605444399</v>
      </c>
      <c r="K26" s="1725">
        <v>30660.934055902522</v>
      </c>
      <c r="L26" s="1847">
        <v>6442.9834462615154</v>
      </c>
      <c r="M26" s="866">
        <v>15078.762274492443</v>
      </c>
      <c r="N26" s="880">
        <v>61257.026574966876</v>
      </c>
      <c r="O26" s="1849">
        <v>146067.55684830796</v>
      </c>
      <c r="P26" s="945">
        <v>5.1008686825298355E-2</v>
      </c>
      <c r="Q26" s="1808">
        <v>1.2337765952906921E-2</v>
      </c>
      <c r="R26" s="1808">
        <v>0.11576595742371865</v>
      </c>
      <c r="S26" s="1808">
        <v>4.7134940017713234E-2</v>
      </c>
    </row>
    <row r="27" spans="1:23" s="411" customFormat="1" ht="14.25" customHeight="1">
      <c r="A27" s="905"/>
      <c r="B27" s="906" t="s">
        <v>223</v>
      </c>
      <c r="C27" s="1846">
        <f t="shared" ref="C27:O27" si="2">C33</f>
        <v>15256.449973214796</v>
      </c>
      <c r="D27" s="938">
        <f t="shared" si="2"/>
        <v>30957.893798436933</v>
      </c>
      <c r="E27" s="1847">
        <f t="shared" si="2"/>
        <v>16851.257536384684</v>
      </c>
      <c r="F27" s="866">
        <f t="shared" si="2"/>
        <v>4471.5034626432544</v>
      </c>
      <c r="G27" s="938">
        <f t="shared" si="2"/>
        <v>67537.065812049274</v>
      </c>
      <c r="H27" s="866">
        <f t="shared" si="2"/>
        <v>135845.38624831237</v>
      </c>
      <c r="I27" s="1848">
        <f t="shared" si="2"/>
        <v>203382.51070819821</v>
      </c>
      <c r="J27" s="866">
        <f t="shared" si="2"/>
        <v>9269.442407832963</v>
      </c>
      <c r="K27" s="1725">
        <f t="shared" si="2"/>
        <v>30899.451233512384</v>
      </c>
      <c r="L27" s="1847">
        <f t="shared" si="2"/>
        <v>6092.3526408728812</v>
      </c>
      <c r="M27" s="866">
        <f t="shared" si="2"/>
        <v>15172.539821827122</v>
      </c>
      <c r="N27" s="880">
        <f t="shared" si="2"/>
        <v>61433.771420534715</v>
      </c>
      <c r="O27" s="1849">
        <f t="shared" si="2"/>
        <v>141948.71156600758</v>
      </c>
      <c r="P27" s="945">
        <f t="shared" ref="P27" si="3">G27-C27-D27-E27-F27</f>
        <v>-3.8958630394517968E-2</v>
      </c>
      <c r="Q27" s="1808">
        <f t="shared" ref="Q27" si="4">N27-J27-K27-L27-M27</f>
        <v>-1.4683510633403785E-2</v>
      </c>
      <c r="R27" s="1808">
        <f t="shared" ref="R27" si="5">I27-G27-H27</f>
        <v>5.8647836558520794E-2</v>
      </c>
      <c r="S27" s="1808">
        <f t="shared" ref="S27" si="6">I27-N27-O27</f>
        <v>2.7721655904315412E-2</v>
      </c>
    </row>
    <row r="28" spans="1:23" s="411" customFormat="1" ht="14.25" customHeight="1">
      <c r="A28" s="905"/>
      <c r="B28" s="906" t="s">
        <v>224</v>
      </c>
      <c r="C28" s="1846">
        <f t="shared" ref="C28:O28" si="7">C36</f>
        <v>15205.332066626795</v>
      </c>
      <c r="D28" s="938">
        <f t="shared" si="7"/>
        <v>30798.026299390905</v>
      </c>
      <c r="E28" s="1847">
        <f t="shared" si="7"/>
        <v>17413.681896666065</v>
      </c>
      <c r="F28" s="866">
        <f t="shared" si="7"/>
        <v>5114.7766516914344</v>
      </c>
      <c r="G28" s="938">
        <f t="shared" si="7"/>
        <v>68531.768206999433</v>
      </c>
      <c r="H28" s="866">
        <f t="shared" si="7"/>
        <v>133643.53657900149</v>
      </c>
      <c r="I28" s="1848">
        <f t="shared" si="7"/>
        <v>202175.34478600096</v>
      </c>
      <c r="J28" s="866">
        <f t="shared" si="7"/>
        <v>9972.6144133439448</v>
      </c>
      <c r="K28" s="1725">
        <f t="shared" si="7"/>
        <v>30928.717657559668</v>
      </c>
      <c r="L28" s="1847">
        <f t="shared" si="7"/>
        <v>6198.2290517342135</v>
      </c>
      <c r="M28" s="866">
        <f t="shared" si="7"/>
        <v>15339.031071764606</v>
      </c>
      <c r="N28" s="880">
        <f t="shared" si="7"/>
        <v>62438.541340679018</v>
      </c>
      <c r="O28" s="1849">
        <f t="shared" si="7"/>
        <v>139736.84233888413</v>
      </c>
      <c r="P28" s="945">
        <f t="shared" ref="P28" si="8">G28-C28-D28-E28-F28</f>
        <v>-4.8707375768572092E-2</v>
      </c>
      <c r="Q28" s="1808">
        <f t="shared" ref="Q28" si="9">N28-J28-K28-L28-M28</f>
        <v>-5.0853723414547858E-2</v>
      </c>
      <c r="R28" s="1808">
        <f t="shared" ref="R28" si="10">I28-G28-H28</f>
        <v>4.0000000037252903E-2</v>
      </c>
      <c r="S28" s="1808">
        <f t="shared" ref="S28" si="11">I28-N28-O28</f>
        <v>-3.8893562188604847E-2</v>
      </c>
    </row>
    <row r="29" spans="1:23" s="411" customFormat="1" ht="14.25" customHeight="1">
      <c r="A29" s="905"/>
      <c r="B29" s="906" t="s">
        <v>225</v>
      </c>
      <c r="C29" s="1846">
        <f t="shared" ref="C29:O29" si="12">C39</f>
        <v>15457.608671876529</v>
      </c>
      <c r="D29" s="938">
        <f t="shared" si="12"/>
        <v>30750.642866545204</v>
      </c>
      <c r="E29" s="1847">
        <f t="shared" si="12"/>
        <v>17357.256737510259</v>
      </c>
      <c r="F29" s="866">
        <f t="shared" si="12"/>
        <v>4949.9845587032196</v>
      </c>
      <c r="G29" s="938">
        <f t="shared" si="12"/>
        <v>68515.450056265778</v>
      </c>
      <c r="H29" s="866">
        <f t="shared" si="12"/>
        <v>136391.29871570531</v>
      </c>
      <c r="I29" s="1848">
        <f t="shared" si="12"/>
        <v>204906.77877197106</v>
      </c>
      <c r="J29" s="866">
        <f t="shared" si="12"/>
        <v>9232.5869365932631</v>
      </c>
      <c r="K29" s="1725">
        <f t="shared" si="12"/>
        <v>31529.135210692151</v>
      </c>
      <c r="L29" s="1847">
        <f t="shared" si="12"/>
        <v>6046.6652735764028</v>
      </c>
      <c r="M29" s="866">
        <f t="shared" si="12"/>
        <v>15501.575138992888</v>
      </c>
      <c r="N29" s="880">
        <f t="shared" si="12"/>
        <v>62310.018441341774</v>
      </c>
      <c r="O29" s="1849">
        <f t="shared" si="12"/>
        <v>142596.79664643575</v>
      </c>
      <c r="P29" s="945">
        <f t="shared" ref="P29" si="13">G29-C29-D29-E29-F29</f>
        <v>-4.2778369434017804E-2</v>
      </c>
      <c r="Q29" s="1808">
        <f t="shared" ref="Q29" si="14">N29-J29-K29-L29-M29</f>
        <v>5.5881487071019365E-2</v>
      </c>
      <c r="R29" s="1808">
        <f t="shared" ref="R29" si="15">I29-G29-H29</f>
        <v>2.9999999969732016E-2</v>
      </c>
      <c r="S29" s="1808">
        <f t="shared" ref="S29" si="16">I29-N29-O29</f>
        <v>-3.631580644287169E-2</v>
      </c>
    </row>
    <row r="30" spans="1:23" s="411" customFormat="1" ht="21" customHeight="1">
      <c r="A30" s="1193">
        <v>2020</v>
      </c>
      <c r="B30" s="1483" t="s">
        <v>222</v>
      </c>
      <c r="C30" s="1850">
        <f t="shared" ref="C30:O30" si="17">C42</f>
        <v>16419.204381673186</v>
      </c>
      <c r="D30" s="1658">
        <f t="shared" si="17"/>
        <v>31801.869914117491</v>
      </c>
      <c r="E30" s="1851">
        <f t="shared" si="17"/>
        <v>18212.004941789623</v>
      </c>
      <c r="F30" s="867">
        <f t="shared" si="17"/>
        <v>5886.8701294849279</v>
      </c>
      <c r="G30" s="1658">
        <f t="shared" si="17"/>
        <v>72320.012826930324</v>
      </c>
      <c r="H30" s="867">
        <f t="shared" si="17"/>
        <v>138509.71698819226</v>
      </c>
      <c r="I30" s="1852">
        <f t="shared" si="17"/>
        <v>210829.67280872323</v>
      </c>
      <c r="J30" s="867">
        <f t="shared" si="17"/>
        <v>10812.040292918702</v>
      </c>
      <c r="K30" s="1731">
        <f t="shared" si="17"/>
        <v>32305.842278896576</v>
      </c>
      <c r="L30" s="1851">
        <f t="shared" si="17"/>
        <v>6174.7309272644834</v>
      </c>
      <c r="M30" s="867">
        <f t="shared" si="17"/>
        <v>15290.325837793174</v>
      </c>
      <c r="N30" s="1651">
        <f t="shared" si="17"/>
        <v>64582.842239636615</v>
      </c>
      <c r="O30" s="1853">
        <f t="shared" si="17"/>
        <v>146246.87674314145</v>
      </c>
      <c r="P30" s="945">
        <f t="shared" ref="P30" si="18">G30-C30-D30-E30-F30</f>
        <v>6.3459865093136614E-2</v>
      </c>
      <c r="Q30" s="1808">
        <f t="shared" ref="Q30" si="19">N30-J30-K30-L30-M30</f>
        <v>-9.7097236322952085E-2</v>
      </c>
      <c r="R30" s="1808">
        <f t="shared" ref="R30" si="20">I30-G30-H30</f>
        <v>-5.7006399350939319E-2</v>
      </c>
      <c r="S30" s="1808">
        <f t="shared" ref="S30" si="21">I30-N30-O30</f>
        <v>-4.6174054819857702E-2</v>
      </c>
    </row>
    <row r="31" spans="1:23" s="327" customFormat="1" ht="20.25" customHeight="1">
      <c r="A31" s="432">
        <v>2019</v>
      </c>
      <c r="B31" s="553" t="s">
        <v>399</v>
      </c>
      <c r="C31" s="767">
        <f>('13'!C31+'13'!D31+'13'!E31)/0.376+'26'!$C31-0.02</f>
        <v>15341.636765677731</v>
      </c>
      <c r="D31" s="767">
        <f>('13'!F31)/0.376+'26'!$D31</f>
        <v>30580.607768942893</v>
      </c>
      <c r="E31" s="799">
        <f>('13'!G31+'13'!H31)/0.376+'26'!$E31</f>
        <v>16767.314533829765</v>
      </c>
      <c r="F31" s="767">
        <f>('13'!I31)/0.376+'26'!$F31</f>
        <v>3839.5969014918965</v>
      </c>
      <c r="G31" s="803">
        <f>('13'!J31)/0.376+'26'!$G31</f>
        <v>66529.147332728928</v>
      </c>
      <c r="H31" s="787">
        <f>('13'!K31)/0.376+'26'!$M31</f>
        <v>134626.36621042542</v>
      </c>
      <c r="I31" s="804">
        <f>('13'!L31)/0.376+'26'!$N31</f>
        <v>201155.53454315435</v>
      </c>
      <c r="J31" s="800">
        <f>('14'!C31+'14'!D31)/0.376+'27'!$C31</f>
        <v>8556.3421746096101</v>
      </c>
      <c r="K31" s="788">
        <f>('14'!E31)/0.376+'27'!$D31</f>
        <v>31426.195874731537</v>
      </c>
      <c r="L31" s="799">
        <f>('14'!F31)/0.376+'27'!$E31</f>
        <v>6596.2287226293656</v>
      </c>
      <c r="M31" s="796">
        <f>('14'!G31+'14'!H31)/0.376+'27'!$F31+0.02</f>
        <v>14559.660615533106</v>
      </c>
      <c r="N31" s="808">
        <f>('14'!I31)/0.376+'27'!$G31</f>
        <v>61138.391474644173</v>
      </c>
      <c r="O31" s="808">
        <f>('14'!J31)/0.376+'27'!$M31</f>
        <v>140017.14170547738</v>
      </c>
      <c r="P31" s="335">
        <f t="shared" ref="P31" si="22">G31-C31-D31-E31-F31</f>
        <v>-8.6372133564509568E-3</v>
      </c>
      <c r="Q31" s="950">
        <f t="shared" ref="Q31" si="23">N31-J31-K31-L31-M31</f>
        <v>-3.5912859450036194E-2</v>
      </c>
      <c r="R31" s="950">
        <f t="shared" ref="R31" si="24">I31-G31-H31</f>
        <v>2.1000000007916242E-2</v>
      </c>
      <c r="S31" s="950">
        <f t="shared" ref="S31" si="25">I31-N31-O31</f>
        <v>1.3630327885039151E-3</v>
      </c>
      <c r="T31" s="381"/>
      <c r="U31" s="381"/>
      <c r="V31" s="381"/>
      <c r="W31" s="381"/>
    </row>
    <row r="32" spans="1:23" s="327" customFormat="1" ht="14.25" customHeight="1">
      <c r="A32" s="432"/>
      <c r="B32" s="553" t="s">
        <v>400</v>
      </c>
      <c r="C32" s="767">
        <f>('13'!C32+'13'!D32+'13'!E32)/0.376+'26'!$C32</f>
        <v>15572.503583339432</v>
      </c>
      <c r="D32" s="767">
        <f>('13'!F32)/0.376+'26'!$D32-0.05</f>
        <v>30765.222062248129</v>
      </c>
      <c r="E32" s="799">
        <f>('13'!G32+'13'!H32)/0.376+'26'!$E32</f>
        <v>16700.596614155467</v>
      </c>
      <c r="F32" s="767">
        <f>('13'!I32)/0.376+'26'!$F32</f>
        <v>3962.4198436884594</v>
      </c>
      <c r="G32" s="803">
        <f>('13'!J32)/0.376+'26'!$G32</f>
        <v>67000.720321729896</v>
      </c>
      <c r="H32" s="787">
        <f>('13'!K32)/0.376+'26'!$M32</f>
        <v>135332.88805671092</v>
      </c>
      <c r="I32" s="804">
        <f>('13'!L32)/0.376+'26'!$N32</f>
        <v>202333.60837844084</v>
      </c>
      <c r="J32" s="800">
        <f>('14'!C32+'14'!D32)/0.376+'27'!$C32</f>
        <v>9071.1150355114805</v>
      </c>
      <c r="K32" s="788">
        <f>('14'!E32)/0.376+'27'!$D32-0.05</f>
        <v>30177.217745635236</v>
      </c>
      <c r="L32" s="799">
        <f>('14'!F32)/0.376+'27'!$E32</f>
        <v>6632.9047796780433</v>
      </c>
      <c r="M32" s="796">
        <f>('14'!G32+'14'!H32)/0.376+'27'!$F32-0.02</f>
        <v>15005.635616974445</v>
      </c>
      <c r="N32" s="808">
        <f>('14'!I32)/0.376+'27'!$G32-0.06</f>
        <v>60886.842324075813</v>
      </c>
      <c r="O32" s="808">
        <f>('14'!J32)/0.376+'27'!$M32</f>
        <v>141446.84678766227</v>
      </c>
      <c r="P32" s="335">
        <f t="shared" ref="P32" si="26">G32-C32-D32-E32-F32</f>
        <v>-2.1781701595955383E-2</v>
      </c>
      <c r="Q32" s="950">
        <f t="shared" ref="Q32" si="27">N32-J32-K32-L32-M32</f>
        <v>-3.0853723392283428E-2</v>
      </c>
      <c r="R32" s="950">
        <f t="shared" ref="R32" si="28">I32-G32-H32</f>
        <v>0</v>
      </c>
      <c r="S32" s="950">
        <f t="shared" ref="S32" si="29">I32-N32-O32</f>
        <v>-8.0733297247206792E-2</v>
      </c>
      <c r="T32" s="381"/>
      <c r="U32" s="381"/>
      <c r="V32" s="381"/>
      <c r="W32" s="381"/>
    </row>
    <row r="33" spans="1:23" s="327" customFormat="1" ht="14.25" customHeight="1">
      <c r="A33" s="432"/>
      <c r="B33" s="553" t="s">
        <v>401</v>
      </c>
      <c r="C33" s="767">
        <f>('13'!C33+'13'!D33+'13'!E33)/0.376+'26'!$C33-0.1</f>
        <v>15256.449973214796</v>
      </c>
      <c r="D33" s="767">
        <f>('13'!F33)/0.376+'26'!$D33</f>
        <v>30957.893798436933</v>
      </c>
      <c r="E33" s="799">
        <f>('13'!G33+'13'!H33)/0.376+'26'!$E33</f>
        <v>16851.257536384684</v>
      </c>
      <c r="F33" s="767">
        <f>('13'!I33)/0.376+'26'!$F33+0.05</f>
        <v>4471.5034626432544</v>
      </c>
      <c r="G33" s="803">
        <f>('13'!J33)/0.376+'26'!$G33+0.05</f>
        <v>67537.065812049274</v>
      </c>
      <c r="H33" s="787">
        <f>('13'!K33)/0.376+'26'!$M33</f>
        <v>135845.38624831237</v>
      </c>
      <c r="I33" s="804">
        <f>('13'!L33)/0.376+'26'!$N33-0.1</f>
        <v>203382.51070819821</v>
      </c>
      <c r="J33" s="800">
        <f>('14'!C33+'14'!D33)/0.376+'27'!$C33+0.1</f>
        <v>9269.442407832963</v>
      </c>
      <c r="K33" s="788">
        <f>('14'!E33)/0.376+'27'!$D33</f>
        <v>30899.451233512384</v>
      </c>
      <c r="L33" s="799">
        <f>('14'!F33)/0.376+'27'!$E33</f>
        <v>6092.3526408728812</v>
      </c>
      <c r="M33" s="796">
        <f>('14'!G33+'14'!H33)/0.376+'27'!$F33+0.1</f>
        <v>15172.539821827122</v>
      </c>
      <c r="N33" s="808">
        <f>('14'!I33)/0.376+'27'!$G33+0.05</f>
        <v>61433.771420534715</v>
      </c>
      <c r="O33" s="808">
        <f>('14'!J33)/0.376+'27'!$M33-0.2</f>
        <v>141948.71156600758</v>
      </c>
      <c r="P33" s="335">
        <f t="shared" ref="P33" si="30">G33-C33-D33-E33-F33</f>
        <v>-3.8958630394517968E-2</v>
      </c>
      <c r="Q33" s="950">
        <f t="shared" ref="Q33" si="31">N33-J33-K33-L33-M33</f>
        <v>-1.4683510633403785E-2</v>
      </c>
      <c r="R33" s="950">
        <f t="shared" ref="R33" si="32">I33-G33-H33</f>
        <v>5.8647836558520794E-2</v>
      </c>
      <c r="S33" s="950">
        <f t="shared" ref="S33" si="33">I33-N33-O33</f>
        <v>2.7721655904315412E-2</v>
      </c>
      <c r="T33" s="381"/>
      <c r="U33" s="381"/>
      <c r="V33" s="381"/>
      <c r="W33" s="381"/>
    </row>
    <row r="34" spans="1:23" s="327" customFormat="1" ht="14.25" customHeight="1">
      <c r="A34" s="432"/>
      <c r="B34" s="553" t="s">
        <v>402</v>
      </c>
      <c r="C34" s="767">
        <f>('13'!C34+'13'!D34+'13'!E34)/0.376+'26'!$C34</f>
        <v>15086.276963070157</v>
      </c>
      <c r="D34" s="767">
        <f>('13'!F34)/0.376+'26'!$D34</f>
        <v>30952.922181705275</v>
      </c>
      <c r="E34" s="799">
        <f>('13'!G34+'13'!H34)/0.376+'26'!$E34-0.01</f>
        <v>16971.841890445077</v>
      </c>
      <c r="F34" s="767">
        <f>('13'!I34)/0.376+'26'!$F34-0.05</f>
        <v>4423.2413207309883</v>
      </c>
      <c r="G34" s="803">
        <f>('13'!J34)/0.376+'26'!$G34</f>
        <v>67434.176476811423</v>
      </c>
      <c r="H34" s="787">
        <f>('13'!K34)/0.376+'26'!$M34-0.02</f>
        <v>133318.5415740821</v>
      </c>
      <c r="I34" s="804">
        <f>('13'!L34)/0.376+'26'!$N34</f>
        <v>200752.7380508935</v>
      </c>
      <c r="J34" s="800">
        <f>('14'!C34+'14'!D34)/0.376+'27'!$C34</f>
        <v>8884.9431741392254</v>
      </c>
      <c r="K34" s="788">
        <f>('14'!E34)/0.376+'27'!$D34-0.03</f>
        <v>30337.235943030053</v>
      </c>
      <c r="L34" s="799">
        <f>('14'!F34)/0.376+'27'!$E34</f>
        <v>6252.8057029836682</v>
      </c>
      <c r="M34" s="796">
        <f>('14'!G34+'14'!H34)/0.376+'27'!$F34</f>
        <v>15373.902042453285</v>
      </c>
      <c r="N34" s="808">
        <f>('14'!I34)/0.376+'27'!$G34-0.15</f>
        <v>60848.842957010442</v>
      </c>
      <c r="O34" s="808">
        <f>('14'!J34)/0.376+'27'!$M34</f>
        <v>139903.93431124074</v>
      </c>
      <c r="P34" s="335">
        <f t="shared" ref="P34" si="34">G34-C34-D34-E34-F34</f>
        <v>-0.10587914007646759</v>
      </c>
      <c r="Q34" s="950">
        <f t="shared" ref="Q34" si="35">N34-J34-K34-L34-M34</f>
        <v>-4.3905595788601204E-2</v>
      </c>
      <c r="R34" s="950">
        <f t="shared" ref="R34" si="36">I34-G34-H34</f>
        <v>1.9999999960418791E-2</v>
      </c>
      <c r="S34" s="950">
        <f t="shared" ref="S34" si="37">I34-N34-O34</f>
        <v>-3.921735766925849E-2</v>
      </c>
      <c r="T34" s="381"/>
      <c r="U34" s="381"/>
      <c r="V34" s="381"/>
      <c r="W34" s="381"/>
    </row>
    <row r="35" spans="1:23" s="327" customFormat="1" ht="14.25" customHeight="1">
      <c r="A35" s="432"/>
      <c r="B35" s="553" t="s">
        <v>403</v>
      </c>
      <c r="C35" s="767">
        <f>('13'!C35+'13'!D35+'13'!E35)/0.376+'26'!$C35</f>
        <v>14892.442832811488</v>
      </c>
      <c r="D35" s="767">
        <f>('13'!F35)/0.376+'26'!$D35</f>
        <v>30639.829276347049</v>
      </c>
      <c r="E35" s="799">
        <f>('13'!G35+'13'!H35)/0.376+'26'!$E35</f>
        <v>16944.88487189182</v>
      </c>
      <c r="F35" s="767">
        <f>('13'!I35)/0.376+'26'!$F35</f>
        <v>5171.6060762198977</v>
      </c>
      <c r="G35" s="803">
        <f>('13'!J35)/0.376+'26'!$G35+0.1</f>
        <v>67648.680826248456</v>
      </c>
      <c r="H35" s="787">
        <f>('13'!K35)/0.376+'26'!$M35</f>
        <v>132967.83762475941</v>
      </c>
      <c r="I35" s="804">
        <f>('13'!L35)/0.376+'26'!$N35</f>
        <v>200616.45052525325</v>
      </c>
      <c r="J35" s="800">
        <f>('14'!C35+'14'!D35)/0.376+'27'!$C35</f>
        <v>8701.5805163613695</v>
      </c>
      <c r="K35" s="788">
        <f>('14'!E35)/0.376+'27'!$D35</f>
        <v>30749.707275403318</v>
      </c>
      <c r="L35" s="799">
        <f>('14'!F35)/0.376+'27'!$E35-0.02</f>
        <v>6267.344651162286</v>
      </c>
      <c r="M35" s="796">
        <f>('14'!G35+'14'!H35)/0.376+'27'!$F35</f>
        <v>15459.535397918142</v>
      </c>
      <c r="N35" s="808">
        <f>('14'!I35)/0.376+'27'!$G35-0.03</f>
        <v>61178.141466654786</v>
      </c>
      <c r="O35" s="808">
        <f>('14'!J35)/0.376+'27'!$M35+0.01</f>
        <v>139438.3561255199</v>
      </c>
      <c r="P35" s="335">
        <f t="shared" ref="P35" si="38">G35-C35-D35-E35-F35</f>
        <v>-8.2231021799088921E-2</v>
      </c>
      <c r="Q35" s="950">
        <f t="shared" ref="Q35" si="39">N35-J35-K35-L35-M35</f>
        <v>-2.6374190329079283E-2</v>
      </c>
      <c r="R35" s="950">
        <f t="shared" ref="R35" si="40">I35-G35-H35</f>
        <v>-6.7925754614407197E-2</v>
      </c>
      <c r="S35" s="950">
        <f t="shared" ref="S35" si="41">I35-N35-O35</f>
        <v>-4.7066921426448971E-2</v>
      </c>
      <c r="T35" s="381"/>
      <c r="U35" s="381"/>
      <c r="V35" s="381"/>
      <c r="W35" s="381"/>
    </row>
    <row r="36" spans="1:23" s="327" customFormat="1" ht="14.25" customHeight="1">
      <c r="A36" s="432"/>
      <c r="B36" s="553" t="s">
        <v>404</v>
      </c>
      <c r="C36" s="767">
        <f>('13'!C36+'13'!D36+'13'!E36)/0.376+'26'!$C36</f>
        <v>15205.332066626795</v>
      </c>
      <c r="D36" s="767">
        <f>('13'!F36)/0.376+'26'!$D36-0.05</f>
        <v>30798.026299390905</v>
      </c>
      <c r="E36" s="799">
        <f>('13'!G36+'13'!H36)/0.376+'26'!$E36</f>
        <v>17413.681896666065</v>
      </c>
      <c r="F36" s="767">
        <f>('13'!I36)/0.376+'26'!$F36</f>
        <v>5114.7766516914344</v>
      </c>
      <c r="G36" s="803">
        <f>('13'!J36)/0.376+'26'!$G36</f>
        <v>68531.768206999433</v>
      </c>
      <c r="H36" s="787">
        <f>('13'!K36)/0.376+'26'!$M36-0.05</f>
        <v>133643.53657900149</v>
      </c>
      <c r="I36" s="804">
        <f>('13'!L36)/0.376+'26'!$N36-0.06</f>
        <v>202175.34478600096</v>
      </c>
      <c r="J36" s="800">
        <f>('14'!C36+'14'!D36)/0.376+'27'!$C36</f>
        <v>9972.6144133439448</v>
      </c>
      <c r="K36" s="788">
        <f>('14'!E36)/0.376+'27'!$D36</f>
        <v>30928.717657559668</v>
      </c>
      <c r="L36" s="799">
        <f>('14'!F36)/0.376+'27'!$E36</f>
        <v>6198.2290517342135</v>
      </c>
      <c r="M36" s="796">
        <f>('14'!G36+'14'!H36)/0.376+'27'!$F36</f>
        <v>15339.031071764606</v>
      </c>
      <c r="N36" s="808">
        <f>('14'!I36)/0.376+'27'!$G36</f>
        <v>62438.541340679018</v>
      </c>
      <c r="O36" s="808">
        <f>('14'!J36)/0.376+'27'!$M36-0.05</f>
        <v>139736.84233888413</v>
      </c>
      <c r="P36" s="335">
        <f t="shared" ref="P36" si="42">G36-C36-D36-E36-F36</f>
        <v>-4.8707375768572092E-2</v>
      </c>
      <c r="Q36" s="950">
        <f t="shared" ref="Q36" si="43">N36-J36-K36-L36-M36</f>
        <v>-5.0853723414547858E-2</v>
      </c>
      <c r="R36" s="950">
        <f t="shared" ref="R36" si="44">I36-G36-H36</f>
        <v>4.0000000037252903E-2</v>
      </c>
      <c r="S36" s="950">
        <f t="shared" ref="S36" si="45">I36-N36-O36</f>
        <v>-3.8893562188604847E-2</v>
      </c>
      <c r="T36" s="381"/>
      <c r="U36" s="381"/>
      <c r="V36" s="381"/>
      <c r="W36" s="381"/>
    </row>
    <row r="37" spans="1:23" s="327" customFormat="1" ht="14.25" customHeight="1">
      <c r="A37" s="432"/>
      <c r="B37" s="553" t="s">
        <v>405</v>
      </c>
      <c r="C37" s="767">
        <f>('13'!C37+'13'!D37+'13'!E37)/0.376+'26'!$C37</f>
        <v>14729.998914019516</v>
      </c>
      <c r="D37" s="767">
        <f>('13'!F37)/0.376+'26'!$D37</f>
        <v>30828.649389079263</v>
      </c>
      <c r="E37" s="799">
        <f>('13'!G37+'13'!H37)/0.376+'26'!$E37</f>
        <v>17576.130877376007</v>
      </c>
      <c r="F37" s="767">
        <f>('13'!I37)/0.376+'26'!$F37</f>
        <v>5037.5999564507856</v>
      </c>
      <c r="G37" s="803">
        <f>('13'!J37)/0.376+'26'!$G37</f>
        <v>68172.28512477137</v>
      </c>
      <c r="H37" s="787">
        <f>('13'!K37)/0.376+'26'!$M37</f>
        <v>135539.17994576221</v>
      </c>
      <c r="I37" s="804">
        <f>('13'!L37)/0.376+'26'!$N37</f>
        <v>203711.48507053353</v>
      </c>
      <c r="J37" s="800">
        <f>('14'!C37+'14'!D37)/0.376+'27'!$C37</f>
        <v>8693.4393906225778</v>
      </c>
      <c r="K37" s="788">
        <f>('14'!E37)/0.376+'27'!$D37</f>
        <v>31342.63137367247</v>
      </c>
      <c r="L37" s="799">
        <f>('14'!F37)/0.376+'27'!$E37</f>
        <v>6139.2808128936631</v>
      </c>
      <c r="M37" s="796">
        <f>('14'!G37+'14'!H37)/0.376+'27'!$F37-0.02</f>
        <v>15603.537799915652</v>
      </c>
      <c r="N37" s="808">
        <f>('14'!I37)/0.376+'27'!$G37-0.03</f>
        <v>61778.838643061819</v>
      </c>
      <c r="O37" s="808">
        <f>('14'!J37)/0.376+'27'!$M37-0.1</f>
        <v>141932.71049325794</v>
      </c>
      <c r="P37" s="335">
        <f t="shared" ref="P37" si="46">G37-C37-D37-E37-F37</f>
        <v>-9.4012154202573583E-2</v>
      </c>
      <c r="Q37" s="950">
        <f t="shared" ref="Q37" si="47">N37-J37-K37-L37-M37</f>
        <v>-5.0734042546537239E-2</v>
      </c>
      <c r="R37" s="950">
        <f t="shared" ref="R37" si="48">I37-G37-H37</f>
        <v>1.9999999960418791E-2</v>
      </c>
      <c r="S37" s="950">
        <f t="shared" ref="S37" si="49">I37-N37-O37</f>
        <v>-6.4065786224091426E-2</v>
      </c>
      <c r="T37" s="381"/>
      <c r="U37" s="381"/>
      <c r="V37" s="381"/>
      <c r="W37" s="381"/>
    </row>
    <row r="38" spans="1:23" s="327" customFormat="1" ht="14.25" customHeight="1">
      <c r="A38" s="432"/>
      <c r="B38" s="553" t="s">
        <v>406</v>
      </c>
      <c r="C38" s="767">
        <f>('13'!C38+'13'!D38+'13'!E38)/0.376+'26'!$C38+0.05</f>
        <v>14580.267240260901</v>
      </c>
      <c r="D38" s="767">
        <f>('13'!F38)/0.376+'26'!$D38</f>
        <v>30889.110988741118</v>
      </c>
      <c r="E38" s="799">
        <f>('13'!G38+'13'!H38)/0.376+'26'!$E38</f>
        <v>17456.311437863333</v>
      </c>
      <c r="F38" s="767">
        <f>('13'!I38)/0.376+'26'!$F38</f>
        <v>5125.1761232905719</v>
      </c>
      <c r="G38" s="803">
        <f>('13'!J38)/0.376+'26'!$G38</f>
        <v>68050.860334927158</v>
      </c>
      <c r="H38" s="787">
        <f>('13'!K38)/0.376+'26'!$M38-0.1</f>
        <v>137487.33350999074</v>
      </c>
      <c r="I38" s="804">
        <f>('13'!L38)/0.376+'26'!$N38-0.1</f>
        <v>205538.21384491789</v>
      </c>
      <c r="J38" s="800">
        <f>('14'!C38+'14'!D38)/0.376+'27'!$C38</f>
        <v>8428.2965593897716</v>
      </c>
      <c r="K38" s="788">
        <f>('14'!E38)/0.376+'27'!$D38</f>
        <v>31274.653615887499</v>
      </c>
      <c r="L38" s="799">
        <f>('14'!F38)/0.376+'27'!$E38</f>
        <v>6143.1685321092782</v>
      </c>
      <c r="M38" s="796">
        <f>('14'!G38+'14'!H38)/0.376+'27'!$F38</f>
        <v>15759.587567755414</v>
      </c>
      <c r="N38" s="808">
        <f>('14'!I38)/0.376+'27'!$G38+0.02</f>
        <v>61605.756079501385</v>
      </c>
      <c r="O38" s="808">
        <f>('14'!J38)/0.376+'27'!$M38+0.2</f>
        <v>143932.40046298553</v>
      </c>
      <c r="P38" s="335">
        <f t="shared" ref="P38" si="50">G38-C38-D38-E38-F38</f>
        <v>-5.45522876745963E-3</v>
      </c>
      <c r="Q38" s="950">
        <f t="shared" ref="Q38" si="51">N38-J38-K38-L38-M38</f>
        <v>4.9804359427071176E-2</v>
      </c>
      <c r="R38" s="950">
        <f t="shared" ref="R38" si="52">I38-G38-H38</f>
        <v>1.9999999989522621E-2</v>
      </c>
      <c r="S38" s="950">
        <f t="shared" ref="S38" si="53">I38-N38-O38</f>
        <v>5.7302430970594287E-2</v>
      </c>
      <c r="T38" s="381"/>
      <c r="U38" s="381"/>
      <c r="V38" s="381"/>
      <c r="W38" s="381"/>
    </row>
    <row r="39" spans="1:23" s="327" customFormat="1" ht="14.25" customHeight="1">
      <c r="A39" s="432"/>
      <c r="B39" s="553" t="s">
        <v>407</v>
      </c>
      <c r="C39" s="767">
        <f>('13'!C39+'13'!D39+'13'!E39)/0.376+'26'!$C39</f>
        <v>15457.608671876529</v>
      </c>
      <c r="D39" s="767">
        <f>('13'!F39)/0.376+'26'!$D39</f>
        <v>30750.642866545204</v>
      </c>
      <c r="E39" s="799">
        <f>('13'!G39+'13'!H39)/0.376+'26'!$E39</f>
        <v>17357.256737510259</v>
      </c>
      <c r="F39" s="767">
        <f>('13'!I39)/0.376+'26'!$F39</f>
        <v>4949.9845587032196</v>
      </c>
      <c r="G39" s="803">
        <f>('13'!J39)/0.376+'26'!$G39</f>
        <v>68515.450056265778</v>
      </c>
      <c r="H39" s="787">
        <f>('13'!K39)/0.376+'26'!$M39</f>
        <v>136391.29871570531</v>
      </c>
      <c r="I39" s="804">
        <f>('13'!L39)/0.376+'26'!$N39</f>
        <v>204906.77877197106</v>
      </c>
      <c r="J39" s="800">
        <f>('14'!C39+'14'!D39)/0.376+'27'!$C39</f>
        <v>9232.5869365932631</v>
      </c>
      <c r="K39" s="788">
        <f>('14'!E39)/0.376+'27'!$D39</f>
        <v>31529.135210692151</v>
      </c>
      <c r="L39" s="799">
        <f>('14'!F39)/0.376+'27'!$E39</f>
        <v>6046.6652735764028</v>
      </c>
      <c r="M39" s="796">
        <f>('14'!G39+'14'!H39)/0.376+'27'!$F39</f>
        <v>15501.575138992888</v>
      </c>
      <c r="N39" s="808">
        <f>('14'!I39)/0.376+'27'!$G39</f>
        <v>62310.018441341774</v>
      </c>
      <c r="O39" s="808">
        <f>('14'!J39)/0.376+'27'!$M39</f>
        <v>142596.79664643575</v>
      </c>
      <c r="P39" s="335">
        <f t="shared" ref="P39" si="54">G39-C39-D39-E39-F39</f>
        <v>-4.2778369434017804E-2</v>
      </c>
      <c r="Q39" s="950">
        <f t="shared" ref="Q39" si="55">N39-J39-K39-L39-M39</f>
        <v>5.5881487071019365E-2</v>
      </c>
      <c r="R39" s="950">
        <f t="shared" ref="R39" si="56">I39-G39-H39</f>
        <v>2.9999999969732016E-2</v>
      </c>
      <c r="S39" s="950">
        <f t="shared" ref="S39" si="57">I39-N39-O39</f>
        <v>-3.631580644287169E-2</v>
      </c>
      <c r="T39" s="381"/>
      <c r="U39" s="381"/>
      <c r="V39" s="381"/>
      <c r="W39" s="381"/>
    </row>
    <row r="40" spans="1:23" s="327" customFormat="1" ht="20.25" customHeight="1">
      <c r="A40" s="432">
        <v>2020</v>
      </c>
      <c r="B40" s="553" t="s">
        <v>408</v>
      </c>
      <c r="C40" s="767">
        <f>('13'!C40+'13'!D40+'13'!E40)/0.376+'26'!$C40+0.03</f>
        <v>17005.464939996888</v>
      </c>
      <c r="D40" s="767">
        <f>('13'!F40)/0.376+'26'!$D40</f>
        <v>30843.012380128275</v>
      </c>
      <c r="E40" s="799">
        <f>('13'!G40+'13'!H40)/0.376+'26'!$E40</f>
        <v>17471.463455132125</v>
      </c>
      <c r="F40" s="767">
        <f>('13'!I40)/0.376+'26'!$F40</f>
        <v>5139.4249646775525</v>
      </c>
      <c r="G40" s="803">
        <f>('13'!J40)/0.376+'26'!$G40+0.01</f>
        <v>70459.35884894889</v>
      </c>
      <c r="H40" s="787">
        <f>('13'!K40)/0.376+'26'!$M40+0.02</f>
        <v>134725.56344141788</v>
      </c>
      <c r="I40" s="804">
        <f>('13'!L40)/0.376+'26'!$N40+0.02</f>
        <v>205184.95507760081</v>
      </c>
      <c r="J40" s="800">
        <f>('14'!C40+'14'!D40)/0.376+'27'!$C40</f>
        <v>10907.557569992156</v>
      </c>
      <c r="K40" s="788">
        <f>('14'!E40)/0.376+'27'!$D40</f>
        <v>32084.994798445605</v>
      </c>
      <c r="L40" s="799">
        <f>('14'!F40)/0.376+'27'!$E40</f>
        <v>6361.5182116255537</v>
      </c>
      <c r="M40" s="796">
        <f>('14'!G40+'14'!H40)/0.376+'27'!$F40</f>
        <v>15855.733209134223</v>
      </c>
      <c r="N40" s="808">
        <f>('14'!I40)/0.376+'27'!$G40</f>
        <v>65209.786486006044</v>
      </c>
      <c r="O40" s="808">
        <f>('14'!J40)/0.376+'27'!$M40</f>
        <v>139975.17912272667</v>
      </c>
      <c r="P40" s="335">
        <f t="shared" ref="P40" si="58">G40-C40-D40-E40-F40</f>
        <v>-6.8909859537598095E-3</v>
      </c>
      <c r="Q40" s="950">
        <f t="shared" ref="Q40" si="59">N40-J40-K40-L40-M40</f>
        <v>-1.7303191491009784E-2</v>
      </c>
      <c r="R40" s="950">
        <f t="shared" ref="R40" si="60">I40-G40-H40</f>
        <v>3.2787234056740999E-2</v>
      </c>
      <c r="S40" s="950">
        <f t="shared" ref="S40" si="61">I40-N40-O40</f>
        <v>-1.0531131905736402E-2</v>
      </c>
      <c r="T40" s="381"/>
      <c r="U40" s="381"/>
      <c r="V40" s="381"/>
      <c r="W40" s="381"/>
    </row>
    <row r="41" spans="1:23" s="327" customFormat="1" ht="14.25" customHeight="1">
      <c r="A41" s="1085"/>
      <c r="B41" s="821" t="s">
        <v>409</v>
      </c>
      <c r="C41" s="767">
        <f>('13'!C41+'13'!D41+'13'!E41)/0.376+'26'!$C41</f>
        <v>16567.029068947817</v>
      </c>
      <c r="D41" s="767">
        <f>('13'!F41)/0.376+'26'!$D41</f>
        <v>30940.466554053612</v>
      </c>
      <c r="E41" s="799">
        <f>('13'!G41+'13'!H41)/0.376+'26'!$E41</f>
        <v>17993.652119131049</v>
      </c>
      <c r="F41" s="767">
        <f>('13'!I41)/0.376+'26'!$F41-0.01</f>
        <v>5435.6427715109039</v>
      </c>
      <c r="G41" s="803">
        <f>('13'!J41)/0.376+'26'!$G41</f>
        <v>70936.795103089709</v>
      </c>
      <c r="H41" s="787">
        <f>('13'!K41)/0.376+'26'!$M41</f>
        <v>137219.02606403775</v>
      </c>
      <c r="I41" s="804">
        <f>('13'!L41)/0.376+'26'!$N41-0.1</f>
        <v>208155.82095436149</v>
      </c>
      <c r="J41" s="800">
        <f>('14'!C41+'14'!D41)/0.376+'27'!$C41-0.03</f>
        <v>10369.343905192187</v>
      </c>
      <c r="K41" s="788">
        <f>('14'!E41)/0.376+'27'!$D41-0.03</f>
        <v>31951.743346961866</v>
      </c>
      <c r="L41" s="799">
        <f>('14'!F41)/0.376+'27'!$E41</f>
        <v>5947.9977036532564</v>
      </c>
      <c r="M41" s="796">
        <f>('14'!G41+'14'!H41)/0.376+'27'!$F41-0.06</f>
        <v>15979.143300639713</v>
      </c>
      <c r="N41" s="808">
        <f>('14'!I41)/0.376+'27'!$G41</f>
        <v>64248.115504041758</v>
      </c>
      <c r="O41" s="808">
        <f>('14'!J41)/0.376+'27'!$M41</f>
        <v>143907.68756921322</v>
      </c>
      <c r="P41" s="335">
        <f t="shared" ref="P41" si="62">G41-C41-D41-E41-F41</f>
        <v>4.5894463310105493E-3</v>
      </c>
      <c r="Q41" s="950">
        <f t="shared" ref="Q41" si="63">N41-J41-K41-L41-M41</f>
        <v>-0.11275240526629204</v>
      </c>
      <c r="R41" s="950">
        <f t="shared" ref="R41" si="64">I41-G41-H41</f>
        <v>-2.1276596817187965E-4</v>
      </c>
      <c r="S41" s="950">
        <f t="shared" ref="S41" si="65">I41-N41-O41</f>
        <v>1.7881106527056545E-2</v>
      </c>
      <c r="T41" s="381"/>
      <c r="U41" s="381"/>
      <c r="V41" s="381"/>
      <c r="W41" s="381"/>
    </row>
    <row r="42" spans="1:23" s="327" customFormat="1" ht="14.25" customHeight="1">
      <c r="A42" s="1085"/>
      <c r="B42" s="821" t="s">
        <v>398</v>
      </c>
      <c r="C42" s="767">
        <f>('13'!C42+'13'!D42+'13'!E42)/0.376+'26'!$C42</f>
        <v>16419.204381673186</v>
      </c>
      <c r="D42" s="767">
        <f>('13'!F42)/0.376+'26'!$D42</f>
        <v>31801.869914117491</v>
      </c>
      <c r="E42" s="799">
        <f>('13'!G42+'13'!H42)/0.376+'26'!$E42</f>
        <v>18212.004941789623</v>
      </c>
      <c r="F42" s="767">
        <f>('13'!I42)/0.376+'26'!$F42+0.05</f>
        <v>5886.8701294849279</v>
      </c>
      <c r="G42" s="803">
        <f>('13'!J42)/0.376+'26'!$G42</f>
        <v>72320.012826930324</v>
      </c>
      <c r="H42" s="787">
        <f>('13'!K42)/0.376+'26'!$M42</f>
        <v>138509.71698819226</v>
      </c>
      <c r="I42" s="804">
        <f>('13'!L42)/0.376+'26'!$N42</f>
        <v>210829.67280872323</v>
      </c>
      <c r="J42" s="800">
        <f>('14'!C42+'14'!D42)/0.376+'27'!$C42-0.03</f>
        <v>10812.040292918702</v>
      </c>
      <c r="K42" s="788">
        <f>('14'!E42)/0.376+'27'!$D42</f>
        <v>32305.842278896576</v>
      </c>
      <c r="L42" s="799">
        <f>('14'!F42)/0.376+'27'!$E42-0.05</f>
        <v>6174.7309272644834</v>
      </c>
      <c r="M42" s="796">
        <f>('14'!G42+'14'!H42)/0.376+'27'!$F42</f>
        <v>15290.325837793174</v>
      </c>
      <c r="N42" s="808">
        <f>('14'!I42)/0.376+'27'!$G42-0.1</f>
        <v>64582.842239636615</v>
      </c>
      <c r="O42" s="808">
        <f>('14'!J42)/0.376+'27'!$M42</f>
        <v>146246.87674314145</v>
      </c>
      <c r="P42" s="335">
        <f t="shared" ref="P42" si="66">G42-C42-D42-E42-F42</f>
        <v>6.3459865093136614E-2</v>
      </c>
      <c r="Q42" s="950">
        <f t="shared" ref="Q42" si="67">N42-J42-K42-L42-M42</f>
        <v>-9.7097236322952085E-2</v>
      </c>
      <c r="R42" s="950">
        <f t="shared" ref="R42" si="68">I42-G42-H42</f>
        <v>-5.7006399350939319E-2</v>
      </c>
      <c r="S42" s="950">
        <f t="shared" ref="S42" si="69">I42-N42-O42</f>
        <v>-4.6174054819857702E-2</v>
      </c>
      <c r="T42" s="381"/>
      <c r="U42" s="381"/>
      <c r="V42" s="381"/>
      <c r="W42" s="381"/>
    </row>
    <row r="43" spans="1:23" s="327" customFormat="1" ht="14.25" customHeight="1">
      <c r="A43" s="1085"/>
      <c r="B43" s="821" t="s">
        <v>399</v>
      </c>
      <c r="C43" s="767">
        <f>('13'!C43+'13'!D43+'13'!E43)/0.376+'26'!$C43</f>
        <v>15651.19570404367</v>
      </c>
      <c r="D43" s="767">
        <f>('13'!F43)/0.376+'26'!$D43</f>
        <v>32164.26096399481</v>
      </c>
      <c r="E43" s="799">
        <f>('13'!G43+'13'!H43)/0.376+'26'!$E43</f>
        <v>17862.043311992256</v>
      </c>
      <c r="F43" s="767">
        <f>('13'!I43)/0.376+'26'!$F43</f>
        <v>5698.2788357393056</v>
      </c>
      <c r="G43" s="803">
        <f>('13'!J43)/0.376+'26'!$G43+0.1</f>
        <v>71375.792429668683</v>
      </c>
      <c r="H43" s="787">
        <f>('13'!K43)/0.376+'26'!$M43-0.02</f>
        <v>137963.54068676158</v>
      </c>
      <c r="I43" s="804">
        <f>('13'!L43)/0.376+'26'!$N43</f>
        <v>209339.33290366427</v>
      </c>
      <c r="J43" s="800">
        <f>('14'!C43+'14'!D43)/0.376+'27'!$C43+0.02</f>
        <v>10473.06104623041</v>
      </c>
      <c r="K43" s="788">
        <f>('14'!E43)/0.376+'27'!$D43</f>
        <v>32855.623824381357</v>
      </c>
      <c r="L43" s="799">
        <f>('14'!F43)/0.376+'27'!$E43</f>
        <v>5719.8781513003914</v>
      </c>
      <c r="M43" s="796">
        <f>('14'!G43+'14'!H43)/0.376+'27'!$F43</f>
        <v>15012.808048013785</v>
      </c>
      <c r="N43" s="808">
        <f>('14'!I43)/0.376+'27'!$G43</f>
        <v>64061.354646851323</v>
      </c>
      <c r="O43" s="808">
        <f>('14'!J43)/0.376+'27'!$M43-0.1</f>
        <v>145277.91341563172</v>
      </c>
      <c r="P43" s="335">
        <f t="shared" ref="P43" si="70">G43-C43-D43-E43-F43</f>
        <v>1.3613898643598077E-2</v>
      </c>
      <c r="Q43" s="950">
        <f t="shared" ref="Q43" si="71">N43-J43-K43-L43-M43</f>
        <v>-1.6423074621343403E-2</v>
      </c>
      <c r="R43" s="950">
        <f t="shared" ref="R43" si="72">I43-G43-H43</f>
        <v>-2.1276599727571011E-4</v>
      </c>
      <c r="S43" s="950">
        <f t="shared" ref="S43" si="73">I43-N43-O43</f>
        <v>6.4841181243536994E-2</v>
      </c>
      <c r="T43" s="381"/>
      <c r="U43" s="381"/>
      <c r="V43" s="381"/>
      <c r="W43" s="381"/>
    </row>
    <row r="44" spans="1:23" s="5" customFormat="1" ht="20.25" customHeight="1">
      <c r="A44" s="231" t="s">
        <v>792</v>
      </c>
      <c r="B44" s="1390"/>
      <c r="C44" s="233"/>
      <c r="D44" s="233"/>
      <c r="E44" s="233"/>
      <c r="F44" s="233"/>
      <c r="G44" s="233"/>
      <c r="H44" s="233"/>
      <c r="I44" s="1391"/>
      <c r="J44" s="1391"/>
      <c r="K44" s="231"/>
      <c r="L44" s="231"/>
      <c r="M44" s="231"/>
      <c r="N44" s="231"/>
      <c r="O44" s="253" t="s">
        <v>793</v>
      </c>
      <c r="P44" s="2"/>
      <c r="Q44" s="2"/>
      <c r="R44" s="2"/>
      <c r="S44" s="2"/>
    </row>
    <row r="45" spans="1:23" s="5" customFormat="1" ht="13.7" customHeight="1">
      <c r="A45" s="186" t="s">
        <v>794</v>
      </c>
      <c r="B45" s="1392"/>
      <c r="H45" s="6"/>
      <c r="I45" s="6"/>
      <c r="O45" s="255" t="s">
        <v>795</v>
      </c>
      <c r="P45" s="2"/>
      <c r="Q45" s="2"/>
      <c r="R45" s="2"/>
      <c r="S45" s="2"/>
    </row>
    <row r="46" spans="1:23">
      <c r="L46" s="29"/>
      <c r="N46" s="29"/>
      <c r="O46" s="29"/>
    </row>
    <row r="47" spans="1:23" s="43" customFormat="1" ht="14.25">
      <c r="A47" s="339" t="s">
        <v>796</v>
      </c>
      <c r="B47" s="339"/>
      <c r="C47" s="339"/>
      <c r="D47" s="339"/>
      <c r="E47" s="339"/>
      <c r="F47" s="339"/>
      <c r="G47" s="339"/>
      <c r="H47" s="339"/>
      <c r="I47" s="339"/>
      <c r="J47" s="339"/>
      <c r="K47" s="339"/>
      <c r="L47" s="339"/>
      <c r="M47" s="339"/>
      <c r="N47" s="339"/>
      <c r="O47" s="339"/>
      <c r="P47" s="1854"/>
      <c r="Q47" s="1854"/>
      <c r="R47" s="1854"/>
      <c r="S47" s="1854"/>
    </row>
    <row r="48" spans="1:23">
      <c r="A48" s="157"/>
      <c r="B48" s="1337"/>
      <c r="C48" s="1855"/>
      <c r="D48" s="1855"/>
      <c r="E48" s="1855"/>
      <c r="F48" s="1855"/>
      <c r="G48" s="1855"/>
      <c r="H48" s="1855"/>
      <c r="I48" s="1855"/>
      <c r="J48" s="1855"/>
      <c r="K48" s="1855"/>
      <c r="L48" s="1855"/>
      <c r="M48" s="1855"/>
      <c r="N48" s="1855"/>
      <c r="O48" s="1855"/>
    </row>
    <row r="49" spans="3:15">
      <c r="C49" s="1855"/>
      <c r="D49" s="1855"/>
      <c r="E49" s="1855"/>
      <c r="F49" s="1855"/>
      <c r="G49" s="1855"/>
      <c r="H49" s="1855"/>
      <c r="I49" s="1855"/>
      <c r="J49" s="1855"/>
      <c r="K49" s="1855"/>
      <c r="L49" s="1855"/>
      <c r="M49" s="1855"/>
      <c r="N49" s="1855"/>
      <c r="O49" s="1855"/>
    </row>
  </sheetData>
  <mergeCells count="2">
    <mergeCell ref="A10:B12"/>
    <mergeCell ref="A7:B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W52"/>
  <sheetViews>
    <sheetView zoomScale="90" zoomScaleNormal="90" workbookViewId="0">
      <pane ySplit="12" topLeftCell="A40" activePane="bottomLeft" state="frozen"/>
      <selection activeCell="A49" sqref="A1:XFD1048576"/>
      <selection pane="bottomLeft" activeCell="A49" sqref="A1:XFD1048576"/>
    </sheetView>
  </sheetViews>
  <sheetFormatPr defaultColWidth="7.85546875" defaultRowHeight="15"/>
  <cols>
    <col min="1" max="2" width="9.28515625" style="29" customWidth="1"/>
    <col min="3" max="3" width="11.140625" style="14" customWidth="1"/>
    <col min="4" max="4" width="13.7109375" style="14" customWidth="1"/>
    <col min="5" max="5" width="12.7109375" style="14" customWidth="1"/>
    <col min="6" max="6" width="14.7109375" style="14" customWidth="1"/>
    <col min="7" max="8" width="14.28515625" style="14" customWidth="1"/>
    <col min="9" max="9" width="12.85546875" style="14" customWidth="1"/>
    <col min="10" max="12" width="13.7109375" style="14" customWidth="1"/>
    <col min="13" max="13" width="17.7109375" style="14" customWidth="1"/>
    <col min="14" max="14" width="8.7109375" style="14" customWidth="1"/>
    <col min="15" max="16384" width="7.85546875" style="14"/>
  </cols>
  <sheetData>
    <row r="1" spans="1:15" ht="18">
      <c r="A1" s="18" t="s">
        <v>1624</v>
      </c>
      <c r="B1" s="13"/>
      <c r="C1" s="12"/>
      <c r="D1" s="12"/>
      <c r="E1" s="12"/>
      <c r="F1" s="12"/>
      <c r="G1" s="12"/>
      <c r="H1" s="12"/>
      <c r="I1" s="12"/>
      <c r="J1" s="12"/>
      <c r="K1" s="12"/>
      <c r="L1" s="12"/>
      <c r="M1" s="12"/>
    </row>
    <row r="2" spans="1:15" ht="18">
      <c r="A2" s="1732" t="s">
        <v>797</v>
      </c>
      <c r="B2" s="13"/>
      <c r="C2" s="12"/>
      <c r="D2" s="12"/>
      <c r="E2" s="12"/>
      <c r="F2" s="12"/>
      <c r="G2" s="12"/>
      <c r="H2" s="12"/>
      <c r="I2" s="12"/>
      <c r="J2" s="12"/>
      <c r="K2" s="12"/>
      <c r="L2" s="12"/>
      <c r="M2" s="12"/>
    </row>
    <row r="3" spans="1:15" ht="18">
      <c r="A3" s="18" t="s">
        <v>798</v>
      </c>
      <c r="B3" s="13"/>
      <c r="C3" s="12"/>
      <c r="D3" s="12"/>
      <c r="E3" s="12"/>
      <c r="F3" s="12"/>
      <c r="G3" s="12"/>
      <c r="H3" s="12"/>
      <c r="I3" s="12"/>
      <c r="J3" s="12"/>
      <c r="K3" s="12"/>
      <c r="L3" s="12"/>
      <c r="M3" s="12"/>
    </row>
    <row r="4" spans="1:15" ht="18">
      <c r="A4" s="1732" t="s">
        <v>357</v>
      </c>
      <c r="B4" s="13"/>
      <c r="C4" s="12"/>
      <c r="D4" s="12"/>
      <c r="E4" s="12"/>
      <c r="F4" s="12"/>
      <c r="G4" s="12"/>
      <c r="H4" s="12"/>
      <c r="I4" s="12"/>
      <c r="J4" s="12"/>
      <c r="K4" s="12"/>
      <c r="L4" s="12"/>
      <c r="M4" s="12"/>
    </row>
    <row r="5" spans="1:15" ht="18" customHeight="1">
      <c r="A5" s="18" t="s">
        <v>356</v>
      </c>
      <c r="B5" s="13"/>
      <c r="C5" s="12"/>
      <c r="D5" s="12"/>
      <c r="E5" s="12"/>
      <c r="F5" s="12"/>
      <c r="G5" s="12"/>
      <c r="H5" s="12"/>
      <c r="I5" s="12"/>
      <c r="J5" s="12"/>
      <c r="K5" s="12"/>
      <c r="L5" s="12"/>
      <c r="M5" s="12"/>
    </row>
    <row r="6" spans="1:15" ht="1.5" hidden="1" customHeight="1">
      <c r="A6" s="18"/>
      <c r="B6" s="13"/>
      <c r="C6" s="12"/>
      <c r="D6" s="12" t="s">
        <v>799</v>
      </c>
      <c r="E6" s="12"/>
      <c r="F6" s="12"/>
      <c r="G6" s="12"/>
      <c r="H6" s="12"/>
      <c r="I6" s="12"/>
      <c r="J6" s="12"/>
      <c r="K6" s="12"/>
      <c r="L6" s="12" t="s">
        <v>799</v>
      </c>
      <c r="M6" s="12"/>
    </row>
    <row r="7" spans="1:15">
      <c r="A7" s="9" t="s">
        <v>354</v>
      </c>
      <c r="B7" s="15"/>
      <c r="C7" s="16"/>
      <c r="D7" s="16"/>
      <c r="E7" s="16"/>
      <c r="F7" s="16"/>
      <c r="G7" s="16"/>
      <c r="H7" s="16"/>
      <c r="I7" s="16"/>
      <c r="J7" s="16"/>
      <c r="K7" s="16"/>
      <c r="L7" s="16"/>
      <c r="M7" s="24" t="s">
        <v>355</v>
      </c>
    </row>
    <row r="8" spans="1:15" s="44" customFormat="1" ht="18.600000000000001" customHeight="1">
      <c r="A8" s="59"/>
      <c r="B8" s="137"/>
      <c r="C8" s="320" t="s">
        <v>474</v>
      </c>
      <c r="D8" s="133"/>
      <c r="E8" s="133"/>
      <c r="F8" s="133"/>
      <c r="G8" s="133"/>
      <c r="H8" s="133"/>
      <c r="I8" s="143"/>
      <c r="J8" s="321" t="s">
        <v>472</v>
      </c>
      <c r="K8" s="134"/>
      <c r="L8" s="138"/>
      <c r="M8" s="78" t="s">
        <v>800</v>
      </c>
    </row>
    <row r="9" spans="1:15" s="44" customFormat="1" ht="15.75">
      <c r="A9" s="1804"/>
      <c r="B9" s="1778"/>
      <c r="C9" s="76"/>
      <c r="D9" s="86" t="s">
        <v>475</v>
      </c>
      <c r="E9" s="76"/>
      <c r="F9" s="86" t="s">
        <v>481</v>
      </c>
      <c r="G9" s="122" t="s">
        <v>376</v>
      </c>
      <c r="H9" s="124"/>
      <c r="I9" s="86"/>
      <c r="J9" s="76"/>
      <c r="K9" s="139" t="s">
        <v>357</v>
      </c>
      <c r="L9" s="250" t="s">
        <v>416</v>
      </c>
      <c r="M9" s="139" t="s">
        <v>801</v>
      </c>
    </row>
    <row r="10" spans="1:15" s="44" customFormat="1" ht="15.95" customHeight="1">
      <c r="A10" s="27" t="s">
        <v>364</v>
      </c>
      <c r="B10" s="80"/>
      <c r="C10" s="103" t="s">
        <v>802</v>
      </c>
      <c r="D10" s="86" t="s">
        <v>479</v>
      </c>
      <c r="E10" s="86" t="s">
        <v>418</v>
      </c>
      <c r="F10" s="291" t="s">
        <v>781</v>
      </c>
      <c r="G10" s="105" t="s">
        <v>803</v>
      </c>
      <c r="H10" s="80"/>
      <c r="I10" s="86" t="s">
        <v>782</v>
      </c>
      <c r="J10" s="139" t="s">
        <v>367</v>
      </c>
      <c r="K10" s="139" t="s">
        <v>360</v>
      </c>
      <c r="L10" s="250" t="s">
        <v>357</v>
      </c>
      <c r="M10" s="57" t="s">
        <v>804</v>
      </c>
    </row>
    <row r="11" spans="1:15" s="44" customFormat="1" ht="30.75" customHeight="1">
      <c r="A11" s="127" t="s">
        <v>372</v>
      </c>
      <c r="B11" s="66"/>
      <c r="C11" s="245" t="s">
        <v>805</v>
      </c>
      <c r="D11" s="2122" t="s">
        <v>351</v>
      </c>
      <c r="E11" s="115" t="s">
        <v>391</v>
      </c>
      <c r="F11" s="57" t="s">
        <v>806</v>
      </c>
      <c r="G11" s="244" t="s">
        <v>807</v>
      </c>
      <c r="H11" s="244" t="s">
        <v>808</v>
      </c>
      <c r="I11" s="243" t="s">
        <v>385</v>
      </c>
      <c r="J11" s="242" t="s">
        <v>378</v>
      </c>
      <c r="K11" s="57" t="s">
        <v>809</v>
      </c>
      <c r="L11" s="241" t="s">
        <v>810</v>
      </c>
      <c r="M11" s="57" t="s">
        <v>811</v>
      </c>
    </row>
    <row r="12" spans="1:15" s="44" customFormat="1" ht="15.75">
      <c r="A12" s="53"/>
      <c r="B12" s="72"/>
      <c r="C12" s="140"/>
      <c r="D12" s="2123"/>
      <c r="E12" s="58" t="s">
        <v>812</v>
      </c>
      <c r="F12" s="100" t="s">
        <v>813</v>
      </c>
      <c r="G12" s="58" t="s">
        <v>814</v>
      </c>
      <c r="H12" s="58" t="s">
        <v>815</v>
      </c>
      <c r="I12" s="58"/>
      <c r="J12" s="58"/>
      <c r="K12" s="141"/>
      <c r="L12" s="142"/>
      <c r="M12" s="100" t="s">
        <v>816</v>
      </c>
      <c r="N12" s="44" t="s">
        <v>817</v>
      </c>
      <c r="O12" s="44" t="s">
        <v>818</v>
      </c>
    </row>
    <row r="13" spans="1:15" s="327" customFormat="1" ht="20.25" customHeight="1">
      <c r="A13" s="432">
        <v>2010</v>
      </c>
      <c r="B13" s="433"/>
      <c r="C13" s="1805">
        <v>87.373716839230781</v>
      </c>
      <c r="D13" s="984">
        <v>1264.5709874534521</v>
      </c>
      <c r="E13" s="820">
        <v>2842.1881846544493</v>
      </c>
      <c r="F13" s="820">
        <v>6545.1482942286202</v>
      </c>
      <c r="G13" s="818">
        <v>261.50481086143998</v>
      </c>
      <c r="H13" s="1806">
        <v>1353.7006238423</v>
      </c>
      <c r="I13" s="819">
        <v>752.68016041154078</v>
      </c>
      <c r="J13" s="820">
        <v>13107.216778291029</v>
      </c>
      <c r="K13" s="1807">
        <v>11503.08447656389</v>
      </c>
      <c r="L13" s="822">
        <v>24610.301254854923</v>
      </c>
      <c r="M13" s="1066">
        <v>5610.9103890716915</v>
      </c>
      <c r="N13" s="1808">
        <f t="shared" ref="N13:N15" si="0">J13-C13-D13-E13-F13-G13-H13-I13</f>
        <v>4.999999999654392E-2</v>
      </c>
      <c r="O13" s="945">
        <f t="shared" ref="O13:O15" si="1">L13-J13-K13</f>
        <v>0</v>
      </c>
    </row>
    <row r="14" spans="1:15" s="435" customFormat="1" ht="14.25" customHeight="1">
      <c r="A14" s="380">
        <v>2011</v>
      </c>
      <c r="B14" s="434"/>
      <c r="C14" s="1809">
        <v>106.78943203971504</v>
      </c>
      <c r="D14" s="1810">
        <v>1005.4268526567408</v>
      </c>
      <c r="E14" s="1811">
        <v>2576.5083340464835</v>
      </c>
      <c r="F14" s="1811">
        <v>7525.5599388408973</v>
      </c>
      <c r="G14" s="1812">
        <v>225.42942378435998</v>
      </c>
      <c r="H14" s="1813">
        <v>1888.8257389559599</v>
      </c>
      <c r="I14" s="1814">
        <v>728.52612972509883</v>
      </c>
      <c r="J14" s="1811">
        <v>14057.017288049257</v>
      </c>
      <c r="K14" s="1815">
        <v>11278.165859759936</v>
      </c>
      <c r="L14" s="1816">
        <v>25335.213147809191</v>
      </c>
      <c r="M14" s="1817">
        <v>5989.7611007173728</v>
      </c>
      <c r="N14" s="1808">
        <f t="shared" si="0"/>
        <v>-4.8561999999719774E-2</v>
      </c>
      <c r="O14" s="945">
        <f t="shared" si="1"/>
        <v>2.9999999997016857E-2</v>
      </c>
    </row>
    <row r="15" spans="1:15" s="435" customFormat="1" ht="14.25" customHeight="1">
      <c r="A15" s="380">
        <v>2012</v>
      </c>
      <c r="B15" s="434"/>
      <c r="C15" s="1809">
        <v>101.05313700830682</v>
      </c>
      <c r="D15" s="1810">
        <v>1299.7519076954909</v>
      </c>
      <c r="E15" s="1811">
        <v>2677.2041366684225</v>
      </c>
      <c r="F15" s="1811">
        <v>7994.23251742104</v>
      </c>
      <c r="G15" s="1812">
        <v>198.00199529778999</v>
      </c>
      <c r="H15" s="1813">
        <v>2162.7923135630899</v>
      </c>
      <c r="I15" s="1814">
        <v>747.09869510124042</v>
      </c>
      <c r="J15" s="1811">
        <v>15180.187142755382</v>
      </c>
      <c r="K15" s="1815">
        <v>11783.434111504797</v>
      </c>
      <c r="L15" s="1816">
        <v>26963.621254260179</v>
      </c>
      <c r="M15" s="1817">
        <v>6801.7167794443631</v>
      </c>
      <c r="N15" s="1808">
        <f t="shared" si="0"/>
        <v>5.2440000001865883E-2</v>
      </c>
      <c r="O15" s="945">
        <f t="shared" si="1"/>
        <v>0</v>
      </c>
    </row>
    <row r="16" spans="1:15" s="435" customFormat="1" ht="14.25" customHeight="1">
      <c r="A16" s="380">
        <v>2013</v>
      </c>
      <c r="B16" s="434"/>
      <c r="C16" s="1809">
        <v>116.871074151</v>
      </c>
      <c r="D16" s="1810">
        <v>1268.4822365049999</v>
      </c>
      <c r="E16" s="1811">
        <v>1632.7456082046447</v>
      </c>
      <c r="F16" s="1811">
        <v>8519.2450403764451</v>
      </c>
      <c r="G16" s="1812">
        <v>174.79094846700002</v>
      </c>
      <c r="H16" s="1813">
        <v>3014.6830955874998</v>
      </c>
      <c r="I16" s="1814">
        <v>776.92353398097998</v>
      </c>
      <c r="J16" s="1811">
        <v>15503.74397127257</v>
      </c>
      <c r="K16" s="1815">
        <v>12814.172880285918</v>
      </c>
      <c r="L16" s="1816">
        <v>28317.91685155849</v>
      </c>
      <c r="M16" s="1817">
        <v>5679.1146237540006</v>
      </c>
      <c r="N16" s="1808">
        <v>2.4339999997664563E-3</v>
      </c>
      <c r="O16" s="945">
        <v>0</v>
      </c>
    </row>
    <row r="17" spans="1:23" s="435" customFormat="1" ht="14.25" customHeight="1">
      <c r="A17" s="380">
        <v>2014</v>
      </c>
      <c r="B17" s="434"/>
      <c r="C17" s="1809">
        <v>117.257006902</v>
      </c>
      <c r="D17" s="1810">
        <v>1575.8315755581277</v>
      </c>
      <c r="E17" s="1811">
        <v>1511.1679769156808</v>
      </c>
      <c r="F17" s="1811">
        <v>8019.2158201434704</v>
      </c>
      <c r="G17" s="1812">
        <v>185.07316912599998</v>
      </c>
      <c r="H17" s="1813">
        <v>3280.7113731230729</v>
      </c>
      <c r="I17" s="1814">
        <v>888.44825523234795</v>
      </c>
      <c r="J17" s="1811">
        <v>15577.705176901431</v>
      </c>
      <c r="K17" s="1815">
        <v>14505.515679656026</v>
      </c>
      <c r="L17" s="1816">
        <v>30083.220856557462</v>
      </c>
      <c r="M17" s="1817">
        <v>4991.6170460083003</v>
      </c>
      <c r="N17" s="1808">
        <v>-9.9270437203813344E-8</v>
      </c>
      <c r="O17" s="945">
        <v>0</v>
      </c>
    </row>
    <row r="18" spans="1:23" s="435" customFormat="1" ht="14.25" customHeight="1">
      <c r="A18" s="380">
        <v>2015</v>
      </c>
      <c r="B18" s="434"/>
      <c r="C18" s="1809">
        <v>124.93659186170002</v>
      </c>
      <c r="D18" s="1810">
        <v>1183.7338495305037</v>
      </c>
      <c r="E18" s="1811">
        <v>1767.8863280111586</v>
      </c>
      <c r="F18" s="1811">
        <v>8627.4141532148751</v>
      </c>
      <c r="G18" s="1812">
        <v>297.13861029499992</v>
      </c>
      <c r="H18" s="1813">
        <v>3604.7620695392507</v>
      </c>
      <c r="I18" s="1814">
        <v>917.76130067782003</v>
      </c>
      <c r="J18" s="1811">
        <v>16523.552903078973</v>
      </c>
      <c r="K18" s="1815">
        <v>14378.745316284207</v>
      </c>
      <c r="L18" s="1816">
        <v>30902.29821936318</v>
      </c>
      <c r="M18" s="1817">
        <v>3549.4861080687351</v>
      </c>
      <c r="N18" s="1808">
        <v>-8.0000051334423006E-2</v>
      </c>
      <c r="O18" s="945">
        <v>0</v>
      </c>
    </row>
    <row r="19" spans="1:23" s="435" customFormat="1" ht="14.25" customHeight="1">
      <c r="A19" s="380">
        <v>2016</v>
      </c>
      <c r="B19" s="434"/>
      <c r="C19" s="1809">
        <v>135.30073358308633</v>
      </c>
      <c r="D19" s="1810">
        <v>1018.7022749116126</v>
      </c>
      <c r="E19" s="1811">
        <v>2070.7252222487086</v>
      </c>
      <c r="F19" s="1811">
        <v>8755.5592465315076</v>
      </c>
      <c r="G19" s="1812">
        <v>293.39917654400006</v>
      </c>
      <c r="H19" s="1813">
        <v>4342.8140858987144</v>
      </c>
      <c r="I19" s="1814">
        <v>732.53085481721962</v>
      </c>
      <c r="J19" s="1811">
        <v>17349.011085939197</v>
      </c>
      <c r="K19" s="1815">
        <v>13864.540338904006</v>
      </c>
      <c r="L19" s="1816">
        <v>31213.541424843206</v>
      </c>
      <c r="M19" s="1817">
        <v>4043.1942213319253</v>
      </c>
      <c r="N19" s="1808">
        <v>-2.0508595655769568E-2</v>
      </c>
      <c r="O19" s="945">
        <v>-9.9999999965802999E-3</v>
      </c>
    </row>
    <row r="20" spans="1:23" s="435" customFormat="1" ht="14.25" customHeight="1">
      <c r="A20" s="380">
        <v>2017</v>
      </c>
      <c r="B20" s="434"/>
      <c r="C20" s="1809">
        <v>135.87010868949105</v>
      </c>
      <c r="D20" s="1810">
        <v>1130.2101811241891</v>
      </c>
      <c r="E20" s="1811">
        <v>1860.4555624995869</v>
      </c>
      <c r="F20" s="1811">
        <v>8970.1976701133171</v>
      </c>
      <c r="G20" s="1812">
        <v>333.19405482585466</v>
      </c>
      <c r="H20" s="1813">
        <v>4737.1702734140645</v>
      </c>
      <c r="I20" s="1814">
        <v>857.84656973846245</v>
      </c>
      <c r="J20" s="1811">
        <v>18024.964402942245</v>
      </c>
      <c r="K20" s="1815">
        <v>13364.043650535194</v>
      </c>
      <c r="L20" s="1816">
        <v>31388.988053477431</v>
      </c>
      <c r="M20" s="1817">
        <v>5461.3227363955975</v>
      </c>
      <c r="N20" s="1808">
        <v>1.9982537281293844E-2</v>
      </c>
      <c r="O20" s="945">
        <v>-2.0000000007712515E-2</v>
      </c>
    </row>
    <row r="21" spans="1:23" s="411" customFormat="1" ht="14.25" customHeight="1">
      <c r="A21" s="905">
        <v>2018</v>
      </c>
      <c r="B21" s="906"/>
      <c r="C21" s="1818">
        <f t="shared" ref="C21:M21" si="2">C25</f>
        <v>153.61401866671198</v>
      </c>
      <c r="D21" s="774">
        <f t="shared" si="2"/>
        <v>889.0274201716195</v>
      </c>
      <c r="E21" s="865">
        <f t="shared" si="2"/>
        <v>2070.5527012026528</v>
      </c>
      <c r="F21" s="865">
        <f t="shared" si="2"/>
        <v>9860.5224357719762</v>
      </c>
      <c r="G21" s="739">
        <f t="shared" si="2"/>
        <v>261.09804778127256</v>
      </c>
      <c r="H21" s="1819">
        <f t="shared" si="2"/>
        <v>4790.9151197145866</v>
      </c>
      <c r="I21" s="1820">
        <f t="shared" si="2"/>
        <v>913.60152774705796</v>
      </c>
      <c r="J21" s="865">
        <f t="shared" si="2"/>
        <v>18939.31694201149</v>
      </c>
      <c r="K21" s="1821">
        <f t="shared" si="2"/>
        <v>13629.708080063867</v>
      </c>
      <c r="L21" s="1822">
        <f t="shared" si="2"/>
        <v>32569.025022075359</v>
      </c>
      <c r="M21" s="1823">
        <f t="shared" si="2"/>
        <v>6068.6923156719404</v>
      </c>
      <c r="N21" s="1824">
        <f>J21-C21-D21-E21-F21-G21-H21-I21</f>
        <v>-1.4329044386727219E-2</v>
      </c>
      <c r="O21" s="945">
        <f>L21-J21-K21</f>
        <v>0</v>
      </c>
    </row>
    <row r="22" spans="1:23" s="411" customFormat="1" ht="14.25" customHeight="1">
      <c r="A22" s="1193">
        <v>2019</v>
      </c>
      <c r="B22" s="1483"/>
      <c r="C22" s="1825">
        <f t="shared" ref="C22:M22" si="3">C29</f>
        <v>152.01815108439322</v>
      </c>
      <c r="D22" s="1543">
        <f t="shared" si="3"/>
        <v>1443.5138628727032</v>
      </c>
      <c r="E22" s="1547">
        <f t="shared" si="3"/>
        <v>1956.5127468639735</v>
      </c>
      <c r="F22" s="1547">
        <f t="shared" si="3"/>
        <v>9966.7851993423283</v>
      </c>
      <c r="G22" s="1649">
        <f t="shared" si="3"/>
        <v>301.55684848336523</v>
      </c>
      <c r="H22" s="1826">
        <f t="shared" si="3"/>
        <v>5235.0001561828694</v>
      </c>
      <c r="I22" s="1827">
        <f t="shared" si="3"/>
        <v>891.202485273717</v>
      </c>
      <c r="J22" s="1547">
        <f t="shared" si="3"/>
        <v>19946.568477436442</v>
      </c>
      <c r="K22" s="1828">
        <f t="shared" si="3"/>
        <v>15423.23278930428</v>
      </c>
      <c r="L22" s="1829">
        <f t="shared" si="3"/>
        <v>35369.801266740717</v>
      </c>
      <c r="M22" s="1830">
        <f t="shared" si="3"/>
        <v>6799.8420027608672</v>
      </c>
      <c r="N22" s="1824">
        <f>J22-C22-D22-E22-F22-G22-H22-I22</f>
        <v>-2.0972666909301552E-2</v>
      </c>
      <c r="O22" s="945">
        <f>L22-J22-K22</f>
        <v>0</v>
      </c>
    </row>
    <row r="23" spans="1:23" s="411" customFormat="1" ht="20.25" customHeight="1">
      <c r="A23" s="905">
        <v>2018</v>
      </c>
      <c r="B23" s="906" t="s">
        <v>223</v>
      </c>
      <c r="C23" s="1818">
        <v>133.43225775016785</v>
      </c>
      <c r="D23" s="774">
        <v>1076.684340757809</v>
      </c>
      <c r="E23" s="865">
        <v>1856.3007544752163</v>
      </c>
      <c r="F23" s="865">
        <v>9443.9803541446527</v>
      </c>
      <c r="G23" s="739">
        <v>357.69990405800002</v>
      </c>
      <c r="H23" s="1819">
        <v>4765.6353268915764</v>
      </c>
      <c r="I23" s="1820">
        <v>923.46317522964273</v>
      </c>
      <c r="J23" s="865">
        <v>18557.176016241661</v>
      </c>
      <c r="K23" s="1821">
        <v>13539.745273115564</v>
      </c>
      <c r="L23" s="1822">
        <v>32096.921289357222</v>
      </c>
      <c r="M23" s="1823">
        <v>7129.0738748376389</v>
      </c>
      <c r="N23" s="1808">
        <f t="shared" ref="N23" si="4">J23-C23-D23-E23-F23-G23-H23-I23</f>
        <v>-2.0097065402296721E-2</v>
      </c>
      <c r="O23" s="945">
        <f t="shared" ref="O23" si="5">L23-J23-K23</f>
        <v>0</v>
      </c>
    </row>
    <row r="24" spans="1:23" s="411" customFormat="1" ht="14.25" customHeight="1">
      <c r="A24" s="905"/>
      <c r="B24" s="906" t="s">
        <v>224</v>
      </c>
      <c r="C24" s="1818">
        <v>139.56179496600831</v>
      </c>
      <c r="D24" s="774">
        <v>848.24276516358998</v>
      </c>
      <c r="E24" s="865">
        <v>1914.1984546309473</v>
      </c>
      <c r="F24" s="865">
        <v>9600.3368141435567</v>
      </c>
      <c r="G24" s="739">
        <v>266.45777695799995</v>
      </c>
      <c r="H24" s="1819">
        <v>4726.3708045642479</v>
      </c>
      <c r="I24" s="1820">
        <v>911.4567989517036</v>
      </c>
      <c r="J24" s="865">
        <v>18406.655071423742</v>
      </c>
      <c r="K24" s="1821">
        <v>13751.837748480411</v>
      </c>
      <c r="L24" s="1822">
        <v>32158.462819904154</v>
      </c>
      <c r="M24" s="1823">
        <v>6541.0902803895633</v>
      </c>
      <c r="N24" s="1824">
        <v>2.9862045686968486E-2</v>
      </c>
      <c r="O24" s="945">
        <v>-2.9999999998835847E-2</v>
      </c>
    </row>
    <row r="25" spans="1:23" s="411" customFormat="1" ht="14.25" customHeight="1">
      <c r="A25" s="905"/>
      <c r="B25" s="906" t="s">
        <v>225</v>
      </c>
      <c r="C25" s="1818">
        <v>153.61401866671198</v>
      </c>
      <c r="D25" s="774">
        <v>889.0274201716195</v>
      </c>
      <c r="E25" s="865">
        <v>2070.5527012026528</v>
      </c>
      <c r="F25" s="865">
        <v>9860.5224357719762</v>
      </c>
      <c r="G25" s="739">
        <v>261.09804778127256</v>
      </c>
      <c r="H25" s="1819">
        <v>4790.9151197145866</v>
      </c>
      <c r="I25" s="1820">
        <v>913.60152774705796</v>
      </c>
      <c r="J25" s="865">
        <v>18939.31694201149</v>
      </c>
      <c r="K25" s="1821">
        <v>13629.708080063867</v>
      </c>
      <c r="L25" s="1822">
        <v>32569.025022075359</v>
      </c>
      <c r="M25" s="1823">
        <v>6068.6923156719404</v>
      </c>
      <c r="N25" s="1824">
        <v>-1.4329044386727219E-2</v>
      </c>
      <c r="O25" s="945">
        <v>0</v>
      </c>
    </row>
    <row r="26" spans="1:23" s="411" customFormat="1" ht="20.25" customHeight="1">
      <c r="A26" s="905">
        <v>2019</v>
      </c>
      <c r="B26" s="906" t="s">
        <v>222</v>
      </c>
      <c r="C26" s="1818">
        <v>144.15080029595211</v>
      </c>
      <c r="D26" s="774">
        <v>1462.5131148440414</v>
      </c>
      <c r="E26" s="865">
        <v>2129.0019655707843</v>
      </c>
      <c r="F26" s="865">
        <v>9856.4386118360235</v>
      </c>
      <c r="G26" s="739">
        <v>307.30533651690052</v>
      </c>
      <c r="H26" s="1819">
        <v>5096.4503257526285</v>
      </c>
      <c r="I26" s="1820">
        <v>919.57719720208274</v>
      </c>
      <c r="J26" s="865">
        <v>19915.456531284657</v>
      </c>
      <c r="K26" s="1821">
        <v>14504.553467104046</v>
      </c>
      <c r="L26" s="1822">
        <v>34420.089998388699</v>
      </c>
      <c r="M26" s="1831">
        <v>6451.6506119831856</v>
      </c>
      <c r="N26" s="1808">
        <v>1.9179266243781967E-2</v>
      </c>
      <c r="O26" s="945">
        <v>7.9999999996289262E-2</v>
      </c>
    </row>
    <row r="27" spans="1:23" s="411" customFormat="1" ht="14.25" customHeight="1">
      <c r="A27" s="905"/>
      <c r="B27" s="906" t="s">
        <v>223</v>
      </c>
      <c r="C27" s="1818">
        <f t="shared" ref="C27:M27" si="6">C33</f>
        <v>139.84778012291525</v>
      </c>
      <c r="D27" s="774">
        <f t="shared" si="6"/>
        <v>1311.6075345583197</v>
      </c>
      <c r="E27" s="865">
        <f t="shared" si="6"/>
        <v>2057.8362079735916</v>
      </c>
      <c r="F27" s="865">
        <f t="shared" si="6"/>
        <v>10076.38490777323</v>
      </c>
      <c r="G27" s="739">
        <f t="shared" si="6"/>
        <v>342.19096537799987</v>
      </c>
      <c r="H27" s="1819">
        <f t="shared" si="6"/>
        <v>5193.1993868839791</v>
      </c>
      <c r="I27" s="1820">
        <f t="shared" si="6"/>
        <v>865.96099616550123</v>
      </c>
      <c r="J27" s="865">
        <f t="shared" si="6"/>
        <v>19986.975530410506</v>
      </c>
      <c r="K27" s="1821">
        <f t="shared" si="6"/>
        <v>14541.863165601431</v>
      </c>
      <c r="L27" s="1822">
        <f t="shared" si="6"/>
        <v>34528.897963875432</v>
      </c>
      <c r="M27" s="1831">
        <f t="shared" si="6"/>
        <v>6858.9059831085287</v>
      </c>
      <c r="N27" s="1808">
        <f t="shared" ref="N27" si="7">J27-C27-D27-E27-F27-G27-H27-I27</f>
        <v>-5.2248445033683311E-2</v>
      </c>
      <c r="O27" s="945">
        <f t="shared" ref="O27" si="8">L27-J27-K27</f>
        <v>5.9267863494824269E-2</v>
      </c>
    </row>
    <row r="28" spans="1:23" s="411" customFormat="1" ht="14.25" customHeight="1">
      <c r="A28" s="905"/>
      <c r="B28" s="906" t="s">
        <v>224</v>
      </c>
      <c r="C28" s="1818">
        <f t="shared" ref="C28:M28" si="9">C36</f>
        <v>140.06593131952391</v>
      </c>
      <c r="D28" s="774">
        <f t="shared" si="9"/>
        <v>1286.9029621609998</v>
      </c>
      <c r="E28" s="865">
        <f t="shared" si="9"/>
        <v>2045.8080056441208</v>
      </c>
      <c r="F28" s="865">
        <f t="shared" si="9"/>
        <v>10064.772981701784</v>
      </c>
      <c r="G28" s="739">
        <f t="shared" si="9"/>
        <v>270.64254522700003</v>
      </c>
      <c r="H28" s="1819">
        <f t="shared" si="9"/>
        <v>5371.9238127828239</v>
      </c>
      <c r="I28" s="1820">
        <f t="shared" si="9"/>
        <v>904.03316499939729</v>
      </c>
      <c r="J28" s="865">
        <f t="shared" si="9"/>
        <v>20084.108529862366</v>
      </c>
      <c r="K28" s="1821">
        <f t="shared" si="9"/>
        <v>14629.035777764482</v>
      </c>
      <c r="L28" s="1822">
        <f t="shared" si="9"/>
        <v>34713.144307626855</v>
      </c>
      <c r="M28" s="1831">
        <f t="shared" si="9"/>
        <v>7207.7946016581354</v>
      </c>
      <c r="N28" s="1808">
        <f t="shared" ref="N28" si="10">J28-C28-D28-E28-F28-G28-H28-I28</f>
        <v>-4.0873973284305976E-2</v>
      </c>
      <c r="O28" s="945">
        <f t="shared" ref="O28" si="11">L28-J28-K28</f>
        <v>0</v>
      </c>
    </row>
    <row r="29" spans="1:23" s="411" customFormat="1" ht="14.25" customHeight="1">
      <c r="A29" s="905"/>
      <c r="B29" s="906" t="s">
        <v>225</v>
      </c>
      <c r="C29" s="1818">
        <f t="shared" ref="C29:M29" si="12">C39</f>
        <v>152.01815108439322</v>
      </c>
      <c r="D29" s="774">
        <f t="shared" si="12"/>
        <v>1443.5138628727032</v>
      </c>
      <c r="E29" s="865">
        <f t="shared" si="12"/>
        <v>1956.5127468639735</v>
      </c>
      <c r="F29" s="865">
        <f t="shared" si="12"/>
        <v>9966.7851993423283</v>
      </c>
      <c r="G29" s="739">
        <f t="shared" si="12"/>
        <v>301.55684848336523</v>
      </c>
      <c r="H29" s="1819">
        <f t="shared" si="12"/>
        <v>5235.0001561828694</v>
      </c>
      <c r="I29" s="1820">
        <f t="shared" si="12"/>
        <v>891.202485273717</v>
      </c>
      <c r="J29" s="865">
        <f t="shared" si="12"/>
        <v>19946.568477436442</v>
      </c>
      <c r="K29" s="1821">
        <f t="shared" si="12"/>
        <v>15423.23278930428</v>
      </c>
      <c r="L29" s="1822">
        <f t="shared" si="12"/>
        <v>35369.801266740717</v>
      </c>
      <c r="M29" s="1831">
        <f t="shared" si="12"/>
        <v>6799.8420027608672</v>
      </c>
      <c r="N29" s="1808">
        <f t="shared" ref="N29" si="13">J29-C29-D29-E29-F29-G29-H29-I29</f>
        <v>-2.0972666909301552E-2</v>
      </c>
      <c r="O29" s="945">
        <f t="shared" ref="O29" si="14">L29-J29-K29</f>
        <v>0</v>
      </c>
    </row>
    <row r="30" spans="1:23" s="411" customFormat="1" ht="21" customHeight="1">
      <c r="A30" s="1193">
        <v>2020</v>
      </c>
      <c r="B30" s="1483" t="s">
        <v>222</v>
      </c>
      <c r="C30" s="1825">
        <f t="shared" ref="C30:M30" si="15">C42</f>
        <v>152.8644001431401</v>
      </c>
      <c r="D30" s="1543">
        <f t="shared" si="15"/>
        <v>1356.0158914310002</v>
      </c>
      <c r="E30" s="1547">
        <f t="shared" si="15"/>
        <v>2068.4075958053436</v>
      </c>
      <c r="F30" s="1547">
        <f t="shared" si="15"/>
        <v>10301.09155770878</v>
      </c>
      <c r="G30" s="1649">
        <f t="shared" si="15"/>
        <v>441.46210244736534</v>
      </c>
      <c r="H30" s="1826">
        <f t="shared" si="15"/>
        <v>5306.2763467854784</v>
      </c>
      <c r="I30" s="1827">
        <f t="shared" si="15"/>
        <v>1059.3947204685519</v>
      </c>
      <c r="J30" s="1547">
        <f t="shared" si="15"/>
        <v>20685.562419698937</v>
      </c>
      <c r="K30" s="1828">
        <f t="shared" si="15"/>
        <v>15066.735303629986</v>
      </c>
      <c r="L30" s="1829">
        <f t="shared" si="15"/>
        <v>35752.277723328923</v>
      </c>
      <c r="M30" s="1832">
        <f t="shared" si="15"/>
        <v>9006.7927373240927</v>
      </c>
      <c r="N30" s="1808">
        <f t="shared" ref="N30" si="16">J30-C30-D30-E30-F30-G30-H30-I30</f>
        <v>4.9804909278464038E-2</v>
      </c>
      <c r="O30" s="945">
        <f t="shared" ref="O30" si="17">L30-J30-K30</f>
        <v>-2.0000000000436557E-2</v>
      </c>
    </row>
    <row r="31" spans="1:23" s="327" customFormat="1" ht="20.25" customHeight="1">
      <c r="A31" s="432">
        <v>2019</v>
      </c>
      <c r="B31" s="433" t="s">
        <v>399</v>
      </c>
      <c r="C31" s="817">
        <f>SUM('[5]1'!$C$68:$D$68)</f>
        <v>148.68230540866736</v>
      </c>
      <c r="D31" s="984">
        <f>SUM('[5]1'!$C$69:$D$69)</f>
        <v>1327.0125016742613</v>
      </c>
      <c r="E31" s="820">
        <f>SUM('[5]1'!$C$72:$D$72)+SUM('[5]1'!$C$95:$D$95)+0.01</f>
        <v>2042.0564517955725</v>
      </c>
      <c r="F31" s="820">
        <f>SUM('[5]1'!$C$79:$D$83)+SUM('[5]1'!$C$89:$D$89)+SUM('[5]1'!$C$92:$D$92)</f>
        <v>9949.7896165233615</v>
      </c>
      <c r="G31" s="818">
        <f>SUM('[5]1'!$C$77:$D$78)</f>
        <v>308.58973816690064</v>
      </c>
      <c r="H31" s="818">
        <f>SUM('[5]1'!$C$86:$D$86)</f>
        <v>5235.7076471973542</v>
      </c>
      <c r="I31" s="819">
        <f>SUM('[5]1'!$C$93:$D$93)+SUM('[5]1'!$C$96:$D$97)</f>
        <v>851.94298494785176</v>
      </c>
      <c r="J31" s="820">
        <f>SUM('[5]1'!$C$98:$D$98)</f>
        <v>19863.781758121746</v>
      </c>
      <c r="K31" s="820">
        <f>SUM('[5]1'!$E$98:$H$98)</f>
        <v>13882.338818400509</v>
      </c>
      <c r="L31" s="822">
        <f>'[5]1'!$I$98</f>
        <v>33746.120576522255</v>
      </c>
      <c r="M31" s="1066">
        <f>'[5]1'!$I$100</f>
        <v>6360.5443679003802</v>
      </c>
      <c r="N31" s="950">
        <f t="shared" ref="N31" si="18">J31-C31-D31-E31-F31-G31-H31-I31</f>
        <v>5.1240777816019545E-4</v>
      </c>
      <c r="O31" s="335">
        <f t="shared" ref="O31" si="19">L31-J31-K31</f>
        <v>0</v>
      </c>
      <c r="P31" s="381"/>
      <c r="Q31" s="381"/>
      <c r="R31" s="381"/>
      <c r="S31" s="381"/>
      <c r="T31" s="381"/>
      <c r="U31" s="381"/>
      <c r="V31" s="381"/>
      <c r="W31" s="381"/>
    </row>
    <row r="32" spans="1:23" s="327" customFormat="1" ht="14.25" customHeight="1">
      <c r="A32" s="432"/>
      <c r="B32" s="433" t="s">
        <v>400</v>
      </c>
      <c r="C32" s="817">
        <f>SUM('[6]1'!$C$68:$D$68)</f>
        <v>145.34202540533516</v>
      </c>
      <c r="D32" s="984">
        <f>SUM('[6]1'!$C$69:$D$69)</f>
        <v>1439.5382898324267</v>
      </c>
      <c r="E32" s="820">
        <f>SUM('[6]1'!$C$72:$D$72)+SUM('[6]1'!$C$95:$D$95)</f>
        <v>1960.2413597508967</v>
      </c>
      <c r="F32" s="820">
        <f>SUM('[6]1'!$C$79:$D$83)+SUM('[6]1'!$C$89:$D$89)+SUM('[6]1'!$C$92:$D$92)</f>
        <v>10004.65877269601</v>
      </c>
      <c r="G32" s="818">
        <f>SUM('[6]1'!$C$77:$D$78)+0.02</f>
        <v>320.45930045590052</v>
      </c>
      <c r="H32" s="818">
        <f>SUM('[6]1'!$C$86:$D$86)</f>
        <v>5228.8289261697155</v>
      </c>
      <c r="I32" s="819">
        <f>SUM('[6]1'!$C$93:$D$93)+SUM('[6]1'!$C$96:$D$97)</f>
        <v>862.35210117765598</v>
      </c>
      <c r="J32" s="820">
        <f>SUM('[6]1'!$C$98:$D$98)</f>
        <v>19961.393785568143</v>
      </c>
      <c r="K32" s="820">
        <f>SUM('[6]1'!$E$98:$H$98)</f>
        <v>14382.812646105023</v>
      </c>
      <c r="L32" s="822">
        <f>'[6]1'!$I$98</f>
        <v>34344.20643167317</v>
      </c>
      <c r="M32" s="1066">
        <f>'[6]1'!$I$100</f>
        <v>6139.789622200753</v>
      </c>
      <c r="N32" s="950">
        <f t="shared" ref="N32" si="20">J32-C32-D32-E32-F32-G32-H32-I32</f>
        <v>-2.6989919796847062E-2</v>
      </c>
      <c r="O32" s="335">
        <f t="shared" ref="O32" si="21">L32-J32-K32</f>
        <v>0</v>
      </c>
      <c r="P32" s="381"/>
      <c r="Q32" s="381"/>
      <c r="R32" s="381"/>
      <c r="S32" s="381"/>
      <c r="T32" s="381"/>
      <c r="U32" s="381"/>
      <c r="V32" s="381"/>
      <c r="W32" s="381"/>
    </row>
    <row r="33" spans="1:23" s="327" customFormat="1" ht="14.25" customHeight="1">
      <c r="A33" s="432"/>
      <c r="B33" s="433" t="s">
        <v>401</v>
      </c>
      <c r="C33" s="817">
        <f>SUM('[7]1'!$C$68:$D$68)</f>
        <v>139.84778012291525</v>
      </c>
      <c r="D33" s="984">
        <f>SUM('[7]1'!$C$69:$D$69)</f>
        <v>1311.6075345583197</v>
      </c>
      <c r="E33" s="820">
        <f>SUM('[7]1'!$C$72:$D$72)+SUM('[7]1'!$C$95:$D$95)</f>
        <v>2057.8362079735916</v>
      </c>
      <c r="F33" s="820">
        <f>SUM('[7]1'!$C$79:$D$83)+SUM('[7]1'!$C$89:$D$89)+SUM('[7]1'!$C$92:$D$92)</f>
        <v>10076.38490777323</v>
      </c>
      <c r="G33" s="818">
        <f>SUM('[7]1'!$C$77:$D$78)</f>
        <v>342.19096537799987</v>
      </c>
      <c r="H33" s="818">
        <f>SUM('[7]1'!$C$86:$D$86)+0.05</f>
        <v>5193.1993868839791</v>
      </c>
      <c r="I33" s="984">
        <f>SUM('[7]1'!$C$93:$D$93)+SUM('[7]1'!$C$96:$D$97)</f>
        <v>865.96099616550123</v>
      </c>
      <c r="J33" s="820">
        <f>SUM('[7]1'!$C$98:$D$98)</f>
        <v>19986.975530410506</v>
      </c>
      <c r="K33" s="820">
        <f>SUM('[7]1'!$E$98:$H$98)-0.1</f>
        <v>14541.863165601431</v>
      </c>
      <c r="L33" s="822">
        <f>'[7]1'!$I$98</f>
        <v>34528.897963875432</v>
      </c>
      <c r="M33" s="1066">
        <f>'[7]1'!$I$100</f>
        <v>6858.9059831085287</v>
      </c>
      <c r="N33" s="950">
        <f t="shared" ref="N33" si="22">J33-C33-D33-E33-F33-G33-H33-I33</f>
        <v>-5.2248445033683311E-2</v>
      </c>
      <c r="O33" s="335">
        <f t="shared" ref="O33" si="23">L33-J33-K33</f>
        <v>5.9267863494824269E-2</v>
      </c>
      <c r="P33" s="381"/>
      <c r="Q33" s="381"/>
      <c r="R33" s="381"/>
      <c r="S33" s="381"/>
      <c r="T33" s="381"/>
      <c r="U33" s="381"/>
      <c r="V33" s="381"/>
      <c r="W33" s="381"/>
    </row>
    <row r="34" spans="1:23" s="327" customFormat="1" ht="14.25" customHeight="1">
      <c r="A34" s="432"/>
      <c r="B34" s="433" t="s">
        <v>402</v>
      </c>
      <c r="C34" s="817">
        <f>SUM('[8]1'!$C$68:$D$68)</f>
        <v>142.11945391053115</v>
      </c>
      <c r="D34" s="984">
        <f>SUM('[8]1'!$C$69:$D$69)</f>
        <v>1373.3061303973195</v>
      </c>
      <c r="E34" s="820">
        <f>SUM('[8]1'!$C$72:$D$72)+SUM('[8]1'!$C$95:$D$95)</f>
        <v>1955.5670066113244</v>
      </c>
      <c r="F34" s="820">
        <f>SUM('[8]1'!$C$79:$D$83)+SUM('[8]1'!$C$89:$D$89)+SUM('[8]1'!$C$92:$D$92)</f>
        <v>10052.555414236502</v>
      </c>
      <c r="G34" s="818">
        <f>SUM('[8]1'!$C$77:$D$78)</f>
        <v>315.66312246100011</v>
      </c>
      <c r="H34" s="818">
        <f>SUM('[8]1'!$C$86:$D$86)+0.05</f>
        <v>5253.8426179042071</v>
      </c>
      <c r="I34" s="984">
        <f>SUM('[8]1'!$C$93:$D$93)+SUM('[8]1'!$C$96:$D$97)</f>
        <v>864.34972188463917</v>
      </c>
      <c r="J34" s="820">
        <f>SUM('[8]1'!$C$98:$D$98)</f>
        <v>19957.358016848855</v>
      </c>
      <c r="K34" s="820">
        <f>SUM('[8]1'!$E$98:$H$98)</f>
        <v>14712.62404210911</v>
      </c>
      <c r="L34" s="822">
        <f>'[8]1'!$I$98</f>
        <v>34669.982058957961</v>
      </c>
      <c r="M34" s="1066">
        <f>'[8]1'!$I$100</f>
        <v>6456.902156175659</v>
      </c>
      <c r="N34" s="950">
        <f t="shared" ref="N34" si="24">J34-C34-D34-E34-F34-G34-H34-I34</f>
        <v>-4.5450556666310149E-2</v>
      </c>
      <c r="O34" s="335">
        <f t="shared" ref="O34" si="25">L34-J34-K34</f>
        <v>0</v>
      </c>
      <c r="P34" s="381"/>
      <c r="Q34" s="381"/>
      <c r="R34" s="381"/>
      <c r="S34" s="381"/>
      <c r="T34" s="381"/>
      <c r="U34" s="381"/>
      <c r="V34" s="381"/>
      <c r="W34" s="381"/>
    </row>
    <row r="35" spans="1:23" s="327" customFormat="1" ht="14.25" customHeight="1">
      <c r="A35" s="432"/>
      <c r="B35" s="433" t="s">
        <v>403</v>
      </c>
      <c r="C35" s="817">
        <f>SUM('[9]1'!$C$68:$D$68)</f>
        <v>143.1036964772847</v>
      </c>
      <c r="D35" s="984">
        <f>SUM('[9]1'!$C$69:$D$69)</f>
        <v>1382.1932290233199</v>
      </c>
      <c r="E35" s="820">
        <f>SUM('[9]1'!$C$72:$D$72)+SUM('[9]1'!$C$95:$D$95)</f>
        <v>1857.8173241744489</v>
      </c>
      <c r="F35" s="820">
        <f>SUM('[9]1'!$C$79:$D$83)+SUM('[9]1'!$C$89:$D$89)+SUM('[9]1'!$C$92:$D$92)</f>
        <v>10093.475467860737</v>
      </c>
      <c r="G35" s="818">
        <f>SUM('[9]1'!$C$77:$D$78)</f>
        <v>287.86899378500004</v>
      </c>
      <c r="H35" s="818">
        <f>SUM('[9]1'!$C$86:$D$86)+0.05</f>
        <v>5225.6222987018109</v>
      </c>
      <c r="I35" s="984">
        <f>SUM('[9]1'!$C$93:$D$93)+SUM('[9]1'!$C$96:$D$97)</f>
        <v>901.72842082182058</v>
      </c>
      <c r="J35" s="820">
        <f>SUM('[9]1'!$C$98:$D$98)+0.02</f>
        <v>19891.760668941584</v>
      </c>
      <c r="K35" s="820">
        <f>SUM('[9]1'!$E$98:$H$98)</f>
        <v>14948.208135857018</v>
      </c>
      <c r="L35" s="822">
        <f>'[9]1'!$I$98+0.01</f>
        <v>34839.958804798611</v>
      </c>
      <c r="M35" s="1066">
        <f>'[9]1'!$I$100</f>
        <v>6640.5385695757768</v>
      </c>
      <c r="N35" s="950">
        <f t="shared" ref="N35" si="26">J35-C35-D35-E35-F35-G35-H35-I35</f>
        <v>-4.8761902835281035E-2</v>
      </c>
      <c r="O35" s="335">
        <f t="shared" ref="O35" si="27">L35-J35-K35</f>
        <v>-9.9999999911233317E-3</v>
      </c>
      <c r="P35" s="381"/>
      <c r="Q35" s="381"/>
      <c r="R35" s="381"/>
      <c r="S35" s="381"/>
      <c r="T35" s="381"/>
      <c r="U35" s="381"/>
      <c r="V35" s="381"/>
      <c r="W35" s="381"/>
    </row>
    <row r="36" spans="1:23" s="327" customFormat="1" ht="14.25" customHeight="1">
      <c r="A36" s="432"/>
      <c r="B36" s="433" t="s">
        <v>404</v>
      </c>
      <c r="C36" s="817">
        <f>SUM('[10]1'!$C$68:$D$68)</f>
        <v>140.06593131952391</v>
      </c>
      <c r="D36" s="984">
        <f>SUM('[10]1'!$C$69:$D$69)</f>
        <v>1286.9029621609998</v>
      </c>
      <c r="E36" s="820">
        <f>SUM('[10]1'!$C$72:$D$72)+SUM('[10]1'!$C$95:$D$95)</f>
        <v>2045.8080056441208</v>
      </c>
      <c r="F36" s="820">
        <f>SUM('[10]1'!$C$79:$D$83)+SUM('[10]1'!$C$89:$D$89)+SUM('[10]1'!$C$92:$D$92)</f>
        <v>10064.772981701784</v>
      </c>
      <c r="G36" s="818">
        <f>SUM('[10]1'!$C$77:$D$78)-0.01</f>
        <v>270.64254522700003</v>
      </c>
      <c r="H36" s="818">
        <f>SUM('[10]1'!$C$86:$D$86)+0.05</f>
        <v>5371.9238127828239</v>
      </c>
      <c r="I36" s="984">
        <f>SUM('[10]1'!$C$93:$D$93)+SUM('[10]1'!$C$96:$D$97)</f>
        <v>904.03316499939729</v>
      </c>
      <c r="J36" s="820">
        <f>SUM('[10]1'!$C$98:$D$98)</f>
        <v>20084.108529862366</v>
      </c>
      <c r="K36" s="820">
        <f>SUM('[10]1'!$E$98:$H$98)-0.02</f>
        <v>14629.035777764482</v>
      </c>
      <c r="L36" s="822">
        <f>'[10]1'!$I$98-0.02</f>
        <v>34713.144307626855</v>
      </c>
      <c r="M36" s="1066">
        <f>'[10]1'!$I$100</f>
        <v>7207.7946016581354</v>
      </c>
      <c r="N36" s="950">
        <f t="shared" ref="N36" si="28">J36-C36-D36-E36-F36-G36-H36-I36</f>
        <v>-4.0873973284305976E-2</v>
      </c>
      <c r="O36" s="335">
        <f t="shared" ref="O36" si="29">L36-J36-K36</f>
        <v>0</v>
      </c>
      <c r="P36" s="381"/>
      <c r="Q36" s="381"/>
      <c r="R36" s="381"/>
      <c r="S36" s="381"/>
      <c r="T36" s="381"/>
      <c r="U36" s="381"/>
      <c r="V36" s="381"/>
      <c r="W36" s="381"/>
    </row>
    <row r="37" spans="1:23" s="327" customFormat="1" ht="14.25" customHeight="1">
      <c r="A37" s="432"/>
      <c r="B37" s="433" t="s">
        <v>405</v>
      </c>
      <c r="C37" s="817">
        <f>SUM('[11]1'!$C$68:$D$68)</f>
        <v>143.43053095543502</v>
      </c>
      <c r="D37" s="984">
        <f>SUM('[11]1'!$C$69:$D$69)</f>
        <v>1374.098517014</v>
      </c>
      <c r="E37" s="820">
        <f>SUM('[11]1'!$C$72:$D$72)+SUM('[11]1'!$C$95:$D$95)</f>
        <v>1843.2473727773051</v>
      </c>
      <c r="F37" s="820">
        <f>SUM('[11]1'!$C$79:$D$83)+SUM('[11]1'!$C$89:$D$89)+SUM('[11]1'!$C$92:$D$92)</f>
        <v>10068.448617352189</v>
      </c>
      <c r="G37" s="818">
        <f>SUM('[11]1'!$C$77:$D$78)</f>
        <v>259.10019243099998</v>
      </c>
      <c r="H37" s="818">
        <f>SUM('[11]1'!$C$86:$D$86)+0.05</f>
        <v>5370.4911380148542</v>
      </c>
      <c r="I37" s="984">
        <f>SUM('[11]1'!$C$93:$D$93)+SUM('[11]1'!$C$96:$D$97)</f>
        <v>888.77634423832069</v>
      </c>
      <c r="J37" s="820">
        <f>SUM('[11]1'!$C$98:$D$98)</f>
        <v>19947.542700213125</v>
      </c>
      <c r="K37" s="820">
        <f>SUM('[11]1'!$E$98:$H$98)</f>
        <v>14888.370192562114</v>
      </c>
      <c r="L37" s="822">
        <f>'[11]1'!$I$98</f>
        <v>34835.912892775232</v>
      </c>
      <c r="M37" s="1066">
        <f>'[11]1'!$I$100</f>
        <v>7075.3453686250014</v>
      </c>
      <c r="N37" s="950">
        <f t="shared" ref="N37" si="30">J37-C37-D37-E37-F37-G37-H37-I37</f>
        <v>-5.0012569983209687E-2</v>
      </c>
      <c r="O37" s="335">
        <f t="shared" ref="O37" si="31">L37-J37-K37</f>
        <v>0</v>
      </c>
      <c r="P37" s="381"/>
      <c r="Q37" s="381"/>
      <c r="R37" s="381"/>
      <c r="S37" s="381"/>
      <c r="T37" s="381"/>
      <c r="U37" s="381"/>
      <c r="V37" s="381"/>
      <c r="W37" s="381"/>
    </row>
    <row r="38" spans="1:23" s="327" customFormat="1" ht="14.25" customHeight="1">
      <c r="A38" s="432"/>
      <c r="B38" s="433" t="s">
        <v>406</v>
      </c>
      <c r="C38" s="817">
        <f>SUM('[12]1'!$C$68:$D$68)</f>
        <v>137.009785042761</v>
      </c>
      <c r="D38" s="984">
        <f>SUM('[12]1'!$C$69:$D$69)</f>
        <v>1447.9836529849999</v>
      </c>
      <c r="E38" s="820">
        <f>SUM('[12]1'!$C$72:$D$72)+SUM('[12]1'!$C$95:$D$95)</f>
        <v>1835.022271734769</v>
      </c>
      <c r="F38" s="820">
        <f>SUM('[12]1'!$C$79:$D$83)+SUM('[12]1'!$C$89:$D$89)+SUM('[12]1'!$C$92:$D$92)</f>
        <v>10043.302424133482</v>
      </c>
      <c r="G38" s="818">
        <f>SUM('[12]1'!$C$77:$D$78)</f>
        <v>267.07273962599999</v>
      </c>
      <c r="H38" s="818">
        <f>SUM('[12]1'!$C$86:$D$86)</f>
        <v>5310.067561361886</v>
      </c>
      <c r="I38" s="984">
        <f>SUM('[12]1'!$C$93:$D$93)+SUM('[12]1'!$C$96:$D$97)-0.02</f>
        <v>890.33974193051154</v>
      </c>
      <c r="J38" s="820">
        <f>SUM('[12]1'!$C$98:$D$98)</f>
        <v>19930.817557648392</v>
      </c>
      <c r="K38" s="820">
        <f>SUM('[12]1'!$E$98:$H$98)</f>
        <v>15436.528503372676</v>
      </c>
      <c r="L38" s="822">
        <f>'[12]1'!$I$98</f>
        <v>35367.346061021068</v>
      </c>
      <c r="M38" s="1066">
        <f>'[12]1'!$I$100</f>
        <v>7018.2544387069793</v>
      </c>
      <c r="N38" s="950">
        <f t="shared" ref="N38" si="32">J38-C38-D38-E38-F38-G38-H38-I38</f>
        <v>1.9380833981358592E-2</v>
      </c>
      <c r="O38" s="335">
        <f t="shared" ref="O38" si="33">L38-J38-K38</f>
        <v>0</v>
      </c>
      <c r="P38" s="381"/>
      <c r="Q38" s="381"/>
      <c r="R38" s="381"/>
      <c r="S38" s="381"/>
      <c r="T38" s="381"/>
      <c r="U38" s="381"/>
      <c r="V38" s="381"/>
      <c r="W38" s="381"/>
    </row>
    <row r="39" spans="1:23" s="327" customFormat="1" ht="14.25" customHeight="1">
      <c r="A39" s="432"/>
      <c r="B39" s="433" t="s">
        <v>407</v>
      </c>
      <c r="C39" s="817">
        <f>SUM('[13]1'!$C$68:$D$68)</f>
        <v>152.01815108439322</v>
      </c>
      <c r="D39" s="984">
        <f>SUM('[13]1'!$C$69:$D$69)</f>
        <v>1443.5138628727032</v>
      </c>
      <c r="E39" s="820">
        <f>SUM('[13]1'!$C$72:$D$72)+SUM('[13]1'!$C$95:$D$95)</f>
        <v>1956.5127468639735</v>
      </c>
      <c r="F39" s="820">
        <f>SUM('[13]1'!$C$79:$D$83)+SUM('[13]1'!$C$89:$D$89)+SUM('[13]1'!$C$92:$D$92)</f>
        <v>9966.7851993423283</v>
      </c>
      <c r="G39" s="818">
        <f>SUM('[13]1'!$C$77:$D$78)+0.02</f>
        <v>301.55684848336523</v>
      </c>
      <c r="H39" s="818">
        <f>SUM('[13]1'!$C$86:$D$86)</f>
        <v>5235.0001561828694</v>
      </c>
      <c r="I39" s="984">
        <f>SUM('[13]1'!$C$93:$D$93)+SUM('[13]1'!$C$96:$D$97)</f>
        <v>891.202485273717</v>
      </c>
      <c r="J39" s="820">
        <f>SUM('[13]1'!$C$98:$D$98)</f>
        <v>19946.568477436442</v>
      </c>
      <c r="K39" s="820">
        <f>SUM('[13]1'!$E$98:$H$98)</f>
        <v>15423.23278930428</v>
      </c>
      <c r="L39" s="822">
        <f>'[13]1'!$I$98</f>
        <v>35369.801266740717</v>
      </c>
      <c r="M39" s="1066">
        <f>'[13]1'!$I$100</f>
        <v>6799.8420027608672</v>
      </c>
      <c r="N39" s="950">
        <f t="shared" ref="N39" si="34">J39-C39-D39-E39-F39-G39-H39-I39</f>
        <v>-2.0972666909301552E-2</v>
      </c>
      <c r="O39" s="335">
        <f t="shared" ref="O39" si="35">L39-J39-K39</f>
        <v>0</v>
      </c>
      <c r="P39" s="381"/>
      <c r="Q39" s="381"/>
      <c r="R39" s="381"/>
      <c r="S39" s="381"/>
      <c r="T39" s="381"/>
      <c r="U39" s="381"/>
      <c r="V39" s="381"/>
      <c r="W39" s="381"/>
    </row>
    <row r="40" spans="1:23" s="327" customFormat="1" ht="20.25" customHeight="1">
      <c r="A40" s="432">
        <v>2020</v>
      </c>
      <c r="B40" s="433" t="s">
        <v>408</v>
      </c>
      <c r="C40" s="817">
        <f>SUM('[14]1'!$C$68:$D$68)</f>
        <v>138.47009962117889</v>
      </c>
      <c r="D40" s="984">
        <f>SUM('[14]1'!$C$69:$D$69)</f>
        <v>1492.1462083636318</v>
      </c>
      <c r="E40" s="820">
        <f>SUM('[14]1'!$C$72:$D$72)+SUM('[14]1'!$C$95:$D$95)+0.01</f>
        <v>2163.6594203957857</v>
      </c>
      <c r="F40" s="820">
        <f>SUM('[14]1'!$C$79:$D$83)+SUM('[14]1'!$C$89:$D$89)+SUM('[14]1'!$C$92:$D$92)</f>
        <v>10013.105728379634</v>
      </c>
      <c r="G40" s="818">
        <f>SUM('[14]1'!$C$77:$D$78)</f>
        <v>261.34068601136534</v>
      </c>
      <c r="H40" s="818">
        <f>SUM('[14]1'!$C$86:$D$86)</f>
        <v>5236.0593046976019</v>
      </c>
      <c r="I40" s="819">
        <f>SUM('[14]1'!$C$93:$D$93)+SUM('[14]1'!$C$96:$D$97)</f>
        <v>914.69984074316517</v>
      </c>
      <c r="J40" s="820">
        <f>SUM('[14]1'!$C$98:$D$98)</f>
        <v>20219.481329201644</v>
      </c>
      <c r="K40" s="820">
        <f>SUM('[14]1'!$E$98:$H$98)</f>
        <v>14863.552421206065</v>
      </c>
      <c r="L40" s="822">
        <f>'[14]1'!$I$98+0.03</f>
        <v>35083.063750407709</v>
      </c>
      <c r="M40" s="1066">
        <f>'[14]1'!$I$100</f>
        <v>7925.3516077248642</v>
      </c>
      <c r="N40" s="950">
        <f t="shared" ref="N40" si="36">J40-C40-D40-E40-F40-G40-H40-I40</f>
        <v>4.0989278659253614E-5</v>
      </c>
      <c r="O40" s="335">
        <f t="shared" ref="O40" si="37">L40-J40-K40</f>
        <v>3.0000000000654836E-2</v>
      </c>
      <c r="P40" s="381"/>
      <c r="Q40" s="381"/>
      <c r="R40" s="381"/>
      <c r="S40" s="381"/>
      <c r="T40" s="381"/>
      <c r="U40" s="381"/>
      <c r="V40" s="381"/>
      <c r="W40" s="381"/>
    </row>
    <row r="41" spans="1:23" s="327" customFormat="1" ht="14.25" customHeight="1">
      <c r="A41" s="1085"/>
      <c r="B41" s="1659" t="s">
        <v>409</v>
      </c>
      <c r="C41" s="817">
        <f>SUM('[15]1'!$C$68:$D$68)</f>
        <v>125.55972929452513</v>
      </c>
      <c r="D41" s="984">
        <f>SUM('[15]1'!$C$69:$D$69)</f>
        <v>1484.1513790409999</v>
      </c>
      <c r="E41" s="820">
        <f>SUM('[15]1'!$C$72:$D$72)+SUM('[15]1'!$C$95:$D$95)</f>
        <v>2194.542983717035</v>
      </c>
      <c r="F41" s="820">
        <f>SUM('[15]1'!$C$79:$D$83)+SUM('[15]1'!$C$89:$D$89)+SUM('[15]1'!$C$92:$D$92)</f>
        <v>10063.118869633099</v>
      </c>
      <c r="G41" s="818">
        <f>SUM('[15]1'!$C$77:$D$78)</f>
        <v>338.16442059236545</v>
      </c>
      <c r="H41" s="818">
        <f>SUM('[15]1'!$C$86:$D$86)</f>
        <v>5331.4301339968424</v>
      </c>
      <c r="I41" s="819">
        <f>SUM('[15]1'!$C$93:$D$93)+SUM('[15]1'!$C$96:$D$97)</f>
        <v>974.80728428482246</v>
      </c>
      <c r="J41" s="820">
        <f>SUM('[15]1'!$C$98:$D$98)</f>
        <v>20511.779910191508</v>
      </c>
      <c r="K41" s="820">
        <f>SUM('[15]1'!$E$98:$H$98)</f>
        <v>15055.939031191676</v>
      </c>
      <c r="L41" s="822">
        <f>'[15]1'!$I$98+0.03</f>
        <v>35567.748941383186</v>
      </c>
      <c r="M41" s="1066">
        <f>'[15]1'!$I$100</f>
        <v>8813.9596695843211</v>
      </c>
      <c r="N41" s="950">
        <f t="shared" ref="N41" si="38">J41-C41-D41-E41-F41-G41-H41-I41</f>
        <v>5.1096318210284153E-3</v>
      </c>
      <c r="O41" s="335">
        <f t="shared" ref="O41" si="39">L41-J41-K41</f>
        <v>3.0000000002473826E-2</v>
      </c>
      <c r="P41" s="381"/>
      <c r="Q41" s="381"/>
      <c r="R41" s="381"/>
      <c r="S41" s="381"/>
      <c r="T41" s="381"/>
      <c r="U41" s="381"/>
      <c r="V41" s="381"/>
      <c r="W41" s="381"/>
    </row>
    <row r="42" spans="1:23" s="327" customFormat="1" ht="14.25" customHeight="1">
      <c r="A42" s="1085"/>
      <c r="B42" s="1659" t="s">
        <v>398</v>
      </c>
      <c r="C42" s="817">
        <f>SUM('[16]1'!$C$68:$D$68)</f>
        <v>152.8644001431401</v>
      </c>
      <c r="D42" s="984">
        <f>SUM('[16]1'!$C$69:$D$69)</f>
        <v>1356.0158914310002</v>
      </c>
      <c r="E42" s="820">
        <f>SUM('[16]1'!$C$72:$D$72)+SUM('[16]1'!$C$95:$D$95)</f>
        <v>2068.4075958053436</v>
      </c>
      <c r="F42" s="820">
        <f>SUM('[16]1'!$C$79:$D$83)+SUM('[16]1'!$C$89:$D$89)+SUM('[16]1'!$C$92:$D$92)</f>
        <v>10301.09155770878</v>
      </c>
      <c r="G42" s="818">
        <f>SUM('[16]1'!$C$77:$D$78)</f>
        <v>441.46210244736534</v>
      </c>
      <c r="H42" s="818">
        <f>SUM('[16]1'!$C$86:$D$86)</f>
        <v>5306.2763467854784</v>
      </c>
      <c r="I42" s="819">
        <f>SUM('[16]1'!$C$93:$D$93)+SUM('[16]1'!$C$96:$D$97)</f>
        <v>1059.3947204685519</v>
      </c>
      <c r="J42" s="820">
        <f>SUM('[16]1'!$C$98:$D$98)+0.05</f>
        <v>20685.562419698937</v>
      </c>
      <c r="K42" s="820">
        <f>SUM('[16]1'!$E$98:$H$98)</f>
        <v>15066.735303629986</v>
      </c>
      <c r="L42" s="822">
        <f>'[16]1'!$I$98+0.03</f>
        <v>35752.277723328923</v>
      </c>
      <c r="M42" s="1066">
        <f>'[16]1'!$I$100</f>
        <v>9006.7927373240927</v>
      </c>
      <c r="N42" s="950">
        <f t="shared" ref="N42" si="40">J42-C42-D42-E42-F42-G42-H42-I42</f>
        <v>4.9804909278464038E-2</v>
      </c>
      <c r="O42" s="335">
        <f t="shared" ref="O42" si="41">L42-J42-K42</f>
        <v>-2.0000000000436557E-2</v>
      </c>
      <c r="P42" s="381"/>
      <c r="Q42" s="381"/>
      <c r="R42" s="381"/>
      <c r="S42" s="381"/>
      <c r="T42" s="381"/>
      <c r="U42" s="381"/>
      <c r="V42" s="381"/>
      <c r="W42" s="381"/>
    </row>
    <row r="43" spans="1:23" s="327" customFormat="1" ht="14.25" customHeight="1">
      <c r="A43" s="1085"/>
      <c r="B43" s="1659" t="s">
        <v>399</v>
      </c>
      <c r="C43" s="817">
        <f>SUM('[17]1'!$C$68:$D$68)</f>
        <v>159.96861694677594</v>
      </c>
      <c r="D43" s="984">
        <f>SUM('[17]1'!$C$69:$D$69)</f>
        <v>1271.9654312529997</v>
      </c>
      <c r="E43" s="820">
        <f>SUM('[17]1'!$C$72:$D$72)+SUM('[17]1'!$C$95:$D$95)-0.03</f>
        <v>2040.3256610381568</v>
      </c>
      <c r="F43" s="820">
        <f>SUM('[17]1'!$C$79:$D$83)+SUM('[17]1'!$C$89:$D$89)+SUM('[17]1'!$C$92:$D$92)</f>
        <v>10383.701003848984</v>
      </c>
      <c r="G43" s="818">
        <f>SUM('[17]1'!$C$77:$D$78)</f>
        <v>419.93875113858479</v>
      </c>
      <c r="H43" s="818">
        <f>SUM('[17]1'!$C$86:$D$86)</f>
        <v>5307.7146533429013</v>
      </c>
      <c r="I43" s="819">
        <f>SUM('[17]1'!$C$93:$D$93)+SUM('[17]1'!$C$96:$D$97)</f>
        <v>1026.575398714574</v>
      </c>
      <c r="J43" s="820">
        <f>SUM('[17]1'!$C$98:$D$98)</f>
        <v>20610.18448310886</v>
      </c>
      <c r="K43" s="820">
        <f>SUM('[17]1'!$E$98:$H$98)</f>
        <v>15328.099277019312</v>
      </c>
      <c r="L43" s="822">
        <f>'[17]1'!$I$98+0.03</f>
        <v>35938.313760128171</v>
      </c>
      <c r="M43" s="1066">
        <f>'[17]1'!$I$100</f>
        <v>8096.639961419979</v>
      </c>
      <c r="N43" s="950">
        <f t="shared" ref="N43" si="42">J43-C43-D43-E43-F43-G43-H43-I43</f>
        <v>-5.0331741172158218E-3</v>
      </c>
      <c r="O43" s="335">
        <f t="shared" ref="O43" si="43">L43-J43-K43</f>
        <v>2.9999999998835847E-2</v>
      </c>
      <c r="P43" s="381"/>
      <c r="Q43" s="381"/>
      <c r="R43" s="381"/>
      <c r="S43" s="381"/>
      <c r="T43" s="381"/>
      <c r="U43" s="381"/>
      <c r="V43" s="381"/>
      <c r="W43" s="381"/>
    </row>
    <row r="44" spans="1:23" ht="20.25" customHeight="1">
      <c r="A44" s="231" t="s">
        <v>819</v>
      </c>
      <c r="B44" s="232"/>
      <c r="C44" s="689"/>
      <c r="D44" s="232"/>
      <c r="E44" s="232"/>
      <c r="F44" s="232"/>
      <c r="G44" s="232"/>
      <c r="H44" s="232"/>
      <c r="I44" s="232"/>
      <c r="J44" s="232"/>
      <c r="K44" s="232"/>
      <c r="L44" s="232"/>
      <c r="M44" s="253" t="s">
        <v>820</v>
      </c>
      <c r="N44" s="19"/>
    </row>
    <row r="45" spans="1:23" ht="12.75" customHeight="1">
      <c r="A45" s="6" t="s">
        <v>821</v>
      </c>
      <c r="B45" s="17"/>
      <c r="C45" s="17"/>
      <c r="D45" s="17"/>
      <c r="E45" s="17"/>
      <c r="F45" s="17"/>
      <c r="G45" s="158"/>
      <c r="I45" s="29"/>
      <c r="K45" s="17"/>
      <c r="L45" s="17"/>
      <c r="M45" s="254" t="s">
        <v>822</v>
      </c>
    </row>
    <row r="46" spans="1:23" s="5" customFormat="1" ht="13.7" customHeight="1">
      <c r="A46" s="6"/>
      <c r="I46" s="7"/>
      <c r="J46" s="7"/>
      <c r="K46" s="29"/>
      <c r="M46" s="885"/>
    </row>
    <row r="47" spans="1:23" ht="15.75">
      <c r="B47" s="268"/>
      <c r="C47" s="682"/>
      <c r="D47" s="683"/>
      <c r="E47" s="683"/>
      <c r="F47" s="683"/>
      <c r="G47" s="683"/>
      <c r="H47" s="683"/>
      <c r="I47" s="683"/>
      <c r="J47" s="684"/>
      <c r="K47" s="685"/>
      <c r="L47" s="683"/>
      <c r="M47" s="683"/>
    </row>
    <row r="48" spans="1:23">
      <c r="A48" s="340" t="s">
        <v>823</v>
      </c>
      <c r="B48" s="11"/>
      <c r="C48" s="12"/>
      <c r="D48" s="12"/>
      <c r="E48" s="12"/>
      <c r="F48" s="12"/>
      <c r="G48" s="12"/>
      <c r="H48" s="12"/>
      <c r="I48" s="12"/>
      <c r="J48" s="12"/>
      <c r="K48" s="12"/>
      <c r="L48" s="3"/>
      <c r="M48" s="3"/>
    </row>
    <row r="49" spans="1:13">
      <c r="A49" s="14"/>
      <c r="B49" s="22"/>
      <c r="L49" s="29"/>
      <c r="M49" s="29"/>
    </row>
    <row r="50" spans="1:13">
      <c r="A50" s="267" t="str">
        <f ca="1">CELL("filename")</f>
        <v>C:\Users\Nehal\AppData\Local\Microsoft\Windows\INetCache\Content.Outlook\A316V2T1\[Samah Dec2020.xlsx]FinalReview-N</v>
      </c>
    </row>
    <row r="51" spans="1:13">
      <c r="A51" s="157">
        <f ca="1">NOW()</f>
        <v>44354.906948611111</v>
      </c>
      <c r="C51" s="683"/>
      <c r="D51" s="683"/>
      <c r="E51" s="683"/>
      <c r="F51" s="683"/>
      <c r="G51" s="683"/>
      <c r="H51" s="683"/>
      <c r="I51" s="683"/>
      <c r="J51" s="683"/>
      <c r="K51" s="683"/>
      <c r="L51" s="683"/>
      <c r="M51" s="683"/>
    </row>
    <row r="52" spans="1:13">
      <c r="C52" s="683"/>
      <c r="D52" s="683"/>
      <c r="E52" s="683"/>
      <c r="F52" s="683"/>
      <c r="G52" s="683"/>
      <c r="H52" s="683"/>
      <c r="I52" s="683"/>
      <c r="J52" s="683"/>
      <c r="K52" s="683"/>
      <c r="L52" s="683"/>
      <c r="M52" s="683"/>
    </row>
  </sheetData>
  <mergeCells count="1">
    <mergeCell ref="D11:D12"/>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W53"/>
  <sheetViews>
    <sheetView zoomScale="90" zoomScaleNormal="90" workbookViewId="0">
      <pane ySplit="12" topLeftCell="A40" activePane="bottomLeft" state="frozen"/>
      <selection activeCell="A49" sqref="A1:XFD1048576"/>
      <selection pane="bottomLeft" activeCell="A49" sqref="A1:XFD1048576"/>
    </sheetView>
  </sheetViews>
  <sheetFormatPr defaultRowHeight="12.75"/>
  <cols>
    <col min="1" max="2" width="9.28515625" style="29" customWidth="1"/>
    <col min="3" max="3" width="16.85546875" style="29" customWidth="1"/>
    <col min="4" max="4" width="14.7109375" style="29" customWidth="1"/>
    <col min="5" max="5" width="15.85546875" style="29" customWidth="1"/>
    <col min="6" max="6" width="17.7109375" style="29" customWidth="1"/>
    <col min="7" max="8" width="15.28515625" style="29" customWidth="1"/>
    <col min="9" max="11" width="15.85546875" style="29" customWidth="1"/>
    <col min="12" max="12" width="17.7109375" style="29" customWidth="1"/>
    <col min="13" max="13" width="9.7109375" style="688" customWidth="1"/>
    <col min="14" max="14" width="9.7109375" style="29" customWidth="1"/>
    <col min="15" max="16384" width="9.140625" style="29"/>
  </cols>
  <sheetData>
    <row r="1" spans="1:14" ht="18" customHeight="1">
      <c r="A1" s="18" t="s">
        <v>1623</v>
      </c>
      <c r="B1" s="1"/>
      <c r="C1" s="1"/>
      <c r="D1" s="1"/>
      <c r="E1" s="1"/>
      <c r="F1" s="1"/>
      <c r="G1" s="1"/>
      <c r="H1" s="1"/>
      <c r="I1" s="1"/>
      <c r="J1" s="1"/>
      <c r="K1" s="1"/>
      <c r="L1" s="1"/>
    </row>
    <row r="2" spans="1:14" ht="18" customHeight="1">
      <c r="A2" s="1732" t="s">
        <v>797</v>
      </c>
      <c r="B2" s="1"/>
      <c r="C2" s="1"/>
      <c r="D2" s="1"/>
      <c r="E2" s="1"/>
      <c r="F2" s="1"/>
      <c r="G2" s="1"/>
      <c r="H2" s="1"/>
      <c r="I2" s="1"/>
      <c r="J2" s="1"/>
      <c r="K2" s="1"/>
      <c r="L2" s="1"/>
    </row>
    <row r="3" spans="1:14" ht="18" customHeight="1">
      <c r="A3" s="18" t="s">
        <v>798</v>
      </c>
      <c r="B3" s="1"/>
      <c r="C3" s="1"/>
      <c r="D3" s="1"/>
      <c r="E3" s="1"/>
      <c r="F3" s="1"/>
      <c r="G3" s="1"/>
      <c r="H3" s="1"/>
      <c r="I3" s="1"/>
      <c r="J3" s="1"/>
      <c r="K3" s="1"/>
      <c r="L3" s="1"/>
    </row>
    <row r="4" spans="1:14" ht="18.600000000000001" customHeight="1">
      <c r="A4" s="1732" t="s">
        <v>359</v>
      </c>
      <c r="B4" s="8"/>
      <c r="C4" s="8"/>
      <c r="D4" s="8"/>
      <c r="E4" s="8"/>
      <c r="F4" s="8"/>
      <c r="G4" s="8"/>
      <c r="H4" s="8"/>
      <c r="I4" s="8"/>
      <c r="J4" s="8"/>
      <c r="K4" s="8"/>
      <c r="L4" s="8"/>
    </row>
    <row r="5" spans="1:14" ht="18.600000000000001" customHeight="1">
      <c r="A5" s="18" t="s">
        <v>358</v>
      </c>
      <c r="B5" s="1"/>
      <c r="C5" s="1"/>
      <c r="D5" s="1"/>
      <c r="E5" s="1"/>
      <c r="F5" s="1"/>
      <c r="G5" s="1"/>
      <c r="H5" s="1"/>
      <c r="I5" s="1"/>
      <c r="J5" s="1"/>
      <c r="K5" s="1"/>
      <c r="L5" s="1"/>
    </row>
    <row r="6" spans="1:14" ht="0.6" customHeight="1">
      <c r="A6" s="18"/>
      <c r="B6" s="1"/>
      <c r="C6" s="1"/>
      <c r="D6" s="1" t="s">
        <v>799</v>
      </c>
      <c r="E6" s="1"/>
      <c r="F6" s="1"/>
      <c r="G6" s="1"/>
      <c r="H6" s="1"/>
      <c r="I6" s="1"/>
      <c r="J6" s="1"/>
      <c r="K6" s="1"/>
      <c r="L6" s="1" t="s">
        <v>799</v>
      </c>
    </row>
    <row r="7" spans="1:14" ht="12.75" customHeight="1">
      <c r="A7" s="9" t="s">
        <v>354</v>
      </c>
      <c r="B7" s="185"/>
      <c r="C7" s="5"/>
      <c r="D7" s="5"/>
      <c r="E7" s="5"/>
      <c r="F7" s="5"/>
      <c r="G7" s="5"/>
      <c r="H7" s="5"/>
      <c r="I7" s="5"/>
      <c r="J7" s="249"/>
      <c r="K7" s="23"/>
      <c r="L7" s="41" t="s">
        <v>355</v>
      </c>
    </row>
    <row r="8" spans="1:14" s="52" customFormat="1" ht="18.600000000000001" customHeight="1">
      <c r="A8" s="49"/>
      <c r="B8" s="50"/>
      <c r="C8" s="322" t="s">
        <v>824</v>
      </c>
      <c r="D8" s="45"/>
      <c r="E8" s="133"/>
      <c r="F8" s="133"/>
      <c r="G8" s="132"/>
      <c r="H8" s="133"/>
      <c r="I8" s="321" t="s">
        <v>825</v>
      </c>
      <c r="J8" s="29"/>
      <c r="K8" s="1777"/>
      <c r="L8" s="79" t="s">
        <v>826</v>
      </c>
      <c r="M8" s="154"/>
    </row>
    <row r="9" spans="1:14" s="52" customFormat="1" ht="1.5" customHeight="1">
      <c r="A9" s="47"/>
      <c r="B9" s="46"/>
      <c r="C9" s="199"/>
      <c r="D9" s="108"/>
      <c r="E9" s="199"/>
      <c r="F9" s="46"/>
      <c r="G9" s="109"/>
      <c r="H9" s="200"/>
      <c r="I9" s="109"/>
      <c r="J9" s="1778"/>
      <c r="K9" s="1779"/>
      <c r="L9" s="1780"/>
      <c r="M9" s="154"/>
    </row>
    <row r="10" spans="1:14" s="44" customFormat="1" ht="17.45" customHeight="1">
      <c r="A10" s="27" t="s">
        <v>364</v>
      </c>
      <c r="B10" s="80"/>
      <c r="C10" s="103" t="s">
        <v>475</v>
      </c>
      <c r="D10" s="86"/>
      <c r="E10" s="86" t="s">
        <v>481</v>
      </c>
      <c r="F10" s="29"/>
      <c r="G10" s="83"/>
      <c r="H10" s="102" t="s">
        <v>371</v>
      </c>
      <c r="I10" s="201"/>
      <c r="J10" s="113" t="s">
        <v>359</v>
      </c>
      <c r="K10" s="198" t="s">
        <v>827</v>
      </c>
      <c r="L10" s="79" t="s">
        <v>801</v>
      </c>
      <c r="M10" s="155"/>
    </row>
    <row r="11" spans="1:14" s="44" customFormat="1" ht="18" customHeight="1">
      <c r="A11" s="127" t="s">
        <v>372</v>
      </c>
      <c r="B11" s="66"/>
      <c r="C11" s="103" t="s">
        <v>479</v>
      </c>
      <c r="D11" s="86" t="s">
        <v>418</v>
      </c>
      <c r="E11" s="291" t="s">
        <v>828</v>
      </c>
      <c r="F11" s="102" t="s">
        <v>376</v>
      </c>
      <c r="G11" s="103" t="s">
        <v>782</v>
      </c>
      <c r="H11" s="103" t="s">
        <v>829</v>
      </c>
      <c r="I11" s="203" t="s">
        <v>367</v>
      </c>
      <c r="J11" s="202" t="s">
        <v>360</v>
      </c>
      <c r="K11" s="198" t="s">
        <v>359</v>
      </c>
      <c r="L11" s="57" t="s">
        <v>804</v>
      </c>
      <c r="M11" s="155"/>
    </row>
    <row r="12" spans="1:14" s="44" customFormat="1" ht="31.7" customHeight="1">
      <c r="A12" s="37"/>
      <c r="B12" s="72"/>
      <c r="C12" s="74" t="s">
        <v>351</v>
      </c>
      <c r="D12" s="225" t="s">
        <v>391</v>
      </c>
      <c r="E12" s="315" t="s">
        <v>830</v>
      </c>
      <c r="F12" s="246" t="s">
        <v>831</v>
      </c>
      <c r="G12" s="247" t="s">
        <v>385</v>
      </c>
      <c r="H12" s="248" t="s">
        <v>832</v>
      </c>
      <c r="I12" s="130" t="s">
        <v>378</v>
      </c>
      <c r="J12" s="74" t="s">
        <v>833</v>
      </c>
      <c r="K12" s="204" t="s">
        <v>834</v>
      </c>
      <c r="L12" s="205" t="s">
        <v>835</v>
      </c>
      <c r="M12" s="155" t="s">
        <v>817</v>
      </c>
      <c r="N12" s="44" t="s">
        <v>836</v>
      </c>
    </row>
    <row r="13" spans="1:14" s="327" customFormat="1" ht="20.25" customHeight="1">
      <c r="A13" s="432">
        <v>2010</v>
      </c>
      <c r="B13" s="553"/>
      <c r="C13" s="1781">
        <v>206.71999595300002</v>
      </c>
      <c r="D13" s="951">
        <v>1975.9604127474704</v>
      </c>
      <c r="E13" s="818">
        <v>7447.0121993299599</v>
      </c>
      <c r="F13" s="952">
        <v>1629.0438848444269</v>
      </c>
      <c r="G13" s="1782">
        <v>303.27926289015875</v>
      </c>
      <c r="H13" s="1783">
        <v>1763.3542166185266</v>
      </c>
      <c r="I13" s="955">
        <v>13325.409972383542</v>
      </c>
      <c r="J13" s="818">
        <v>11284.894258913831</v>
      </c>
      <c r="K13" s="956">
        <v>24610.30423129737</v>
      </c>
      <c r="L13" s="957">
        <v>5611.6103890716913</v>
      </c>
      <c r="M13" s="336">
        <f>I13-C13-D13-E13-F13-G13-H13</f>
        <v>3.9999999999054126E-2</v>
      </c>
      <c r="N13" s="337">
        <f>K13-I13-J13</f>
        <v>0</v>
      </c>
    </row>
    <row r="14" spans="1:14" s="435" customFormat="1" ht="14.85" customHeight="1">
      <c r="A14" s="380">
        <v>2011</v>
      </c>
      <c r="B14" s="1378"/>
      <c r="C14" s="1784">
        <v>263.46238135799996</v>
      </c>
      <c r="D14" s="1785">
        <v>1999.0123355751743</v>
      </c>
      <c r="E14" s="1786">
        <v>7651.1940929533312</v>
      </c>
      <c r="F14" s="1787">
        <v>1939.5601898197947</v>
      </c>
      <c r="G14" s="1788">
        <v>282.20232561990963</v>
      </c>
      <c r="H14" s="1789">
        <v>1923.4247519765972</v>
      </c>
      <c r="I14" s="1790">
        <v>14058.860077302807</v>
      </c>
      <c r="J14" s="1786">
        <v>11276.324120526235</v>
      </c>
      <c r="K14" s="1791">
        <v>25335.214197829046</v>
      </c>
      <c r="L14" s="1792">
        <v>5984.0015617273739</v>
      </c>
      <c r="M14" s="336">
        <v>3.9999999989959178E-3</v>
      </c>
      <c r="N14" s="337">
        <v>3.0000000004292815E-2</v>
      </c>
    </row>
    <row r="15" spans="1:14" s="435" customFormat="1" ht="14.85" customHeight="1">
      <c r="A15" s="380">
        <v>2012</v>
      </c>
      <c r="B15" s="1378"/>
      <c r="C15" s="1784">
        <v>241.356032731</v>
      </c>
      <c r="D15" s="1785">
        <v>2181.2759220951812</v>
      </c>
      <c r="E15" s="1786">
        <v>8001.641473690227</v>
      </c>
      <c r="F15" s="1787">
        <v>2161.7006786672014</v>
      </c>
      <c r="G15" s="1788">
        <v>379.30339049041345</v>
      </c>
      <c r="H15" s="1789">
        <v>2033.046956992182</v>
      </c>
      <c r="I15" s="1790">
        <v>14998.326263666208</v>
      </c>
      <c r="J15" s="1786">
        <v>11965.343485007561</v>
      </c>
      <c r="K15" s="1791">
        <v>26963.579748673768</v>
      </c>
      <c r="L15" s="1792">
        <v>6800.8365672553427</v>
      </c>
      <c r="M15" s="336">
        <f>I15-C15-D15-E15-F15-G15-H15</f>
        <v>1.8090000019128638E-3</v>
      </c>
      <c r="N15" s="337">
        <f>K15-I15-J15</f>
        <v>-9.0000000000145519E-2</v>
      </c>
    </row>
    <row r="16" spans="1:14" s="435" customFormat="1" ht="14.85" customHeight="1">
      <c r="A16" s="380">
        <v>2013</v>
      </c>
      <c r="B16" s="1378"/>
      <c r="C16" s="1784">
        <v>218.99051589000001</v>
      </c>
      <c r="D16" s="1785">
        <v>1395.4907593772868</v>
      </c>
      <c r="E16" s="1786">
        <v>8724.9277938996911</v>
      </c>
      <c r="F16" s="1787">
        <v>2209.1584497808039</v>
      </c>
      <c r="G16" s="1788">
        <v>384.11398886274264</v>
      </c>
      <c r="H16" s="1789">
        <v>2216.3515393403723</v>
      </c>
      <c r="I16" s="1790">
        <v>15149.084060150897</v>
      </c>
      <c r="J16" s="1786">
        <v>13168.794688887474</v>
      </c>
      <c r="K16" s="1791">
        <v>28317.878749038373</v>
      </c>
      <c r="L16" s="1792">
        <v>5678.3908120460001</v>
      </c>
      <c r="M16" s="336">
        <v>5.1012999999329622E-2</v>
      </c>
      <c r="N16" s="337">
        <v>0</v>
      </c>
    </row>
    <row r="17" spans="1:23" s="435" customFormat="1" ht="14.85" customHeight="1">
      <c r="A17" s="380">
        <v>2014</v>
      </c>
      <c r="B17" s="1378"/>
      <c r="C17" s="1784">
        <v>204.40799999999999</v>
      </c>
      <c r="D17" s="1785">
        <v>1134.5427809237083</v>
      </c>
      <c r="E17" s="1786">
        <v>9303.8476498606851</v>
      </c>
      <c r="F17" s="1787">
        <v>2131.7978238024925</v>
      </c>
      <c r="G17" s="1788">
        <v>477.87503802240963</v>
      </c>
      <c r="H17" s="1789">
        <v>2447.6712515298118</v>
      </c>
      <c r="I17" s="1790">
        <v>15700.142544079108</v>
      </c>
      <c r="J17" s="1786">
        <v>14383.103905946613</v>
      </c>
      <c r="K17" s="1791">
        <v>30083.247450025719</v>
      </c>
      <c r="L17" s="1792">
        <v>4993.2264621563008</v>
      </c>
      <c r="M17" s="336">
        <v>-5.9998455981258303E-8</v>
      </c>
      <c r="N17" s="337">
        <v>9.9999999838473741E-4</v>
      </c>
    </row>
    <row r="18" spans="1:23" s="435" customFormat="1" ht="14.85" customHeight="1">
      <c r="A18" s="380">
        <v>2015</v>
      </c>
      <c r="B18" s="1378"/>
      <c r="C18" s="1784">
        <v>272.49399999999997</v>
      </c>
      <c r="D18" s="1785">
        <v>1111.123684988054</v>
      </c>
      <c r="E18" s="1786">
        <v>9563.2868831139676</v>
      </c>
      <c r="F18" s="1787">
        <v>2090.722456415363</v>
      </c>
      <c r="G18" s="1788">
        <v>526.46519075277604</v>
      </c>
      <c r="H18" s="1789">
        <v>2588.0031765462918</v>
      </c>
      <c r="I18" s="1790">
        <v>16152.145391816452</v>
      </c>
      <c r="J18" s="1786">
        <v>14750.222166700132</v>
      </c>
      <c r="K18" s="1791">
        <v>30902.317558516585</v>
      </c>
      <c r="L18" s="1792">
        <v>3544.8253978157354</v>
      </c>
      <c r="M18" s="336">
        <v>4.9999999999272404E-2</v>
      </c>
      <c r="N18" s="337">
        <v>-4.9999999999272404E-2</v>
      </c>
    </row>
    <row r="19" spans="1:23" s="435" customFormat="1" ht="14.85" customHeight="1">
      <c r="A19" s="380">
        <v>2016</v>
      </c>
      <c r="B19" s="1378"/>
      <c r="C19" s="1784">
        <v>244.19141922499998</v>
      </c>
      <c r="D19" s="1785">
        <v>1379.965264227757</v>
      </c>
      <c r="E19" s="1786">
        <v>9684.1768024505582</v>
      </c>
      <c r="F19" s="1787">
        <v>2122.3400329330002</v>
      </c>
      <c r="G19" s="1788">
        <v>508.03213834688023</v>
      </c>
      <c r="H19" s="1789">
        <v>2821.9793468185771</v>
      </c>
      <c r="I19" s="1790">
        <v>16760.705004001771</v>
      </c>
      <c r="J19" s="1786">
        <v>14452.803721047296</v>
      </c>
      <c r="K19" s="1791">
        <v>31213.508725049072</v>
      </c>
      <c r="L19" s="1792">
        <v>4032.8557085119255</v>
      </c>
      <c r="M19" s="336">
        <v>1.9999999996798579E-2</v>
      </c>
      <c r="N19" s="337">
        <v>0</v>
      </c>
    </row>
    <row r="20" spans="1:23" s="435" customFormat="1" ht="14.85" customHeight="1">
      <c r="A20" s="380">
        <v>2017</v>
      </c>
      <c r="B20" s="1378"/>
      <c r="C20" s="1784">
        <v>149.29214221300001</v>
      </c>
      <c r="D20" s="1785">
        <v>1109.7975951103731</v>
      </c>
      <c r="E20" s="1786">
        <v>10118.4618776599</v>
      </c>
      <c r="F20" s="1787">
        <v>2220.4920646659998</v>
      </c>
      <c r="G20" s="1788">
        <v>565.70256908627994</v>
      </c>
      <c r="H20" s="1789">
        <v>2939.7397306716152</v>
      </c>
      <c r="I20" s="1790">
        <v>17103.486713407165</v>
      </c>
      <c r="J20" s="1786">
        <v>14285.454760065642</v>
      </c>
      <c r="K20" s="1791">
        <v>31388.961473472802</v>
      </c>
      <c r="L20" s="1792">
        <v>5369.0489066365972</v>
      </c>
      <c r="M20" s="336">
        <v>7.3399999882894917E-4</v>
      </c>
      <c r="N20" s="337">
        <v>1.9999999994979589E-2</v>
      </c>
    </row>
    <row r="21" spans="1:23" s="411" customFormat="1" ht="14.25" customHeight="1">
      <c r="A21" s="905">
        <v>2018</v>
      </c>
      <c r="B21" s="906"/>
      <c r="C21" s="1793">
        <f t="shared" ref="C21:L21" si="0">C25</f>
        <v>51.853601465000096</v>
      </c>
      <c r="D21" s="1036">
        <f t="shared" si="0"/>
        <v>1462.1701916448399</v>
      </c>
      <c r="E21" s="739">
        <f t="shared" si="0"/>
        <v>10346.975676318638</v>
      </c>
      <c r="F21" s="823">
        <f t="shared" si="0"/>
        <v>2204.7496815409345</v>
      </c>
      <c r="G21" s="815">
        <f t="shared" si="0"/>
        <v>707.40440267365625</v>
      </c>
      <c r="H21" s="1078">
        <f t="shared" si="0"/>
        <v>3059.1801379685185</v>
      </c>
      <c r="I21" s="816">
        <f t="shared" si="0"/>
        <v>17832.364570611586</v>
      </c>
      <c r="J21" s="739">
        <f t="shared" si="0"/>
        <v>14736.649777062137</v>
      </c>
      <c r="K21" s="924">
        <f t="shared" si="0"/>
        <v>32568.984347673726</v>
      </c>
      <c r="L21" s="1064">
        <f t="shared" si="0"/>
        <v>6022.3416935919404</v>
      </c>
      <c r="M21" s="926">
        <f>I21-C21-D21-E21-F21-G21-H21</f>
        <v>3.0878999997185019E-2</v>
      </c>
      <c r="N21" s="337">
        <f>K21-I21-J21</f>
        <v>-2.9999999997016857E-2</v>
      </c>
    </row>
    <row r="22" spans="1:23" s="411" customFormat="1" ht="14.25" customHeight="1">
      <c r="A22" s="1193">
        <v>2019</v>
      </c>
      <c r="B22" s="1483"/>
      <c r="C22" s="1794">
        <f t="shared" ref="C22:L22" si="1">C29</f>
        <v>182.071201108</v>
      </c>
      <c r="D22" s="1795">
        <f t="shared" si="1"/>
        <v>1197.8814652559513</v>
      </c>
      <c r="E22" s="1649">
        <f t="shared" si="1"/>
        <v>11551.438842662628</v>
      </c>
      <c r="F22" s="1796">
        <f t="shared" si="1"/>
        <v>2126.8431378315859</v>
      </c>
      <c r="G22" s="1797">
        <f t="shared" si="1"/>
        <v>692.59966619936165</v>
      </c>
      <c r="H22" s="1798">
        <f t="shared" si="1"/>
        <v>3216.7822479616516</v>
      </c>
      <c r="I22" s="1799">
        <f t="shared" si="1"/>
        <v>18967.637575019176</v>
      </c>
      <c r="J22" s="1649">
        <f t="shared" si="1"/>
        <v>16402.184863421702</v>
      </c>
      <c r="K22" s="1800">
        <f t="shared" si="1"/>
        <v>35369.842438440879</v>
      </c>
      <c r="L22" s="1801">
        <f t="shared" si="1"/>
        <v>6812.3444822128668</v>
      </c>
      <c r="M22" s="926">
        <f>I22-C22-D22-E22-F22-G22-H22</f>
        <v>2.1013999997194333E-2</v>
      </c>
      <c r="N22" s="337">
        <f>K22-I22-J22</f>
        <v>2.0000000000436557E-2</v>
      </c>
    </row>
    <row r="23" spans="1:23" s="411" customFormat="1" ht="20.25" customHeight="1">
      <c r="A23" s="905">
        <v>2018</v>
      </c>
      <c r="B23" s="906" t="s">
        <v>223</v>
      </c>
      <c r="C23" s="1793">
        <v>76.951377293000007</v>
      </c>
      <c r="D23" s="1036">
        <v>1319.6932841071468</v>
      </c>
      <c r="E23" s="739">
        <v>10074.211634033736</v>
      </c>
      <c r="F23" s="823">
        <v>2218.4146236079623</v>
      </c>
      <c r="G23" s="815">
        <v>652.8369108606779</v>
      </c>
      <c r="H23" s="1078">
        <v>2956.0733815049093</v>
      </c>
      <c r="I23" s="816">
        <v>17298.182090407434</v>
      </c>
      <c r="J23" s="739">
        <v>14798.696350564696</v>
      </c>
      <c r="K23" s="924">
        <v>32096.878440972127</v>
      </c>
      <c r="L23" s="1064">
        <v>7023.3093624326393</v>
      </c>
      <c r="M23" s="336">
        <f t="shared" ref="M23" si="2">I23-C23-D23-E23-F23-G23-H23</f>
        <v>8.7900000107765663E-4</v>
      </c>
      <c r="N23" s="337">
        <f t="shared" ref="N23" si="3">K23-I23-J23</f>
        <v>0</v>
      </c>
    </row>
    <row r="24" spans="1:23" s="411" customFormat="1" ht="14.25" customHeight="1">
      <c r="A24" s="905"/>
      <c r="B24" s="906" t="s">
        <v>224</v>
      </c>
      <c r="C24" s="1793">
        <v>10.142706607999838</v>
      </c>
      <c r="D24" s="1036">
        <v>1241.0224406830341</v>
      </c>
      <c r="E24" s="739">
        <v>10208.912970239588</v>
      </c>
      <c r="F24" s="823">
        <v>2150.0720604511271</v>
      </c>
      <c r="G24" s="815">
        <v>688.39089551282359</v>
      </c>
      <c r="H24" s="1078">
        <v>3078.4620839674258</v>
      </c>
      <c r="I24" s="816">
        <v>17376.984036461996</v>
      </c>
      <c r="J24" s="739">
        <v>14781.537663270514</v>
      </c>
      <c r="K24" s="924">
        <v>32158.521699732511</v>
      </c>
      <c r="L24" s="1064">
        <v>6475.7669693695634</v>
      </c>
      <c r="M24" s="926">
        <v>-1.9121000002542132E-2</v>
      </c>
      <c r="N24" s="337">
        <v>0</v>
      </c>
    </row>
    <row r="25" spans="1:23" s="411" customFormat="1" ht="14.25" customHeight="1">
      <c r="A25" s="905"/>
      <c r="B25" s="906" t="s">
        <v>225</v>
      </c>
      <c r="C25" s="1793">
        <v>51.853601465000096</v>
      </c>
      <c r="D25" s="1036">
        <v>1462.1701916448399</v>
      </c>
      <c r="E25" s="739">
        <v>10346.975676318638</v>
      </c>
      <c r="F25" s="823">
        <v>2204.7496815409345</v>
      </c>
      <c r="G25" s="815">
        <v>707.40440267365625</v>
      </c>
      <c r="H25" s="1078">
        <v>3059.1801379685185</v>
      </c>
      <c r="I25" s="816">
        <v>17832.364570611586</v>
      </c>
      <c r="J25" s="739">
        <v>14736.649777062137</v>
      </c>
      <c r="K25" s="924">
        <v>32568.984347673726</v>
      </c>
      <c r="L25" s="1064">
        <v>6022.3416935919404</v>
      </c>
      <c r="M25" s="926">
        <v>3.0878999997185019E-2</v>
      </c>
      <c r="N25" s="337">
        <v>-2.9999999997016857E-2</v>
      </c>
    </row>
    <row r="26" spans="1:23" s="411" customFormat="1" ht="20.25" customHeight="1">
      <c r="A26" s="905">
        <v>2019</v>
      </c>
      <c r="B26" s="906" t="s">
        <v>222</v>
      </c>
      <c r="C26" s="1793">
        <v>35.521565812000006</v>
      </c>
      <c r="D26" s="1036">
        <v>1551.8171406340268</v>
      </c>
      <c r="E26" s="739">
        <v>10807.068407812116</v>
      </c>
      <c r="F26" s="823">
        <v>2332.0589770275978</v>
      </c>
      <c r="G26" s="815">
        <v>876.81165745250075</v>
      </c>
      <c r="H26" s="1078">
        <v>3067.1059176782128</v>
      </c>
      <c r="I26" s="816">
        <v>18670.384545416455</v>
      </c>
      <c r="J26" s="739">
        <v>15749.677667191216</v>
      </c>
      <c r="K26" s="924">
        <v>34420.062212607671</v>
      </c>
      <c r="L26" s="1064">
        <v>6461.2852568401859</v>
      </c>
      <c r="M26" s="336">
        <v>8.7900000198715134E-4</v>
      </c>
      <c r="N26" s="337">
        <v>0</v>
      </c>
    </row>
    <row r="27" spans="1:23" s="411" customFormat="1" ht="14.25" customHeight="1">
      <c r="A27" s="905"/>
      <c r="B27" s="906" t="s">
        <v>223</v>
      </c>
      <c r="C27" s="1793">
        <f t="shared" ref="C27:L27" si="4">C33</f>
        <v>132.07601956600001</v>
      </c>
      <c r="D27" s="1036">
        <f t="shared" si="4"/>
        <v>1399.0786984727183</v>
      </c>
      <c r="E27" s="739">
        <f t="shared" si="4"/>
        <v>11303.437980721554</v>
      </c>
      <c r="F27" s="823">
        <f t="shared" si="4"/>
        <v>2201.9663016669228</v>
      </c>
      <c r="G27" s="815">
        <f t="shared" si="4"/>
        <v>683.39674311658962</v>
      </c>
      <c r="H27" s="1078">
        <f t="shared" si="4"/>
        <v>3091.0540004306995</v>
      </c>
      <c r="I27" s="816">
        <f t="shared" si="4"/>
        <v>18811.060622974484</v>
      </c>
      <c r="J27" s="739">
        <f t="shared" si="4"/>
        <v>15717.845948730552</v>
      </c>
      <c r="K27" s="924">
        <f t="shared" si="4"/>
        <v>34528.85657170503</v>
      </c>
      <c r="L27" s="1064">
        <f t="shared" si="4"/>
        <v>6859.7342700845293</v>
      </c>
      <c r="M27" s="336">
        <f t="shared" ref="M27" si="5">I27-C27-D27-E27-F27-G27-H27</f>
        <v>5.0879000001714303E-2</v>
      </c>
      <c r="N27" s="337">
        <f t="shared" ref="N27" si="6">K27-I27-J27</f>
        <v>-5.0000000006548362E-2</v>
      </c>
    </row>
    <row r="28" spans="1:23" s="411" customFormat="1" ht="14.25" customHeight="1">
      <c r="A28" s="905"/>
      <c r="B28" s="906" t="s">
        <v>224</v>
      </c>
      <c r="C28" s="1793">
        <f t="shared" ref="C28:L28" si="7">C36</f>
        <v>167.32272406600001</v>
      </c>
      <c r="D28" s="1036">
        <f t="shared" si="7"/>
        <v>1432.6644348431701</v>
      </c>
      <c r="E28" s="739">
        <f t="shared" si="7"/>
        <v>11265.203150186733</v>
      </c>
      <c r="F28" s="823">
        <f t="shared" si="7"/>
        <v>2199.4222803073699</v>
      </c>
      <c r="G28" s="815">
        <f t="shared" si="7"/>
        <v>709.99914251540895</v>
      </c>
      <c r="H28" s="1078">
        <f t="shared" si="7"/>
        <v>3185.3219829229693</v>
      </c>
      <c r="I28" s="816">
        <f t="shared" si="7"/>
        <v>18959.914593841648</v>
      </c>
      <c r="J28" s="739">
        <f t="shared" si="7"/>
        <v>15753.228341043903</v>
      </c>
      <c r="K28" s="924">
        <f t="shared" si="7"/>
        <v>34713.142934885545</v>
      </c>
      <c r="L28" s="1064">
        <f t="shared" si="7"/>
        <v>7223.3873903425301</v>
      </c>
      <c r="M28" s="336">
        <f t="shared" ref="M28" si="8">I28-C28-D28-E28-F28-G28-H28</f>
        <v>-1.9121000004361122E-2</v>
      </c>
      <c r="N28" s="337">
        <f t="shared" ref="N28" si="9">K28-I28-J28</f>
        <v>0</v>
      </c>
    </row>
    <row r="29" spans="1:23" s="411" customFormat="1" ht="14.25" customHeight="1">
      <c r="A29" s="905"/>
      <c r="B29" s="906" t="s">
        <v>225</v>
      </c>
      <c r="C29" s="1793">
        <f t="shared" ref="C29:L29" si="10">C39</f>
        <v>182.071201108</v>
      </c>
      <c r="D29" s="1036">
        <f t="shared" si="10"/>
        <v>1197.8814652559513</v>
      </c>
      <c r="E29" s="739">
        <f t="shared" si="10"/>
        <v>11551.438842662628</v>
      </c>
      <c r="F29" s="823">
        <f t="shared" si="10"/>
        <v>2126.8431378315859</v>
      </c>
      <c r="G29" s="815">
        <f t="shared" si="10"/>
        <v>692.59966619936165</v>
      </c>
      <c r="H29" s="1078">
        <f t="shared" si="10"/>
        <v>3216.7822479616516</v>
      </c>
      <c r="I29" s="816">
        <f t="shared" si="10"/>
        <v>18967.637575019176</v>
      </c>
      <c r="J29" s="739">
        <f t="shared" si="10"/>
        <v>16402.184863421702</v>
      </c>
      <c r="K29" s="924">
        <f t="shared" si="10"/>
        <v>35369.842438440879</v>
      </c>
      <c r="L29" s="1064">
        <f t="shared" si="10"/>
        <v>6812.3444822128668</v>
      </c>
      <c r="M29" s="336">
        <f t="shared" ref="M29" si="11">I29-C29-D29-E29-F29-G29-H29</f>
        <v>2.1013999997194333E-2</v>
      </c>
      <c r="N29" s="337">
        <f t="shared" ref="N29" si="12">K29-I29-J29</f>
        <v>2.0000000000436557E-2</v>
      </c>
    </row>
    <row r="30" spans="1:23" s="411" customFormat="1" ht="21" customHeight="1">
      <c r="A30" s="1193">
        <v>2020</v>
      </c>
      <c r="B30" s="1483" t="s">
        <v>222</v>
      </c>
      <c r="C30" s="1794">
        <f t="shared" ref="C30:L30" si="13">C42</f>
        <v>149.83479707199999</v>
      </c>
      <c r="D30" s="1795">
        <f t="shared" si="13"/>
        <v>1335.1191035865631</v>
      </c>
      <c r="E30" s="1649">
        <f t="shared" si="13"/>
        <v>11787.002352257745</v>
      </c>
      <c r="F30" s="1796">
        <f t="shared" si="13"/>
        <v>2164.7400055990001</v>
      </c>
      <c r="G30" s="1797">
        <f t="shared" si="13"/>
        <v>970.66998909040058</v>
      </c>
      <c r="H30" s="1798">
        <f t="shared" si="13"/>
        <v>2710.2056550630355</v>
      </c>
      <c r="I30" s="1799">
        <f t="shared" si="13"/>
        <v>19117.542916668746</v>
      </c>
      <c r="J30" s="1649">
        <f t="shared" si="13"/>
        <v>16634.808180771965</v>
      </c>
      <c r="K30" s="1800">
        <f t="shared" si="13"/>
        <v>35752.331097440714</v>
      </c>
      <c r="L30" s="1801">
        <f t="shared" si="13"/>
        <v>9023.0830550180926</v>
      </c>
      <c r="M30" s="336">
        <f t="shared" ref="M30" si="14">I30-C30-D30-E30-F30-G30-H30</f>
        <v>-2.8985999996621103E-2</v>
      </c>
      <c r="N30" s="337">
        <f t="shared" ref="N30" si="15">K30-I30-J30</f>
        <v>-1.9999999996798579E-2</v>
      </c>
    </row>
    <row r="31" spans="1:23" s="327" customFormat="1" ht="20.25" customHeight="1">
      <c r="A31" s="432">
        <v>2019</v>
      </c>
      <c r="B31" s="553" t="s">
        <v>399</v>
      </c>
      <c r="C31" s="814">
        <f>SUM('[5]1'!$C$14:$D$14)</f>
        <v>82.020715182999993</v>
      </c>
      <c r="D31" s="1036">
        <f>SUM('[5]1'!$C$18:$D$18)+SUM('[5]1'!$C$30:$D$30)+SUM('[5]1'!$C$33:$D$33)</f>
        <v>1239.5258208346738</v>
      </c>
      <c r="E31" s="739">
        <f>SUM('[5]1'!$C$25:$D$29)</f>
        <v>10999.884695845831</v>
      </c>
      <c r="F31" s="823">
        <f>SUM('[5]1'!$C$23:$D$24)+0.02</f>
        <v>2380.4594507754514</v>
      </c>
      <c r="G31" s="815">
        <f>SUM('[5]1'!$C$31:$D$31)+SUM('[5]1'!$C$37:$D$37)</f>
        <v>724.21452110986809</v>
      </c>
      <c r="H31" s="896">
        <f>SUM('[5]1'!$C$34:$D$34)+SUM('[5]1'!$C$36:$D$36)</f>
        <v>3088.600077931942</v>
      </c>
      <c r="I31" s="816">
        <f>SUM('[5]1'!$C$38:$D$38)</f>
        <v>18514.699298445612</v>
      </c>
      <c r="J31" s="816">
        <f>SUM('[5]1'!$E$38:$H$38)</f>
        <v>15231.438538098153</v>
      </c>
      <c r="K31" s="924">
        <f>'[5]1'!$I$38</f>
        <v>33746.137836543763</v>
      </c>
      <c r="L31" s="1064">
        <f>'[5]1'!$I$40</f>
        <v>6339.0958296623794</v>
      </c>
      <c r="M31" s="946">
        <f t="shared" ref="M31" si="16">I31-C31-D31-E31-F31-G31-H31</f>
        <v>-5.9832351553268381E-3</v>
      </c>
      <c r="N31" s="1065">
        <f t="shared" ref="N31" si="17">K31-I31-J31</f>
        <v>0</v>
      </c>
      <c r="O31" s="411"/>
      <c r="P31" s="411"/>
      <c r="Q31" s="411"/>
      <c r="R31" s="411"/>
      <c r="S31" s="411"/>
      <c r="T31" s="411"/>
      <c r="U31" s="411"/>
      <c r="V31" s="411"/>
      <c r="W31" s="381"/>
    </row>
    <row r="32" spans="1:23" s="327" customFormat="1" ht="14.25" customHeight="1">
      <c r="A32" s="432"/>
      <c r="B32" s="553" t="s">
        <v>400</v>
      </c>
      <c r="C32" s="786">
        <f>SUM('[6]1'!$C$14:$D$14)</f>
        <v>153.31436404500002</v>
      </c>
      <c r="D32" s="951">
        <f>SUM('[6]1'!$C$18:$D$18)+SUM('[6]1'!$C$30:$D$30)+SUM('[6]1'!$C$33:$D$33)</f>
        <v>1432.5589127530002</v>
      </c>
      <c r="E32" s="818">
        <f>SUM('[6]1'!$C$25:$D$29)</f>
        <v>10977.540066906338</v>
      </c>
      <c r="F32" s="952">
        <f>SUM('[6]1'!$C$23:$D$24)</f>
        <v>2407.2241522572695</v>
      </c>
      <c r="G32" s="953">
        <f>SUM('[6]1'!$C$31:$D$31)+SUM('[6]1'!$C$37:$D$37)</f>
        <v>693.78000891475199</v>
      </c>
      <c r="H32" s="954">
        <f>SUM('[6]1'!$C$34:$D$34)+SUM('[6]1'!$C$36:$D$36)-0.01</f>
        <v>3067.8414625415007</v>
      </c>
      <c r="I32" s="955">
        <f>SUM('[6]1'!$C$38:$D$38)-0.03</f>
        <v>18732.239846417862</v>
      </c>
      <c r="J32" s="955">
        <f>SUM('[6]1'!$E$38:$H$38)</f>
        <v>15612.024589840888</v>
      </c>
      <c r="K32" s="956">
        <f>'[6]1'!$I$38-0.05</f>
        <v>34344.244436258748</v>
      </c>
      <c r="L32" s="957">
        <f>'[6]1'!$I$40</f>
        <v>6150.7876680467534</v>
      </c>
      <c r="M32" s="336">
        <f t="shared" ref="M32" si="18">I32-C32-D32-E32-F32-G32-H32</f>
        <v>-1.9120999998449406E-2</v>
      </c>
      <c r="N32" s="337">
        <f t="shared" ref="N32" si="19">K32-I32-J32</f>
        <v>-2.0000000002255547E-2</v>
      </c>
      <c r="O32" s="381"/>
      <c r="P32" s="381"/>
      <c r="Q32" s="381"/>
      <c r="R32" s="381"/>
      <c r="S32" s="381"/>
      <c r="T32" s="381"/>
      <c r="U32" s="381"/>
      <c r="V32" s="381"/>
      <c r="W32" s="381"/>
    </row>
    <row r="33" spans="1:23" s="327" customFormat="1" ht="14.25" customHeight="1">
      <c r="A33" s="432"/>
      <c r="B33" s="553" t="s">
        <v>401</v>
      </c>
      <c r="C33" s="786">
        <f>SUM('[7]1'!$C$14:$D$14)</f>
        <v>132.07601956600001</v>
      </c>
      <c r="D33" s="951">
        <f>SUM('[7]1'!$C$18:$D$18)+SUM('[7]1'!$C$30:$D$30)+SUM('[7]1'!$C$33:$D$33)</f>
        <v>1399.0786984727183</v>
      </c>
      <c r="E33" s="818">
        <f>SUM('[7]1'!$C$25:$D$29)</f>
        <v>11303.437980721554</v>
      </c>
      <c r="F33" s="952">
        <f>SUM('[7]1'!$C$23:$D$24)</f>
        <v>2201.9663016669228</v>
      </c>
      <c r="G33" s="953">
        <f>SUM('[7]1'!$C$31:$D$31)+SUM('[7]1'!$C$37:$D$37)</f>
        <v>683.39674311658962</v>
      </c>
      <c r="H33" s="954">
        <f>SUM('[7]1'!$C$34:$D$34)+SUM('[7]1'!$C$36:$D$36)</f>
        <v>3091.0540004306995</v>
      </c>
      <c r="I33" s="955">
        <f>SUM('[7]1'!$C$38:$D$38)+0.05</f>
        <v>18811.060622974484</v>
      </c>
      <c r="J33" s="955">
        <f>SUM('[7]1'!$E$38:$H$38)</f>
        <v>15717.845948730552</v>
      </c>
      <c r="K33" s="956">
        <f>'[7]1'!$I$38</f>
        <v>34528.85657170503</v>
      </c>
      <c r="L33" s="957">
        <f>'[7]1'!$I$40</f>
        <v>6859.7342700845293</v>
      </c>
      <c r="M33" s="336">
        <f t="shared" ref="M33" si="20">I33-C33-D33-E33-F33-G33-H33</f>
        <v>5.0879000001714303E-2</v>
      </c>
      <c r="N33" s="337">
        <f t="shared" ref="N33" si="21">K33-I33-J33</f>
        <v>-5.0000000006548362E-2</v>
      </c>
      <c r="O33" s="381"/>
      <c r="P33" s="381"/>
      <c r="Q33" s="381"/>
      <c r="R33" s="381"/>
      <c r="S33" s="381"/>
      <c r="T33" s="381"/>
      <c r="U33" s="381"/>
      <c r="V33" s="381"/>
      <c r="W33" s="381"/>
    </row>
    <row r="34" spans="1:23" s="327" customFormat="1" ht="14.25" customHeight="1">
      <c r="A34" s="432"/>
      <c r="B34" s="553" t="s">
        <v>402</v>
      </c>
      <c r="C34" s="786">
        <f>SUM('[8]1'!$C$14:$D$14)</f>
        <v>106.08295300500001</v>
      </c>
      <c r="D34" s="951">
        <f>SUM('[8]1'!$C$18:$D$18)+SUM('[8]1'!$C$30:$D$30)+SUM('[8]1'!$C$33:$D$33)</f>
        <v>1431.7733770082027</v>
      </c>
      <c r="E34" s="818">
        <f>SUM('[8]1'!$C$25:$D$29)</f>
        <v>11107.547706546184</v>
      </c>
      <c r="F34" s="952">
        <f>SUM('[8]1'!$C$23:$D$24)</f>
        <v>2242.5909296007571</v>
      </c>
      <c r="G34" s="953">
        <f>SUM('[8]1'!$C$31:$D$31)+SUM('[8]1'!$C$37:$D$37)</f>
        <v>728.27825310748653</v>
      </c>
      <c r="H34" s="954">
        <f>SUM('[8]1'!$C$34:$D$34)+SUM('[8]1'!$C$36:$D$36)-0.03</f>
        <v>3154.1367724712959</v>
      </c>
      <c r="I34" s="955">
        <f>SUM('[8]1'!$C$38:$D$38)</f>
        <v>18770.43860323491</v>
      </c>
      <c r="J34" s="955">
        <f>SUM('[8]1'!$E$38:$H$38)</f>
        <v>15899.628821313274</v>
      </c>
      <c r="K34" s="956">
        <f>'[8]1'!$I$38-0.03</f>
        <v>34670.037424548187</v>
      </c>
      <c r="L34" s="957">
        <f>'[8]1'!$I$40</f>
        <v>6465.3219729126595</v>
      </c>
      <c r="M34" s="336">
        <f t="shared" ref="M34" si="22">I34-C34-D34-E34-F34-G34-H34</f>
        <v>2.8611495985842339E-2</v>
      </c>
      <c r="N34" s="337">
        <f t="shared" ref="N34" si="23">K34-I34-J34</f>
        <v>-2.9999999997016857E-2</v>
      </c>
      <c r="O34" s="381"/>
      <c r="P34" s="381"/>
      <c r="Q34" s="381"/>
      <c r="R34" s="381"/>
      <c r="S34" s="381"/>
      <c r="T34" s="381"/>
      <c r="U34" s="381"/>
      <c r="V34" s="381"/>
      <c r="W34" s="381"/>
    </row>
    <row r="35" spans="1:23" s="327" customFormat="1" ht="14.25" customHeight="1">
      <c r="A35" s="432"/>
      <c r="B35" s="553" t="s">
        <v>403</v>
      </c>
      <c r="C35" s="786">
        <f>SUM('[9]1'!$C$14:$D$14)</f>
        <v>105.36781435900002</v>
      </c>
      <c r="D35" s="951">
        <f>SUM('[9]1'!$C$18:$D$18)+SUM('[9]1'!$C$30:$D$30)+SUM('[9]1'!$C$33:$D$33)</f>
        <v>1265.7716736944537</v>
      </c>
      <c r="E35" s="818">
        <f>SUM('[9]1'!$C$25:$D$29)</f>
        <v>11278.411073638888</v>
      </c>
      <c r="F35" s="952">
        <f>SUM('[9]1'!$C$23:$D$24)</f>
        <v>2244.836002203991</v>
      </c>
      <c r="G35" s="953">
        <f>SUM('[9]1'!$C$31:$D$31)+SUM('[9]1'!$C$37:$D$37)</f>
        <v>726.80944300540102</v>
      </c>
      <c r="H35" s="954">
        <f>SUM('[9]1'!$C$34:$D$34)+SUM('[9]1'!$C$36:$D$36)</f>
        <v>3154.9201798173453</v>
      </c>
      <c r="I35" s="955">
        <f>SUM('[9]1'!$C$38:$D$38)</f>
        <v>18776.117552584714</v>
      </c>
      <c r="J35" s="955">
        <f>SUM('[9]1'!$E$38:$H$38)+0.02</f>
        <v>16063.861069451006</v>
      </c>
      <c r="K35" s="956">
        <f>'[9]1'!$I$38</f>
        <v>34839.958622035723</v>
      </c>
      <c r="L35" s="957">
        <f>'[9]1'!$I$40</f>
        <v>6643.7732920497756</v>
      </c>
      <c r="M35" s="336">
        <f t="shared" ref="M35" si="24">I35-C35-D35-E35-F35-G35-H35</f>
        <v>1.3658656343977782E-3</v>
      </c>
      <c r="N35" s="337">
        <f t="shared" ref="N35" si="25">K35-I35-J35</f>
        <v>-1.9999999996798579E-2</v>
      </c>
      <c r="O35" s="381"/>
      <c r="P35" s="381"/>
      <c r="Q35" s="381"/>
      <c r="R35" s="381"/>
      <c r="S35" s="381"/>
      <c r="T35" s="381"/>
      <c r="U35" s="381"/>
      <c r="V35" s="381"/>
      <c r="W35" s="381"/>
    </row>
    <row r="36" spans="1:23" s="327" customFormat="1" ht="14.25" customHeight="1">
      <c r="A36" s="432"/>
      <c r="B36" s="553" t="s">
        <v>404</v>
      </c>
      <c r="C36" s="786">
        <f>SUM('[10]1'!$C$14:$D$14)</f>
        <v>167.32272406600001</v>
      </c>
      <c r="D36" s="951">
        <f>SUM('[10]1'!$C$18:$D$18)+SUM('[10]1'!$C$30:$D$30)+SUM('[10]1'!$C$33:$D$33)+0.02</f>
        <v>1432.6644348431701</v>
      </c>
      <c r="E36" s="818">
        <f>SUM('[10]1'!$C$25:$D$29)</f>
        <v>11265.203150186733</v>
      </c>
      <c r="F36" s="952">
        <f>SUM('[10]1'!$C$23:$D$24)</f>
        <v>2199.4222803073699</v>
      </c>
      <c r="G36" s="953">
        <f>SUM('[10]1'!$C$31:$D$31)+SUM('[10]1'!$C$37:$D$37)</f>
        <v>709.99914251540895</v>
      </c>
      <c r="H36" s="954">
        <f>SUM('[10]1'!$C$34:$D$34)+SUM('[10]1'!$C$36:$D$36)</f>
        <v>3185.3219829229693</v>
      </c>
      <c r="I36" s="955">
        <f>SUM('[10]1'!$C$38:$D$38)</f>
        <v>18959.914593841648</v>
      </c>
      <c r="J36" s="955">
        <f>SUM('[10]1'!$E$38:$H$38)</f>
        <v>15753.228341043903</v>
      </c>
      <c r="K36" s="956">
        <f>'[10]1'!$I$38</f>
        <v>34713.142934885545</v>
      </c>
      <c r="L36" s="957">
        <f>'[10]1'!$I$40</f>
        <v>7223.3873903425301</v>
      </c>
      <c r="M36" s="336">
        <f t="shared" ref="M36" si="26">I36-C36-D36-E36-F36-G36-H36</f>
        <v>-1.9121000004361122E-2</v>
      </c>
      <c r="N36" s="337">
        <f t="shared" ref="N36" si="27">K36-I36-J36</f>
        <v>0</v>
      </c>
      <c r="O36" s="381"/>
      <c r="P36" s="381"/>
      <c r="Q36" s="381"/>
      <c r="R36" s="381"/>
      <c r="S36" s="381"/>
      <c r="T36" s="381"/>
      <c r="U36" s="381"/>
      <c r="V36" s="381"/>
      <c r="W36" s="381"/>
    </row>
    <row r="37" spans="1:23" s="327" customFormat="1" ht="14.25" customHeight="1">
      <c r="A37" s="432"/>
      <c r="B37" s="553" t="s">
        <v>405</v>
      </c>
      <c r="C37" s="786">
        <f>SUM('[11]1'!$C$14:$D$14)</f>
        <v>184.67812252500002</v>
      </c>
      <c r="D37" s="951">
        <f>SUM('[11]1'!$C$18:$D$18)+SUM('[11]1'!$C$30:$D$30)+SUM('[11]1'!$C$33:$D$33)</f>
        <v>1111.983788937428</v>
      </c>
      <c r="E37" s="818">
        <f>SUM('[11]1'!$C$25:$D$29)</f>
        <v>11440.5482891339</v>
      </c>
      <c r="F37" s="952">
        <f>SUM('[11]1'!$C$23:$D$24)</f>
        <v>2204.1413776383979</v>
      </c>
      <c r="G37" s="953">
        <f>SUM('[11]1'!$C$31:$D$31)+SUM('[11]1'!$C$37:$D$37)</f>
        <v>696.585611723429</v>
      </c>
      <c r="H37" s="954">
        <f>SUM('[11]1'!$C$34:$D$34)+SUM('[11]1'!$C$36:$D$36)</f>
        <v>3212.5239738121636</v>
      </c>
      <c r="I37" s="955">
        <f>SUM('[11]1'!$C$38:$D$38)-0.02</f>
        <v>18850.44208777032</v>
      </c>
      <c r="J37" s="955">
        <f>SUM('[11]1'!$E$38:$H$38)</f>
        <v>15985.514490903517</v>
      </c>
      <c r="K37" s="956">
        <f>'[11]1'!$I$38-0.05</f>
        <v>34835.926578673832</v>
      </c>
      <c r="L37" s="957">
        <f>'[11]1'!$I$40</f>
        <v>7079.720177002001</v>
      </c>
      <c r="M37" s="336">
        <f t="shared" ref="M37" si="28">I37-C37-D37-E37-F37-G37-H37</f>
        <v>-1.9076000000495696E-2</v>
      </c>
      <c r="N37" s="337">
        <f t="shared" ref="N37" si="29">K37-I37-J37</f>
        <v>-3.0000000004292815E-2</v>
      </c>
      <c r="O37" s="381"/>
      <c r="P37" s="381"/>
      <c r="Q37" s="381"/>
      <c r="R37" s="381"/>
      <c r="S37" s="381"/>
      <c r="T37" s="381"/>
      <c r="U37" s="381"/>
      <c r="V37" s="381"/>
      <c r="W37" s="381"/>
    </row>
    <row r="38" spans="1:23" s="327" customFormat="1" ht="14.25" customHeight="1">
      <c r="A38" s="432"/>
      <c r="B38" s="553" t="s">
        <v>406</v>
      </c>
      <c r="C38" s="786">
        <f>SUM('[12]1'!$C$14:$D$14)</f>
        <v>186.779564448</v>
      </c>
      <c r="D38" s="951">
        <f>SUM('[12]1'!$C$18:$D$18)+SUM('[12]1'!$C$30:$D$30)+SUM('[12]1'!$C$33:$D$33)</f>
        <v>1085.2804313584563</v>
      </c>
      <c r="E38" s="818">
        <f>SUM('[12]1'!$C$25:$D$29)</f>
        <v>11464.787394286923</v>
      </c>
      <c r="F38" s="952">
        <f>SUM('[12]1'!$C$23:$D$24)</f>
        <v>2178.4052764807816</v>
      </c>
      <c r="G38" s="953">
        <f>SUM('[12]1'!$C$31:$D$31)+SUM('[12]1'!$C$37:$D$37)</f>
        <v>726.89950844286489</v>
      </c>
      <c r="H38" s="954">
        <f>SUM('[12]1'!$C$34:$D$34)+SUM('[12]1'!$C$36:$D$36)</f>
        <v>3242.107662682859</v>
      </c>
      <c r="I38" s="955">
        <f>SUM('[12]1'!$C$38:$D$38)</f>
        <v>18884.274806699887</v>
      </c>
      <c r="J38" s="955">
        <f>SUM('[12]1'!$E$38:$H$38)+0.02</f>
        <v>16482.956103180182</v>
      </c>
      <c r="K38" s="956">
        <f>'[12]1'!$I$38+0.05</f>
        <v>35367.260909880075</v>
      </c>
      <c r="L38" s="957">
        <f>'[12]1'!$I$40</f>
        <v>7028.3942340034173</v>
      </c>
      <c r="M38" s="336">
        <f t="shared" ref="M38" si="30">I38-C38-D38-E38-F38-G38-H38</f>
        <v>1.4969000002565735E-2</v>
      </c>
      <c r="N38" s="337">
        <f t="shared" ref="N38" si="31">K38-I38-J38</f>
        <v>3.0000000006111804E-2</v>
      </c>
      <c r="O38" s="381"/>
      <c r="P38" s="381"/>
      <c r="Q38" s="381"/>
      <c r="R38" s="381"/>
      <c r="S38" s="381"/>
      <c r="T38" s="381"/>
      <c r="U38" s="381"/>
      <c r="V38" s="381"/>
      <c r="W38" s="381"/>
    </row>
    <row r="39" spans="1:23" s="327" customFormat="1" ht="14.25" customHeight="1">
      <c r="A39" s="432"/>
      <c r="B39" s="553" t="s">
        <v>407</v>
      </c>
      <c r="C39" s="786">
        <f>SUM('[13]1'!$C$14:$D$14)</f>
        <v>182.071201108</v>
      </c>
      <c r="D39" s="951">
        <f>SUM('[13]1'!$C$18:$D$18)+SUM('[13]1'!$C$30:$D$30)+SUM('[13]1'!$C$33:$D$33)</f>
        <v>1197.8814652559513</v>
      </c>
      <c r="E39" s="818">
        <f>SUM('[13]1'!$C$25:$D$29)-0.03</f>
        <v>11551.438842662628</v>
      </c>
      <c r="F39" s="952">
        <f>SUM('[13]1'!$C$23:$D$24)-0.02</f>
        <v>2126.8431378315859</v>
      </c>
      <c r="G39" s="953">
        <f>SUM('[13]1'!$C$31:$D$31)+SUM('[13]1'!$C$37:$D$37)</f>
        <v>692.59966619936165</v>
      </c>
      <c r="H39" s="954">
        <f>SUM('[13]1'!$C$34:$D$34)+SUM('[13]1'!$C$36:$D$36)</f>
        <v>3216.7822479616516</v>
      </c>
      <c r="I39" s="955">
        <f>SUM('[13]1'!$C$38:$D$38)-0.03</f>
        <v>18967.637575019176</v>
      </c>
      <c r="J39" s="955">
        <f>SUM('[13]1'!$E$38:$H$38)</f>
        <v>16402.184863421702</v>
      </c>
      <c r="K39" s="956">
        <f>'[13]1'!$I$38-0.01</f>
        <v>35369.842438440879</v>
      </c>
      <c r="L39" s="957">
        <f>'[13]1'!$I$40</f>
        <v>6812.3444822128668</v>
      </c>
      <c r="M39" s="336">
        <f t="shared" ref="M39" si="32">I39-C39-D39-E39-F39-G39-H39</f>
        <v>2.1013999997194333E-2</v>
      </c>
      <c r="N39" s="337">
        <f t="shared" ref="N39" si="33">K39-I39-J39</f>
        <v>2.0000000000436557E-2</v>
      </c>
      <c r="O39" s="381"/>
      <c r="P39" s="381"/>
      <c r="Q39" s="381"/>
      <c r="R39" s="381"/>
      <c r="S39" s="381"/>
      <c r="T39" s="381"/>
      <c r="U39" s="381"/>
      <c r="V39" s="381"/>
      <c r="W39" s="381"/>
    </row>
    <row r="40" spans="1:23" s="327" customFormat="1" ht="20.25" customHeight="1">
      <c r="A40" s="432">
        <v>2020</v>
      </c>
      <c r="B40" s="553" t="s">
        <v>408</v>
      </c>
      <c r="C40" s="814">
        <f>SUM('[14]1'!$C$14:$D$14)</f>
        <v>199.072832565</v>
      </c>
      <c r="D40" s="1036">
        <f>SUM('[14]1'!$C$18:$D$18)+SUM('[14]1'!$C$30:$D$30)+SUM('[14]1'!$C$33:$D$33)</f>
        <v>1394.6476550560703</v>
      </c>
      <c r="E40" s="739">
        <f>SUM('[14]1'!$C$25:$D$29)</f>
        <v>11761.889697611339</v>
      </c>
      <c r="F40" s="823">
        <f>SUM('[14]1'!$C$23:$D$24)</f>
        <v>2276.6308068580738</v>
      </c>
      <c r="G40" s="815">
        <f>SUM('[14]1'!$C$31:$D$31)+SUM('[14]1'!$C$37:$D$37)</f>
        <v>736.78450874313637</v>
      </c>
      <c r="H40" s="896">
        <f>SUM('[14]1'!$C$34:$D$34)+SUM('[14]1'!$C$36:$D$36)</f>
        <v>3246.4581289908665</v>
      </c>
      <c r="I40" s="816">
        <f>SUM('[14]1'!$C$38:$D$38)</f>
        <v>19615.484643824486</v>
      </c>
      <c r="J40" s="816">
        <f>SUM('[14]1'!$E$38:$H$38)</f>
        <v>15467.580672736938</v>
      </c>
      <c r="K40" s="924">
        <f>'[14]1'!$I$38</f>
        <v>35083.06531656142</v>
      </c>
      <c r="L40" s="1064">
        <f>'[14]1'!$I$40</f>
        <v>7936.0968852188616</v>
      </c>
      <c r="M40" s="946">
        <f t="shared" ref="M40" si="34">I40-C40-D40-E40-F40-G40-H40</f>
        <v>1.0139999990315118E-3</v>
      </c>
      <c r="N40" s="1065">
        <f t="shared" ref="N40" si="35">K40-I40-J40</f>
        <v>0</v>
      </c>
      <c r="O40" s="411"/>
      <c r="P40" s="411"/>
      <c r="Q40" s="411"/>
      <c r="R40" s="411"/>
      <c r="S40" s="411"/>
      <c r="T40" s="411"/>
      <c r="U40" s="411"/>
      <c r="V40" s="411"/>
      <c r="W40" s="381"/>
    </row>
    <row r="41" spans="1:23" s="327" customFormat="1" ht="14.25" customHeight="1">
      <c r="A41" s="1085"/>
      <c r="B41" s="821" t="s">
        <v>409</v>
      </c>
      <c r="C41" s="786">
        <f>SUM('[15]1'!$C$14:$D$14)</f>
        <v>148.03464776000001</v>
      </c>
      <c r="D41" s="951">
        <f>SUM('[15]1'!$C$18:$D$18)+SUM('[15]1'!$C$30:$D$30)+SUM('[15]1'!$C$33:$D$33)</f>
        <v>1396.9980431265128</v>
      </c>
      <c r="E41" s="818">
        <f>SUM('[15]1'!$C$25:$D$29)</f>
        <v>11702.389470751505</v>
      </c>
      <c r="F41" s="952">
        <f>SUM('[15]1'!$C$23:$D$24)-0.02</f>
        <v>2091.8397668123353</v>
      </c>
      <c r="G41" s="953">
        <f>SUM('[15]1'!$C$31:$D$31)+SUM('[15]1'!$C$37:$D$37)-0.03</f>
        <v>737.43615115733769</v>
      </c>
      <c r="H41" s="954">
        <f>SUM('[15]1'!$C$34:$D$34)+SUM('[15]1'!$C$36:$D$36)</f>
        <v>3224.5884294606121</v>
      </c>
      <c r="I41" s="955">
        <f>SUM('[15]1'!$C$38:$D$38)-0.1</f>
        <v>19301.208523068301</v>
      </c>
      <c r="J41" s="955">
        <f>SUM('[15]1'!$E$38:$H$38)</f>
        <v>16266.503879172222</v>
      </c>
      <c r="K41" s="956">
        <f>'[15]1'!$I$38-0.1</f>
        <v>35567.712402240526</v>
      </c>
      <c r="L41" s="957">
        <f>'[15]1'!$I$40</f>
        <v>8829.1639588543185</v>
      </c>
      <c r="M41" s="336">
        <f t="shared" ref="M41" si="36">I41-C41-D41-E41-F41-G41-H41</f>
        <v>-7.7986000002965739E-2</v>
      </c>
      <c r="N41" s="337">
        <f t="shared" ref="N41" si="37">K41-I41-J41</f>
        <v>0</v>
      </c>
      <c r="O41" s="381"/>
      <c r="P41" s="381"/>
      <c r="Q41" s="381"/>
      <c r="R41" s="381"/>
      <c r="S41" s="381"/>
      <c r="T41" s="381"/>
      <c r="U41" s="381"/>
      <c r="V41" s="381"/>
      <c r="W41" s="381"/>
    </row>
    <row r="42" spans="1:23" s="327" customFormat="1" ht="14.25" customHeight="1">
      <c r="A42" s="1085"/>
      <c r="B42" s="821" t="s">
        <v>398</v>
      </c>
      <c r="C42" s="786">
        <f>SUM('[16]1'!$C$14:$D$14)</f>
        <v>149.83479707199999</v>
      </c>
      <c r="D42" s="951">
        <f>SUM('[16]1'!$C$18:$D$18)+SUM('[16]1'!$C$30:$D$30)+SUM('[16]1'!$C$33:$D$33)</f>
        <v>1335.1191035865631</v>
      </c>
      <c r="E42" s="818">
        <f>SUM('[16]1'!$C$25:$D$29)</f>
        <v>11787.002352257745</v>
      </c>
      <c r="F42" s="952">
        <f>SUM('[16]1'!$C$23:$D$24)</f>
        <v>2164.7400055990001</v>
      </c>
      <c r="G42" s="953">
        <f>SUM('[16]1'!$C$31:$D$31)+SUM('[16]1'!$C$37:$D$37)</f>
        <v>970.66998909040058</v>
      </c>
      <c r="H42" s="954">
        <f>SUM('[16]1'!$C$34:$D$34)+SUM('[16]1'!$C$36:$D$36)</f>
        <v>2710.2056550630355</v>
      </c>
      <c r="I42" s="955">
        <f>SUM('[16]1'!$C$38:$D$38)-0.03</f>
        <v>19117.542916668746</v>
      </c>
      <c r="J42" s="955">
        <f>SUM('[16]1'!$E$38:$H$38)</f>
        <v>16634.808180771965</v>
      </c>
      <c r="K42" s="956">
        <f>'[16]1'!$I$38-0.05</f>
        <v>35752.331097440714</v>
      </c>
      <c r="L42" s="957">
        <f>'[16]1'!$I$40</f>
        <v>9023.0830550180926</v>
      </c>
      <c r="M42" s="336">
        <f t="shared" ref="M42" si="38">I42-C42-D42-E42-F42-G42-H42</f>
        <v>-2.8985999996621103E-2</v>
      </c>
      <c r="N42" s="337">
        <f t="shared" ref="N42" si="39">K42-I42-J42</f>
        <v>-1.9999999996798579E-2</v>
      </c>
      <c r="O42" s="381"/>
      <c r="P42" s="381"/>
      <c r="Q42" s="381"/>
      <c r="R42" s="381"/>
      <c r="S42" s="381"/>
      <c r="T42" s="381"/>
      <c r="U42" s="381"/>
      <c r="V42" s="381"/>
      <c r="W42" s="381"/>
    </row>
    <row r="43" spans="1:23" s="327" customFormat="1" ht="14.25" customHeight="1">
      <c r="A43" s="1085"/>
      <c r="B43" s="821" t="s">
        <v>399</v>
      </c>
      <c r="C43" s="786">
        <f>SUM('[17]1'!$C$14:$D$14)</f>
        <v>290.48376178199999</v>
      </c>
      <c r="D43" s="951">
        <f>SUM('[17]1'!$C$18:$D$18)+SUM('[17]1'!$C$30:$D$30)+SUM('[17]1'!$C$33:$D$33)</f>
        <v>1196.8524905760846</v>
      </c>
      <c r="E43" s="818">
        <f>SUM('[17]1'!$C$25:$D$29)</f>
        <v>11998.15497088693</v>
      </c>
      <c r="F43" s="952">
        <f>SUM('[17]1'!$C$23:$D$24)</f>
        <v>2001.1386465204052</v>
      </c>
      <c r="G43" s="953">
        <f>SUM('[17]1'!$C$31:$D$31)+SUM('[17]1'!$C$37:$D$37)</f>
        <v>883.34028785252406</v>
      </c>
      <c r="H43" s="954">
        <f>SUM('[17]1'!$C$34:$D$34)+SUM('[17]1'!$C$36:$D$36)-0.01</f>
        <v>2724.8431678222041</v>
      </c>
      <c r="I43" s="955">
        <f>SUM('[17]1'!$C$38:$D$38)</f>
        <v>19094.814672924949</v>
      </c>
      <c r="J43" s="955">
        <f>SUM('[17]1'!$E$38:$H$38)</f>
        <v>16843.520532373237</v>
      </c>
      <c r="K43" s="956">
        <f>'[17]1'!$I$38-0.03</f>
        <v>35938.305205298188</v>
      </c>
      <c r="L43" s="957">
        <f>'[17]1'!$I$40</f>
        <v>8089.415157889267</v>
      </c>
      <c r="M43" s="336">
        <f t="shared" ref="M43" si="40">I43-C43-D43-E43-F43-G43-H43</f>
        <v>1.34748479922564E-3</v>
      </c>
      <c r="N43" s="337">
        <f t="shared" ref="N43" si="41">K43-I43-J43</f>
        <v>-2.9999999998835847E-2</v>
      </c>
      <c r="O43" s="381"/>
      <c r="P43" s="381"/>
      <c r="Q43" s="381"/>
      <c r="R43" s="381"/>
      <c r="S43" s="381"/>
      <c r="T43" s="381"/>
      <c r="U43" s="381"/>
      <c r="V43" s="381"/>
      <c r="W43" s="381"/>
    </row>
    <row r="44" spans="1:23" s="5" customFormat="1" ht="20.25" customHeight="1">
      <c r="A44" s="231" t="s">
        <v>837</v>
      </c>
      <c r="B44" s="233"/>
      <c r="C44" s="690"/>
      <c r="D44" s="233"/>
      <c r="E44" s="233"/>
      <c r="F44" s="233"/>
      <c r="G44" s="240"/>
      <c r="H44" s="233"/>
      <c r="I44" s="231"/>
      <c r="J44" s="234"/>
      <c r="K44" s="231"/>
      <c r="L44" s="253" t="s">
        <v>838</v>
      </c>
      <c r="M44" s="238"/>
      <c r="N44" s="2"/>
    </row>
    <row r="45" spans="1:23" s="5" customFormat="1" ht="13.7" customHeight="1">
      <c r="A45" s="6" t="s">
        <v>839</v>
      </c>
      <c r="G45" s="158"/>
      <c r="I45" s="29"/>
      <c r="J45" s="8"/>
      <c r="K45" s="29"/>
      <c r="L45" s="255" t="s">
        <v>840</v>
      </c>
      <c r="M45" s="156"/>
    </row>
    <row r="46" spans="1:23" s="5" customFormat="1" ht="13.7" customHeight="1">
      <c r="A46" s="6"/>
      <c r="I46" s="7"/>
      <c r="J46" s="7"/>
      <c r="K46" s="29"/>
      <c r="L46" s="885"/>
      <c r="M46" s="156"/>
    </row>
    <row r="47" spans="1:23">
      <c r="B47" s="206"/>
      <c r="C47" s="761"/>
      <c r="D47" s="762"/>
      <c r="E47" s="762"/>
      <c r="F47" s="762"/>
      <c r="G47" s="762"/>
      <c r="H47" s="762"/>
      <c r="I47" s="762"/>
      <c r="J47" s="762"/>
      <c r="K47" s="762"/>
      <c r="L47" s="762"/>
    </row>
    <row r="48" spans="1:23">
      <c r="B48" s="1802"/>
      <c r="C48" s="1803"/>
      <c r="D48" s="1752"/>
      <c r="E48" s="1752"/>
      <c r="F48" s="1752"/>
      <c r="G48" s="1752"/>
      <c r="H48" s="1752"/>
      <c r="I48" s="1752"/>
      <c r="J48" s="1752"/>
      <c r="K48" s="1752"/>
      <c r="L48" s="1752"/>
    </row>
    <row r="49" spans="1:13" ht="14.25">
      <c r="A49" s="340" t="s">
        <v>841</v>
      </c>
      <c r="B49" s="340"/>
      <c r="C49" s="340"/>
      <c r="D49" s="340"/>
      <c r="E49" s="340"/>
      <c r="F49" s="340"/>
      <c r="G49" s="340"/>
      <c r="H49" s="340"/>
      <c r="I49" s="340"/>
      <c r="J49" s="340"/>
      <c r="K49" s="340"/>
      <c r="L49" s="340"/>
      <c r="M49" s="29"/>
    </row>
    <row r="52" spans="1:13">
      <c r="A52" s="269" t="str">
        <f ca="1">CELL("filename")</f>
        <v>C:\Users\Nehal\AppData\Local\Microsoft\Windows\INetCache\Content.Outlook\A316V2T1\[Samah Dec2020.xlsx]FinalReview-N</v>
      </c>
      <c r="M52" s="29"/>
    </row>
    <row r="53" spans="1:13">
      <c r="A53" s="270">
        <f ca="1">NOW()</f>
        <v>44354.906948611111</v>
      </c>
      <c r="M53" s="29"/>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L54"/>
  <sheetViews>
    <sheetView topLeftCell="A6" zoomScaleNormal="100" workbookViewId="0">
      <pane ySplit="7" topLeftCell="A37" activePane="bottomLeft" state="frozen"/>
      <selection activeCell="A49" sqref="A1:XFD1048576"/>
      <selection pane="bottomLeft" activeCell="A49" sqref="A1:XFD1048576"/>
    </sheetView>
  </sheetViews>
  <sheetFormatPr defaultColWidth="9.140625" defaultRowHeight="12.75"/>
  <cols>
    <col min="1" max="2" width="9.7109375" style="406" customWidth="1"/>
    <col min="3" max="10" width="13.7109375" style="406" customWidth="1"/>
    <col min="11" max="11" width="9.7109375" style="407" customWidth="1"/>
    <col min="12" max="16384" width="9.140625" style="406"/>
  </cols>
  <sheetData>
    <row r="1" spans="1:12" hidden="1"/>
    <row r="2" spans="1:12" hidden="1"/>
    <row r="3" spans="1:12" hidden="1"/>
    <row r="4" spans="1:12" hidden="1"/>
    <row r="5" spans="1:12" hidden="1"/>
    <row r="6" spans="1:12" ht="18" customHeight="1">
      <c r="A6" s="1763" t="s">
        <v>1622</v>
      </c>
      <c r="B6" s="1455"/>
      <c r="C6" s="1169"/>
      <c r="D6" s="1169"/>
      <c r="E6" s="1169"/>
      <c r="F6" s="1169"/>
      <c r="G6" s="1169"/>
      <c r="H6" s="1169"/>
      <c r="I6" s="1169"/>
      <c r="J6" s="1169"/>
    </row>
    <row r="7" spans="1:12" ht="18" customHeight="1">
      <c r="A7" s="1764" t="s">
        <v>842</v>
      </c>
      <c r="B7" s="1455"/>
      <c r="C7" s="1169"/>
      <c r="D7" s="1169"/>
      <c r="E7" s="1169"/>
      <c r="F7" s="1169"/>
      <c r="G7" s="1169"/>
      <c r="H7" s="1169"/>
      <c r="I7" s="1169"/>
      <c r="J7" s="1169"/>
    </row>
    <row r="8" spans="1:12" ht="18" customHeight="1">
      <c r="A8" s="1763" t="s">
        <v>843</v>
      </c>
      <c r="B8" s="1455"/>
      <c r="C8" s="1169"/>
      <c r="D8" s="1169"/>
      <c r="E8" s="1169"/>
      <c r="F8" s="1169"/>
      <c r="G8" s="1169"/>
      <c r="H8" s="1169"/>
      <c r="I8" s="1169"/>
      <c r="J8" s="1169"/>
    </row>
    <row r="9" spans="1:12" s="160" customFormat="1" ht="12.75" customHeight="1">
      <c r="A9" s="160" t="s">
        <v>354</v>
      </c>
      <c r="B9" s="344"/>
      <c r="C9" s="345"/>
      <c r="D9" s="345"/>
      <c r="E9" s="345"/>
      <c r="F9" s="345"/>
      <c r="G9" s="345"/>
      <c r="H9" s="345"/>
      <c r="I9" s="345"/>
      <c r="J9" s="346" t="s">
        <v>355</v>
      </c>
      <c r="K9" s="347"/>
    </row>
    <row r="10" spans="1:12" s="172" customFormat="1" ht="18" customHeight="1">
      <c r="A10" s="348"/>
      <c r="B10" s="349"/>
      <c r="C10" s="350" t="s">
        <v>844</v>
      </c>
      <c r="D10" s="351"/>
      <c r="E10" s="352"/>
      <c r="F10" s="353" t="s">
        <v>357</v>
      </c>
      <c r="G10" s="350" t="s">
        <v>358</v>
      </c>
      <c r="H10" s="351"/>
      <c r="I10" s="354" t="s">
        <v>359</v>
      </c>
      <c r="J10" s="355" t="s">
        <v>478</v>
      </c>
      <c r="K10" s="325"/>
    </row>
    <row r="11" spans="1:12" s="176" customFormat="1" ht="18" customHeight="1">
      <c r="A11" s="356" t="s">
        <v>364</v>
      </c>
      <c r="B11" s="357"/>
      <c r="C11" s="358" t="s">
        <v>418</v>
      </c>
      <c r="D11" s="359" t="s">
        <v>845</v>
      </c>
      <c r="E11" s="360" t="s">
        <v>367</v>
      </c>
      <c r="F11" s="361" t="s">
        <v>846</v>
      </c>
      <c r="G11" s="358" t="s">
        <v>418</v>
      </c>
      <c r="H11" s="359" t="s">
        <v>845</v>
      </c>
      <c r="I11" s="360" t="s">
        <v>367</v>
      </c>
      <c r="J11" s="362" t="s">
        <v>360</v>
      </c>
      <c r="K11" s="175"/>
    </row>
    <row r="12" spans="1:12" s="172" customFormat="1" ht="30.2" customHeight="1">
      <c r="A12" s="363" t="s">
        <v>372</v>
      </c>
      <c r="B12" s="364"/>
      <c r="C12" s="365" t="s">
        <v>847</v>
      </c>
      <c r="D12" s="366" t="s">
        <v>786</v>
      </c>
      <c r="E12" s="366" t="s">
        <v>378</v>
      </c>
      <c r="F12" s="366" t="s">
        <v>848</v>
      </c>
      <c r="G12" s="365" t="s">
        <v>391</v>
      </c>
      <c r="H12" s="367" t="s">
        <v>786</v>
      </c>
      <c r="I12" s="365" t="s">
        <v>378</v>
      </c>
      <c r="J12" s="366" t="s">
        <v>849</v>
      </c>
      <c r="K12" s="368" t="s">
        <v>788</v>
      </c>
      <c r="L12" s="1765" t="s">
        <v>789</v>
      </c>
    </row>
    <row r="13" spans="1:12" s="160" customFormat="1" ht="20.25" customHeight="1">
      <c r="A13" s="578">
        <v>2010</v>
      </c>
      <c r="B13" s="582"/>
      <c r="C13" s="1766">
        <v>6085.2196505039792</v>
      </c>
      <c r="D13" s="1766">
        <v>5417.8702175922754</v>
      </c>
      <c r="E13" s="1767">
        <v>11503.08447656389</v>
      </c>
      <c r="F13" s="1768">
        <v>2333.1718872383362</v>
      </c>
      <c r="G13" s="1767">
        <v>6878.4714452108392</v>
      </c>
      <c r="H13" s="1767">
        <v>4406.3525163697068</v>
      </c>
      <c r="I13" s="1767">
        <v>11284.894258913831</v>
      </c>
      <c r="J13" s="1767">
        <v>218.19021765005891</v>
      </c>
      <c r="K13" s="1063">
        <f>E13-SUM(C13:D13)</f>
        <v>-5.3915323642286239E-3</v>
      </c>
      <c r="L13" s="1063">
        <f>I13-SUM(G13:H13)</f>
        <v>7.0297333284543129E-2</v>
      </c>
    </row>
    <row r="14" spans="1:12" s="1770" customFormat="1" ht="14.25" customHeight="1">
      <c r="A14" s="578">
        <v>2011</v>
      </c>
      <c r="B14" s="1769"/>
      <c r="C14" s="1767">
        <v>5661.1360587861409</v>
      </c>
      <c r="D14" s="1767">
        <v>5617.0904770537572</v>
      </c>
      <c r="E14" s="1767">
        <v>11278.165859759936</v>
      </c>
      <c r="F14" s="1767">
        <v>2201.2897344726152</v>
      </c>
      <c r="G14" s="1767">
        <v>5646.9970240408184</v>
      </c>
      <c r="H14" s="1767">
        <v>5629.2755705896707</v>
      </c>
      <c r="I14" s="1767">
        <v>11276.324120526235</v>
      </c>
      <c r="J14" s="1767">
        <v>1.8917392337014463</v>
      </c>
      <c r="K14" s="1063">
        <v>-6.0676079961922369E-2</v>
      </c>
      <c r="L14" s="1063">
        <v>5.1525895745726302E-2</v>
      </c>
    </row>
    <row r="15" spans="1:12" s="1770" customFormat="1" ht="14.25" customHeight="1">
      <c r="A15" s="578">
        <v>2012</v>
      </c>
      <c r="B15" s="1769"/>
      <c r="C15" s="1767">
        <v>5837.8400832164498</v>
      </c>
      <c r="D15" s="1767">
        <v>5945.550044342328</v>
      </c>
      <c r="E15" s="1767">
        <v>11783.434111504797</v>
      </c>
      <c r="F15" s="1767">
        <v>2200.1991711115311</v>
      </c>
      <c r="G15" s="1767">
        <v>6919.6018852599964</v>
      </c>
      <c r="H15" s="1767">
        <v>5045.7386990717969</v>
      </c>
      <c r="I15" s="1767">
        <v>11965.343485007561</v>
      </c>
      <c r="J15" s="1767">
        <v>-181.90937350276363</v>
      </c>
      <c r="K15" s="1063">
        <v>4.3983946019579889E-2</v>
      </c>
      <c r="L15" s="1063">
        <v>2.9006757686147466E-3</v>
      </c>
    </row>
    <row r="16" spans="1:12" s="1770" customFormat="1" ht="14.25" customHeight="1">
      <c r="A16" s="578">
        <v>2013</v>
      </c>
      <c r="B16" s="1769"/>
      <c r="C16" s="1767">
        <v>4794.5417868834611</v>
      </c>
      <c r="D16" s="1767">
        <v>8019.6712978616124</v>
      </c>
      <c r="E16" s="1767">
        <v>12814.172880285918</v>
      </c>
      <c r="F16" s="1767">
        <v>3287.7175973247281</v>
      </c>
      <c r="G16" s="1767">
        <v>7286.4751485580018</v>
      </c>
      <c r="H16" s="1767">
        <v>5882.2885877387798</v>
      </c>
      <c r="I16" s="1767">
        <v>13168.794688887474</v>
      </c>
      <c r="J16" s="1767">
        <v>-354.62180860155604</v>
      </c>
      <c r="K16" s="1063">
        <v>-4.0204459155575023E-2</v>
      </c>
      <c r="L16" s="1063">
        <v>3.0952590692322701E-2</v>
      </c>
    </row>
    <row r="17" spans="1:12" s="1770" customFormat="1" ht="14.25" customHeight="1">
      <c r="A17" s="578">
        <v>2014</v>
      </c>
      <c r="B17" s="1769"/>
      <c r="C17" s="1767">
        <v>5845.5273782564218</v>
      </c>
      <c r="D17" s="1767">
        <v>8660.0077995571919</v>
      </c>
      <c r="E17" s="1767">
        <v>14505.515679656026</v>
      </c>
      <c r="F17" s="1767">
        <v>3629.1369079727501</v>
      </c>
      <c r="G17" s="1767">
        <v>8283.8222196109982</v>
      </c>
      <c r="H17" s="1767">
        <v>6099.3435936558108</v>
      </c>
      <c r="I17" s="1767">
        <v>14383.103905946613</v>
      </c>
      <c r="J17" s="1767">
        <v>122.41177370941296</v>
      </c>
      <c r="K17" s="1063">
        <v>-1.9498157587804599E-2</v>
      </c>
      <c r="L17" s="1063">
        <v>-6.1907320196041837E-2</v>
      </c>
    </row>
    <row r="18" spans="1:12" s="1770" customFormat="1" ht="14.25" customHeight="1">
      <c r="A18" s="578">
        <v>2015</v>
      </c>
      <c r="B18" s="1769"/>
      <c r="C18" s="1767">
        <v>5407.8194753928874</v>
      </c>
      <c r="D18" s="1767">
        <v>8970.9253716994244</v>
      </c>
      <c r="E18" s="1767">
        <v>14378.745316284207</v>
      </c>
      <c r="F18" s="1767">
        <v>3527.4071688859804</v>
      </c>
      <c r="G18" s="1767">
        <v>8180.3266546307696</v>
      </c>
      <c r="H18" s="1767">
        <v>6569.8847566909972</v>
      </c>
      <c r="I18" s="1767">
        <v>14750.222166700132</v>
      </c>
      <c r="J18" s="1767">
        <v>-371.47685041592558</v>
      </c>
      <c r="K18" s="1063">
        <v>4.6919189480831847E-4</v>
      </c>
      <c r="L18" s="1063">
        <v>1.0755378365502111E-2</v>
      </c>
    </row>
    <row r="19" spans="1:12" s="1770" customFormat="1" ht="14.25" customHeight="1">
      <c r="A19" s="578">
        <v>2016</v>
      </c>
      <c r="B19" s="1769"/>
      <c r="C19" s="1767">
        <v>4748.6593469816726</v>
      </c>
      <c r="D19" s="1767">
        <v>9115.8419323927264</v>
      </c>
      <c r="E19" s="1767">
        <v>13864.540338904006</v>
      </c>
      <c r="F19" s="1767">
        <v>3738.7431950292416</v>
      </c>
      <c r="G19" s="1767">
        <v>8007.6571794938845</v>
      </c>
      <c r="H19" s="1767">
        <v>6445.0565690034855</v>
      </c>
      <c r="I19" s="1767">
        <v>14452.803721047296</v>
      </c>
      <c r="J19" s="1767">
        <v>-588.26338214329007</v>
      </c>
      <c r="K19" s="1063">
        <v>3.9059529606674914E-2</v>
      </c>
      <c r="L19" s="1063">
        <v>8.9972549925732892E-2</v>
      </c>
    </row>
    <row r="20" spans="1:12" s="1770" customFormat="1" ht="14.25" customHeight="1">
      <c r="A20" s="578">
        <v>2017</v>
      </c>
      <c r="B20" s="1769"/>
      <c r="C20" s="1767">
        <v>4556.9541569592639</v>
      </c>
      <c r="D20" s="1767">
        <v>8807.0021507301371</v>
      </c>
      <c r="E20" s="1767">
        <v>13364.043650535194</v>
      </c>
      <c r="F20" s="1767">
        <v>3797.5894805756334</v>
      </c>
      <c r="G20" s="1767">
        <v>7910.5285125719365</v>
      </c>
      <c r="H20" s="1767">
        <v>6374.9716246168573</v>
      </c>
      <c r="I20" s="1767">
        <v>14285.454760065642</v>
      </c>
      <c r="J20" s="1767">
        <v>-921.46110953044877</v>
      </c>
      <c r="K20" s="1063">
        <v>8.7342845792591106E-2</v>
      </c>
      <c r="L20" s="1063">
        <v>-4.537712315141107E-2</v>
      </c>
    </row>
    <row r="21" spans="1:12" s="407" customFormat="1" ht="14.25" customHeight="1">
      <c r="A21" s="958">
        <v>2018</v>
      </c>
      <c r="B21" s="959"/>
      <c r="C21" s="691">
        <f t="shared" ref="C21:J21" si="0">C25</f>
        <v>4516.152256252074</v>
      </c>
      <c r="D21" s="691">
        <f t="shared" si="0"/>
        <v>9113.4808562280159</v>
      </c>
      <c r="E21" s="691">
        <f t="shared" si="0"/>
        <v>13629.708080063867</v>
      </c>
      <c r="F21" s="960">
        <f t="shared" si="0"/>
        <v>4534.7771958793392</v>
      </c>
      <c r="G21" s="691">
        <f t="shared" si="0"/>
        <v>7614.9494185482581</v>
      </c>
      <c r="H21" s="691">
        <f t="shared" si="0"/>
        <v>7121.6718261759343</v>
      </c>
      <c r="I21" s="691">
        <f t="shared" si="0"/>
        <v>14736.649777062137</v>
      </c>
      <c r="J21" s="691">
        <f t="shared" si="0"/>
        <v>-1106.9416969982703</v>
      </c>
      <c r="K21" s="1771">
        <f>E21-SUM(C21:D21)</f>
        <v>7.4967583777834079E-2</v>
      </c>
      <c r="L21" s="1063">
        <f>I21-SUM(G21:H21)</f>
        <v>2.853233794485277E-2</v>
      </c>
    </row>
    <row r="22" spans="1:12" s="407" customFormat="1" ht="14.25" customHeight="1">
      <c r="A22" s="1187">
        <v>2019</v>
      </c>
      <c r="B22" s="1192"/>
      <c r="C22" s="1772">
        <f t="shared" ref="C22:J22" si="1">C29</f>
        <v>5655.9007707818655</v>
      </c>
      <c r="D22" s="1772">
        <f t="shared" si="1"/>
        <v>9767.3400373121185</v>
      </c>
      <c r="E22" s="1772">
        <f t="shared" si="1"/>
        <v>15423.23278930428</v>
      </c>
      <c r="F22" s="1773">
        <f t="shared" si="1"/>
        <v>5506.9397616715269</v>
      </c>
      <c r="G22" s="1772">
        <f t="shared" si="1"/>
        <v>10248.71120463184</v>
      </c>
      <c r="H22" s="1772">
        <f t="shared" si="1"/>
        <v>6153.5370869886747</v>
      </c>
      <c r="I22" s="1772">
        <f t="shared" si="1"/>
        <v>16402.184863421702</v>
      </c>
      <c r="J22" s="1772">
        <f t="shared" si="1"/>
        <v>-978.95207411742194</v>
      </c>
      <c r="K22" s="1771">
        <f>E22-SUM(C22:D22)</f>
        <v>-8.0187897037831135E-3</v>
      </c>
      <c r="L22" s="1063">
        <f>I22-SUM(G22:H22)</f>
        <v>-6.3428198813198833E-2</v>
      </c>
    </row>
    <row r="23" spans="1:12" s="407" customFormat="1" ht="20.25" customHeight="1">
      <c r="A23" s="958">
        <v>2018</v>
      </c>
      <c r="B23" s="959" t="s">
        <v>223</v>
      </c>
      <c r="C23" s="691">
        <v>4666.3029074479437</v>
      </c>
      <c r="D23" s="691">
        <v>8873.3566723610656</v>
      </c>
      <c r="E23" s="691">
        <v>13539.745273115564</v>
      </c>
      <c r="F23" s="960">
        <v>4174.4685045540527</v>
      </c>
      <c r="G23" s="691">
        <v>7598.0608375456632</v>
      </c>
      <c r="H23" s="691">
        <v>7200.6268545595231</v>
      </c>
      <c r="I23" s="691">
        <v>14798.696350564696</v>
      </c>
      <c r="J23" s="691">
        <v>-1258.9510774491318</v>
      </c>
      <c r="K23" s="1063">
        <f t="shared" ref="K23" si="2">E23-SUM(C23:D23)</f>
        <v>8.56933065551857E-2</v>
      </c>
      <c r="L23" s="1063">
        <f t="shared" ref="L23" si="3">I23-SUM(G23:H23)</f>
        <v>8.6584595101157902E-3</v>
      </c>
    </row>
    <row r="24" spans="1:12" s="407" customFormat="1" ht="14.25" customHeight="1">
      <c r="A24" s="958"/>
      <c r="B24" s="959" t="s">
        <v>224</v>
      </c>
      <c r="C24" s="691">
        <v>4738.3490283011688</v>
      </c>
      <c r="D24" s="691">
        <v>9013.4803986664865</v>
      </c>
      <c r="E24" s="691">
        <v>13751.837748480411</v>
      </c>
      <c r="F24" s="960">
        <v>4347.2586690461867</v>
      </c>
      <c r="G24" s="691">
        <v>7511.3967500972049</v>
      </c>
      <c r="H24" s="691">
        <v>7270.1396413720331</v>
      </c>
      <c r="I24" s="691">
        <v>14781.537663270514</v>
      </c>
      <c r="J24" s="691">
        <v>-1029.6999147901024</v>
      </c>
      <c r="K24" s="1771">
        <v>8.3215127560833935E-3</v>
      </c>
      <c r="L24" s="1063">
        <v>1.2718012749246554E-3</v>
      </c>
    </row>
    <row r="25" spans="1:12" s="407" customFormat="1" ht="14.25" customHeight="1">
      <c r="A25" s="958"/>
      <c r="B25" s="959" t="s">
        <v>225</v>
      </c>
      <c r="C25" s="691">
        <v>4516.152256252074</v>
      </c>
      <c r="D25" s="691">
        <v>9113.4808562280159</v>
      </c>
      <c r="E25" s="691">
        <v>13629.708080063867</v>
      </c>
      <c r="F25" s="960">
        <v>4534.7771958793392</v>
      </c>
      <c r="G25" s="691">
        <v>7614.9494185482581</v>
      </c>
      <c r="H25" s="691">
        <v>7121.6718261759343</v>
      </c>
      <c r="I25" s="691">
        <v>14736.649777062137</v>
      </c>
      <c r="J25" s="691">
        <v>-1106.9416969982703</v>
      </c>
      <c r="K25" s="1771">
        <v>7.4967583777834079E-2</v>
      </c>
      <c r="L25" s="1063">
        <v>2.853233794485277E-2</v>
      </c>
    </row>
    <row r="26" spans="1:12" s="407" customFormat="1" ht="20.25" customHeight="1">
      <c r="A26" s="958">
        <v>2019</v>
      </c>
      <c r="B26" s="959" t="s">
        <v>222</v>
      </c>
      <c r="C26" s="691">
        <v>4912.1536292500914</v>
      </c>
      <c r="D26" s="691">
        <v>9592.3647164066879</v>
      </c>
      <c r="E26" s="691">
        <v>14504.553467104046</v>
      </c>
      <c r="F26" s="960">
        <v>5008.825276133708</v>
      </c>
      <c r="G26" s="691">
        <v>9246.8933249576803</v>
      </c>
      <c r="H26" s="691">
        <v>6502.8296465779531</v>
      </c>
      <c r="I26" s="691">
        <v>15749.677667191216</v>
      </c>
      <c r="J26" s="691">
        <v>-1245.1242000871698</v>
      </c>
      <c r="K26" s="1771">
        <v>3.512144726664701E-2</v>
      </c>
      <c r="L26" s="1063">
        <v>-4.5304344417672837E-2</v>
      </c>
    </row>
    <row r="27" spans="1:12" s="407" customFormat="1" ht="14.25" customHeight="1">
      <c r="A27" s="958"/>
      <c r="B27" s="959" t="s">
        <v>223</v>
      </c>
      <c r="C27" s="691">
        <f t="shared" ref="C27:J27" si="4">C33</f>
        <v>4481.3890884392194</v>
      </c>
      <c r="D27" s="691">
        <f t="shared" si="4"/>
        <v>10060.452933525354</v>
      </c>
      <c r="E27" s="691">
        <f t="shared" si="4"/>
        <v>14541.863165601431</v>
      </c>
      <c r="F27" s="960">
        <f t="shared" si="4"/>
        <v>5290.4130675465949</v>
      </c>
      <c r="G27" s="691">
        <f t="shared" si="4"/>
        <v>9788.8784548509939</v>
      </c>
      <c r="H27" s="691">
        <f t="shared" si="4"/>
        <v>5928.9251415604913</v>
      </c>
      <c r="I27" s="691">
        <f t="shared" si="4"/>
        <v>15717.845948730552</v>
      </c>
      <c r="J27" s="691">
        <f t="shared" si="4"/>
        <v>-1175.8827831291205</v>
      </c>
      <c r="K27" s="1771">
        <f t="shared" ref="K27" si="5">E27-SUM(C27:D27)</f>
        <v>2.1143636857232195E-2</v>
      </c>
      <c r="L27" s="1063">
        <f t="shared" ref="L27" si="6">I27-SUM(G27:H27)</f>
        <v>4.2352319065685151E-2</v>
      </c>
    </row>
    <row r="28" spans="1:12" s="407" customFormat="1" ht="14.25" customHeight="1">
      <c r="A28" s="958"/>
      <c r="B28" s="959" t="s">
        <v>224</v>
      </c>
      <c r="C28" s="691">
        <f t="shared" ref="C28:J28" si="7">C36</f>
        <v>4672.3544682736583</v>
      </c>
      <c r="D28" s="691">
        <f t="shared" si="7"/>
        <v>9956.5861324157922</v>
      </c>
      <c r="E28" s="691">
        <f t="shared" si="7"/>
        <v>14629.035777764482</v>
      </c>
      <c r="F28" s="960">
        <f t="shared" si="7"/>
        <v>5303.2798230738044</v>
      </c>
      <c r="G28" s="691">
        <f t="shared" si="7"/>
        <v>10109.671655929393</v>
      </c>
      <c r="H28" s="691">
        <f t="shared" si="7"/>
        <v>5643.4557924242872</v>
      </c>
      <c r="I28" s="691">
        <f t="shared" si="7"/>
        <v>15753.228341043903</v>
      </c>
      <c r="J28" s="691">
        <f t="shared" si="7"/>
        <v>-1124.1925632794209</v>
      </c>
      <c r="K28" s="1771">
        <f t="shared" ref="K28" si="8">E28-SUM(C28:D28)</f>
        <v>9.5177075032552239E-2</v>
      </c>
      <c r="L28" s="1063">
        <f t="shared" ref="L28" si="9">I28-SUM(G28:H28)</f>
        <v>0.10089269022319058</v>
      </c>
    </row>
    <row r="29" spans="1:12" s="407" customFormat="1" ht="14.25" customHeight="1">
      <c r="A29" s="958"/>
      <c r="B29" s="959" t="s">
        <v>225</v>
      </c>
      <c r="C29" s="691">
        <f t="shared" ref="C29:J29" si="10">C39</f>
        <v>5655.9007707818655</v>
      </c>
      <c r="D29" s="691">
        <f t="shared" si="10"/>
        <v>9767.3400373121185</v>
      </c>
      <c r="E29" s="691">
        <f t="shared" si="10"/>
        <v>15423.23278930428</v>
      </c>
      <c r="F29" s="960">
        <f t="shared" si="10"/>
        <v>5506.9397616715269</v>
      </c>
      <c r="G29" s="691">
        <f t="shared" si="10"/>
        <v>10248.71120463184</v>
      </c>
      <c r="H29" s="691">
        <f t="shared" si="10"/>
        <v>6153.5370869886747</v>
      </c>
      <c r="I29" s="691">
        <f t="shared" si="10"/>
        <v>16402.184863421702</v>
      </c>
      <c r="J29" s="691">
        <f t="shared" si="10"/>
        <v>-978.95207411742194</v>
      </c>
      <c r="K29" s="1771">
        <f t="shared" ref="K29" si="11">E29-SUM(C29:D29)</f>
        <v>-8.0187897037831135E-3</v>
      </c>
      <c r="L29" s="1063">
        <f t="shared" ref="L29" si="12">I29-SUM(G29:H29)</f>
        <v>-6.3428198813198833E-2</v>
      </c>
    </row>
    <row r="30" spans="1:12" s="407" customFormat="1" ht="21" customHeight="1">
      <c r="A30" s="1187">
        <v>2020</v>
      </c>
      <c r="B30" s="1192" t="s">
        <v>222</v>
      </c>
      <c r="C30" s="1772">
        <f t="shared" ref="C30:J30" si="13">C42</f>
        <v>5403.0593718700429</v>
      </c>
      <c r="D30" s="1772">
        <f t="shared" si="13"/>
        <v>9663.5626610209911</v>
      </c>
      <c r="E30" s="1772">
        <f t="shared" si="13"/>
        <v>15066.735303629986</v>
      </c>
      <c r="F30" s="1773">
        <f t="shared" si="13"/>
        <v>5469.7731439724157</v>
      </c>
      <c r="G30" s="1772">
        <f t="shared" si="13"/>
        <v>11252.431866984445</v>
      </c>
      <c r="H30" s="1772">
        <f t="shared" si="13"/>
        <v>5382.4344557812401</v>
      </c>
      <c r="I30" s="1772">
        <f t="shared" si="13"/>
        <v>16634.808180771965</v>
      </c>
      <c r="J30" s="1772">
        <f t="shared" si="13"/>
        <v>-1568.0728771419781</v>
      </c>
      <c r="K30" s="1771">
        <f t="shared" ref="K30" si="14">E30-SUM(C30:D30)</f>
        <v>0.11327073895154172</v>
      </c>
      <c r="L30" s="1063">
        <f t="shared" ref="L30" si="15">I30-SUM(G30:H30)</f>
        <v>-5.8141993722529151E-2</v>
      </c>
    </row>
    <row r="31" spans="1:12" s="407" customFormat="1" ht="20.25" customHeight="1">
      <c r="A31" s="958">
        <v>2019</v>
      </c>
      <c r="B31" s="959" t="s">
        <v>399</v>
      </c>
      <c r="C31" s="691">
        <f>SUM('[5]3'!$O$152:$T$152)-SUM('[5]3'!$O$17:$T$17)+0.03</f>
        <v>4235.9652730051466</v>
      </c>
      <c r="D31" s="691">
        <f>SUM('[5]3'!$U$152:$Z$152)-SUM('[5]3'!$U$17:$Z$17)+0.03</f>
        <v>9646.2557302003715</v>
      </c>
      <c r="E31" s="691">
        <f>SUM('[5]1'!$E$98:$H$98)</f>
        <v>13882.338818400509</v>
      </c>
      <c r="F31" s="960">
        <f>SUM('[5]1'!$E$84:$H$84)</f>
        <v>4971.0639855087575</v>
      </c>
      <c r="G31" s="691">
        <f>SUM('[5]3'!$B$152:$G$152)-SUM('[5]3'!$B$17:$G$17)</f>
        <v>9101.2820897227284</v>
      </c>
      <c r="H31" s="691">
        <f>SUM('[5]3'!$H$152:$M$152)-SUM('[5]3'!$H$17:$M$17)-0.02</f>
        <v>6130.1443700751788</v>
      </c>
      <c r="I31" s="691">
        <f>SUM('[5]1'!$E$38:$H$38)</f>
        <v>15231.438538098153</v>
      </c>
      <c r="J31" s="691">
        <f t="shared" ref="J31:J32" si="16">E31-I31</f>
        <v>-1349.0997196976441</v>
      </c>
      <c r="K31" s="1063">
        <f t="shared" ref="K31" si="17">E31-SUM(C31:D31)</f>
        <v>0.11781519498981652</v>
      </c>
      <c r="L31" s="1063">
        <f t="shared" ref="L31" si="18">I31-SUM(G31:H31)</f>
        <v>1.2078300245775608E-2</v>
      </c>
    </row>
    <row r="32" spans="1:12" s="407" customFormat="1" ht="14.25" customHeight="1">
      <c r="A32" s="958"/>
      <c r="B32" s="959" t="s">
        <v>400</v>
      </c>
      <c r="C32" s="691">
        <f>SUM('[6]3'!$O$152:$T$152)-SUM('[6]3'!$O$17:$T$17)</f>
        <v>4535.5605803610206</v>
      </c>
      <c r="D32" s="691">
        <f>SUM('[6]3'!$U$152:$Z$152)-SUM('[6]3'!$U$17:$Z$17)</f>
        <v>9847.2150336872146</v>
      </c>
      <c r="E32" s="691">
        <f>SUM('[6]1'!$E$98:$H$98)</f>
        <v>14382.812646105023</v>
      </c>
      <c r="F32" s="960">
        <f>SUM('[6]1'!$E$84:$H$84)</f>
        <v>5130.4551166250785</v>
      </c>
      <c r="G32" s="691">
        <f>SUM('[6]3'!$B$152:$G$152)-SUM('[6]3'!$B$17:$G$17)</f>
        <v>9777.3031771867554</v>
      </c>
      <c r="H32" s="691">
        <f>SUM('[6]3'!$H$152:$M$152)-SUM('[6]3'!$H$17:$M$17)</f>
        <v>5834.7159933994299</v>
      </c>
      <c r="I32" s="691">
        <f>SUM('[6]1'!$E$38:$H$38)</f>
        <v>15612.024589840888</v>
      </c>
      <c r="J32" s="691">
        <f t="shared" si="16"/>
        <v>-1229.2119437358651</v>
      </c>
      <c r="K32" s="961">
        <f t="shared" ref="K32" si="19">E32-SUM(C32:D32)</f>
        <v>3.7032056789030321E-2</v>
      </c>
      <c r="L32" s="961">
        <f t="shared" ref="L32" si="20">I32-SUM(G32:H32)</f>
        <v>5.4192547031561844E-3</v>
      </c>
    </row>
    <row r="33" spans="1:12" s="407" customFormat="1" ht="14.25" customHeight="1">
      <c r="A33" s="958"/>
      <c r="B33" s="959" t="s">
        <v>401</v>
      </c>
      <c r="C33" s="691">
        <f>SUM('[7]3'!$O$152:$T$152)-SUM('[7]3'!$O$17:$T$17)</f>
        <v>4481.3890884392194</v>
      </c>
      <c r="D33" s="691">
        <f>SUM('[7]3'!$U$152:$Z$152)-SUM('[7]3'!$U$17:$Z$17)+0.05</f>
        <v>10060.452933525354</v>
      </c>
      <c r="E33" s="691">
        <f>SUM('[7]1'!$E$98:$H$98)-0.1</f>
        <v>14541.863165601431</v>
      </c>
      <c r="F33" s="960">
        <f>SUM('[7]1'!$E$84:$H$84)</f>
        <v>5290.4130675465949</v>
      </c>
      <c r="G33" s="691">
        <f>SUM('[7]3'!$B$152:$G$152)-SUM('[7]3'!$B$17:$G$17)</f>
        <v>9788.8784548509939</v>
      </c>
      <c r="H33" s="691">
        <f>SUM('[7]3'!$H$152:$M$152)-SUM('[7]3'!$H$17:$M$17)-0.05</f>
        <v>5928.9251415604913</v>
      </c>
      <c r="I33" s="691">
        <f>SUM('[7]1'!$E$38:$H$38)</f>
        <v>15717.845948730552</v>
      </c>
      <c r="J33" s="691">
        <f>E33-I33+0.1</f>
        <v>-1175.8827831291205</v>
      </c>
      <c r="K33" s="961">
        <f t="shared" ref="K33" si="21">E33-SUM(C33:D33)</f>
        <v>2.1143636857232195E-2</v>
      </c>
      <c r="L33" s="961">
        <f t="shared" ref="L33" si="22">I33-SUM(G33:H33)</f>
        <v>4.2352319065685151E-2</v>
      </c>
    </row>
    <row r="34" spans="1:12" s="407" customFormat="1" ht="14.25" customHeight="1">
      <c r="A34" s="958"/>
      <c r="B34" s="959" t="s">
        <v>402</v>
      </c>
      <c r="C34" s="691">
        <f>SUM('[8]3'!$O$152:$T$152)-SUM('[8]3'!$O$17:$T$17)</f>
        <v>4715.5779007647607</v>
      </c>
      <c r="D34" s="691">
        <f>SUM('[8]3'!$U$152:$Z$152)-SUM('[8]3'!$U$17:$Z$17)</f>
        <v>9996.9851959442458</v>
      </c>
      <c r="E34" s="691">
        <f>SUM('[8]1'!$E$98:$H$98)</f>
        <v>14712.62404210911</v>
      </c>
      <c r="F34" s="960">
        <f>SUM('[8]1'!$E$84:$H$84)</f>
        <v>5219.2872457648718</v>
      </c>
      <c r="G34" s="691">
        <f>SUM('[8]3'!$B$152:$G$152)-SUM('[8]3'!$B$17:$G$17)-0.04</f>
        <v>10121.837965737021</v>
      </c>
      <c r="H34" s="691">
        <f>SUM('[8]3'!$H$152:$M$152)-SUM('[8]3'!$H$17:$M$17)</f>
        <v>5777.8130245452303</v>
      </c>
      <c r="I34" s="691">
        <f>SUM('[8]1'!$E$38:$H$38)</f>
        <v>15899.628821313274</v>
      </c>
      <c r="J34" s="691">
        <f>E34-I34</f>
        <v>-1187.0047792041642</v>
      </c>
      <c r="K34" s="961">
        <f t="shared" ref="K34" si="23">E34-SUM(C34:D34)</f>
        <v>6.0945400102355052E-2</v>
      </c>
      <c r="L34" s="961">
        <f t="shared" ref="L34" si="24">I34-SUM(G34:H34)</f>
        <v>-2.2168968976984615E-2</v>
      </c>
    </row>
    <row r="35" spans="1:12" s="407" customFormat="1" ht="14.25" customHeight="1">
      <c r="A35" s="958"/>
      <c r="B35" s="959" t="s">
        <v>403</v>
      </c>
      <c r="C35" s="691">
        <f>SUM('[9]3'!$O$152:$T$152)-SUM('[9]3'!$O$17:$T$17)</f>
        <v>4908.2993193666634</v>
      </c>
      <c r="D35" s="691">
        <f>SUM('[9]3'!$U$152:$Z$152)-SUM('[9]3'!$U$17:$Z$17)+0.05</f>
        <v>10039.857051032308</v>
      </c>
      <c r="E35" s="691">
        <f>SUM('[9]1'!$E$98:$H$98)</f>
        <v>14948.208135857018</v>
      </c>
      <c r="F35" s="960">
        <f>SUM('[9]1'!$E$84:$H$84)</f>
        <v>5259.3181478291162</v>
      </c>
      <c r="G35" s="691">
        <f>SUM('[9]3'!$B$152:$G$152)-SUM('[9]3'!$B$17:$G$17)</f>
        <v>10159.15637319368</v>
      </c>
      <c r="H35" s="691">
        <f>SUM('[9]3'!$H$152:$M$152)-SUM('[9]3'!$H$17:$M$17)</f>
        <v>5904.7237799894101</v>
      </c>
      <c r="I35" s="691">
        <f>SUM('[9]1'!$E$38:$H$38)+0.02</f>
        <v>16063.861069451006</v>
      </c>
      <c r="J35" s="691">
        <f>E35-I35</f>
        <v>-1115.6529335939886</v>
      </c>
      <c r="K35" s="961">
        <f t="shared" ref="K35" si="25">E35-SUM(C35:D35)</f>
        <v>5.1765458047157153E-2</v>
      </c>
      <c r="L35" s="961">
        <f t="shared" ref="L35" si="26">I35-SUM(G35:H35)</f>
        <v>-1.9083732084254734E-2</v>
      </c>
    </row>
    <row r="36" spans="1:12" s="407" customFormat="1" ht="14.25" customHeight="1">
      <c r="A36" s="958"/>
      <c r="B36" s="959" t="s">
        <v>404</v>
      </c>
      <c r="C36" s="691">
        <f>SUM('[10]3'!$O$152:$T$152)-SUM('[10]3'!$O$17:$T$17)+0.05</f>
        <v>4672.3544682736583</v>
      </c>
      <c r="D36" s="691">
        <f>SUM('[10]3'!$U$152:$Z$152)-SUM('[10]3'!$U$17:$Z$17)</f>
        <v>9956.5861324157922</v>
      </c>
      <c r="E36" s="691">
        <f>SUM('[10]1'!$E$98:$H$98)-0.02</f>
        <v>14629.035777764482</v>
      </c>
      <c r="F36" s="960">
        <f>SUM('[10]1'!$E$84:$H$84)</f>
        <v>5303.2798230738044</v>
      </c>
      <c r="G36" s="691">
        <f>SUM('[10]3'!$B$152:$G$152)-SUM('[10]3'!$B$17:$G$17)</f>
        <v>10109.671655929393</v>
      </c>
      <c r="H36" s="691">
        <f>SUM('[10]3'!$H$152:$M$152)-SUM('[10]3'!$H$17:$M$17)+0.02</f>
        <v>5643.4557924242872</v>
      </c>
      <c r="I36" s="691">
        <f>SUM('[10]1'!$E$38:$H$38)</f>
        <v>15753.228341043903</v>
      </c>
      <c r="J36" s="691">
        <f>E36-I36</f>
        <v>-1124.1925632794209</v>
      </c>
      <c r="K36" s="961">
        <f t="shared" ref="K36" si="27">E36-SUM(C36:D36)</f>
        <v>9.5177075032552239E-2</v>
      </c>
      <c r="L36" s="961">
        <f t="shared" ref="L36" si="28">I36-SUM(G36:H36)</f>
        <v>0.10089269022319058</v>
      </c>
    </row>
    <row r="37" spans="1:12" s="407" customFormat="1" ht="14.25" customHeight="1">
      <c r="A37" s="958"/>
      <c r="B37" s="959" t="s">
        <v>405</v>
      </c>
      <c r="C37" s="691">
        <f>SUM('[11]3'!$O$152:$T$152)-SUM('[11]3'!$O$17:$T$17)+0.05</f>
        <v>4857.0678613878445</v>
      </c>
      <c r="D37" s="691">
        <f>SUM('[11]3'!$U$152:$Z$152)-SUM('[11]3'!$U$17:$Z$17)+0.1</f>
        <v>10031.254821802535</v>
      </c>
      <c r="E37" s="691">
        <f>SUM('[11]1'!$E$98:$H$98)</f>
        <v>14888.370192562114</v>
      </c>
      <c r="F37" s="960">
        <f>SUM('[11]1'!$E$84:$H$84)</f>
        <v>5437.1253054060981</v>
      </c>
      <c r="G37" s="691">
        <f>SUM('[11]3'!$B$152:$G$152)-SUM('[11]3'!$B$17:$G$17)</f>
        <v>9979.6057876094274</v>
      </c>
      <c r="H37" s="691">
        <f>SUM('[11]3'!$H$152:$M$152)-SUM('[11]3'!$H$17:$M$17)+0.05</f>
        <v>6005.868062937544</v>
      </c>
      <c r="I37" s="691">
        <f>SUM('[11]1'!$E$38:$H$38)</f>
        <v>15985.514490903517</v>
      </c>
      <c r="J37" s="691">
        <f>E37-I37</f>
        <v>-1097.1442983414036</v>
      </c>
      <c r="K37" s="961">
        <f t="shared" ref="K37" si="29">E37-SUM(C37:D37)</f>
        <v>4.7509371734122396E-2</v>
      </c>
      <c r="L37" s="961">
        <f t="shared" ref="L37" si="30">I37-SUM(G37:H37)</f>
        <v>4.0640356544827227E-2</v>
      </c>
    </row>
    <row r="38" spans="1:12" s="407" customFormat="1" ht="14.25" customHeight="1">
      <c r="A38" s="958"/>
      <c r="B38" s="959" t="s">
        <v>406</v>
      </c>
      <c r="C38" s="691">
        <f>SUM('[12]3'!$O$152:$T$152)-SUM('[12]3'!$O$17:$T$17)</f>
        <v>4902.8654463494895</v>
      </c>
      <c r="D38" s="691">
        <f>SUM('[12]3'!$U$152:$Z$152)-SUM('[12]3'!$U$17:$Z$17)</f>
        <v>10533.645322353819</v>
      </c>
      <c r="E38" s="691">
        <f>SUM('[12]1'!$E$98:$H$98)</f>
        <v>15436.528503372676</v>
      </c>
      <c r="F38" s="960">
        <f>SUM('[12]1'!$E$84:$H$84)</f>
        <v>5993.1345829328784</v>
      </c>
      <c r="G38" s="691">
        <f>SUM('[12]3'!$B$152:$G$152)-SUM('[12]3'!$B$17:$G$17)</f>
        <v>10018.653220291822</v>
      </c>
      <c r="H38" s="691">
        <f>SUM('[12]3'!$H$152:$M$152)-SUM('[12]3'!$H$17:$M$17)</f>
        <v>6464.2905320317786</v>
      </c>
      <c r="I38" s="691">
        <f>SUM('[12]1'!$E$38:$H$38)+0.02</f>
        <v>16482.956103180182</v>
      </c>
      <c r="J38" s="691">
        <f>E38-I38-0.03</f>
        <v>-1046.4575998075063</v>
      </c>
      <c r="K38" s="961">
        <f t="shared" ref="K38" si="31">E38-SUM(C38:D38)</f>
        <v>1.7734669367200695E-2</v>
      </c>
      <c r="L38" s="961">
        <f t="shared" ref="L38" si="32">I38-SUM(G38:H38)</f>
        <v>1.2350856581178959E-2</v>
      </c>
    </row>
    <row r="39" spans="1:12" s="407" customFormat="1" ht="14.25" customHeight="1">
      <c r="A39" s="958"/>
      <c r="B39" s="959" t="s">
        <v>407</v>
      </c>
      <c r="C39" s="691">
        <f>SUM('[13]3'!$O$152:$T$152)-SUM('[13]3'!$O$17:$T$17)</f>
        <v>5655.9007707818655</v>
      </c>
      <c r="D39" s="691">
        <f>SUM('[13]3'!$U$152:$Z$152)-SUM('[13]3'!$U$17:$Z$17)</f>
        <v>9767.3400373121185</v>
      </c>
      <c r="E39" s="691">
        <f>SUM('[13]1'!$E$98:$H$98)</f>
        <v>15423.23278930428</v>
      </c>
      <c r="F39" s="960">
        <f>SUM('[13]1'!$E$84:$H$84)</f>
        <v>5506.9397616715269</v>
      </c>
      <c r="G39" s="691">
        <f>SUM('[13]3'!$B$152:$G$152)-SUM('[13]3'!$B$17:$G$17)</f>
        <v>10248.71120463184</v>
      </c>
      <c r="H39" s="691">
        <f>SUM('[13]3'!$H$152:$M$152)-SUM('[13]3'!$H$17:$M$17)-0.05</f>
        <v>6153.5370869886747</v>
      </c>
      <c r="I39" s="691">
        <f>SUM('[13]1'!$E$38:$H$38)</f>
        <v>16402.184863421702</v>
      </c>
      <c r="J39" s="691">
        <f>E39-I39</f>
        <v>-978.95207411742194</v>
      </c>
      <c r="K39" s="961">
        <f t="shared" ref="K39" si="33">E39-SUM(C39:D39)</f>
        <v>-8.0187897037831135E-3</v>
      </c>
      <c r="L39" s="961">
        <f t="shared" ref="L39" si="34">I39-SUM(G39:H39)</f>
        <v>-6.3428198813198833E-2</v>
      </c>
    </row>
    <row r="40" spans="1:12" s="407" customFormat="1" ht="20.25" customHeight="1">
      <c r="A40" s="958">
        <v>2020</v>
      </c>
      <c r="B40" s="959" t="s">
        <v>408</v>
      </c>
      <c r="C40" s="691">
        <f>SUM('[14]3'!$O$152:$T$152)-SUM('[14]3'!$O$17:$T$17)+0.05</f>
        <v>5024.6525589850762</v>
      </c>
      <c r="D40" s="691">
        <f>SUM('[14]3'!$U$152:$Z$152)-SUM('[14]3'!$U$17:$Z$17)</f>
        <v>9838.8927388906377</v>
      </c>
      <c r="E40" s="691">
        <f>SUM('[14]1'!$E$98:$H$98)</f>
        <v>14863.552421206065</v>
      </c>
      <c r="F40" s="960">
        <f>SUM('[14]1'!$E$84:$H$84)</f>
        <v>5509.5184786394093</v>
      </c>
      <c r="G40" s="691">
        <f>SUM('[14]3'!$B$152:$G$152)-SUM('[14]3'!$B$17:$G$17)</f>
        <v>10036.366665670021</v>
      </c>
      <c r="H40" s="691">
        <f>SUM('[14]3'!$H$152:$M$152)-SUM('[14]3'!$H$17:$M$17)</f>
        <v>5431.1839063374609</v>
      </c>
      <c r="I40" s="691">
        <f>SUM('[14]1'!$E$38:$H$38)</f>
        <v>15467.580672736938</v>
      </c>
      <c r="J40" s="691">
        <f>E40-I40</f>
        <v>-604.0282515308736</v>
      </c>
      <c r="K40" s="1063">
        <f t="shared" ref="K40" si="35">E40-SUM(C40:D40)</f>
        <v>7.1233303515327862E-3</v>
      </c>
      <c r="L40" s="1063">
        <f t="shared" ref="L40" si="36">I40-SUM(G40:H40)</f>
        <v>3.0100729456535191E-2</v>
      </c>
    </row>
    <row r="41" spans="1:12" s="407" customFormat="1" ht="14.25" customHeight="1">
      <c r="A41" s="1086"/>
      <c r="B41" s="1087" t="s">
        <v>409</v>
      </c>
      <c r="C41" s="691">
        <f>SUM('[15]3'!$O$152:$T$152)-SUM('[15]3'!$O$17:$T$17)</f>
        <v>5260.0601073757498</v>
      </c>
      <c r="D41" s="691">
        <f>SUM('[15]3'!$U$152:$Z$152)-SUM('[15]3'!$U$17:$Z$17)</f>
        <v>9795.84611025493</v>
      </c>
      <c r="E41" s="691">
        <f>SUM('[15]1'!$E$98:$H$98)</f>
        <v>15055.939031191676</v>
      </c>
      <c r="F41" s="960">
        <f>SUM('[15]1'!$E$84:$H$84)</f>
        <v>5622.6178625494067</v>
      </c>
      <c r="G41" s="691">
        <f>SUM('[15]3'!$B$152:$G$152)-SUM('[15]3'!$B$17:$G$17)-0.05</f>
        <v>10765.038254402685</v>
      </c>
      <c r="H41" s="691">
        <f>SUM('[15]3'!$H$152:$M$152)-SUM('[15]3'!$H$17:$M$17)-0.02</f>
        <v>5501.5400707834051</v>
      </c>
      <c r="I41" s="691">
        <f>SUM('[15]1'!$E$38:$H$38)</f>
        <v>16266.503879172222</v>
      </c>
      <c r="J41" s="691">
        <f>E41-I41</f>
        <v>-1210.5648479805459</v>
      </c>
      <c r="K41" s="961">
        <f t="shared" ref="K41" si="37">E41-SUM(C41:D41)</f>
        <v>3.2813560996146407E-2</v>
      </c>
      <c r="L41" s="961">
        <f t="shared" ref="L41" si="38">I41-SUM(G41:H41)</f>
        <v>-7.4446013868509908E-2</v>
      </c>
    </row>
    <row r="42" spans="1:12" s="407" customFormat="1" ht="14.25" customHeight="1">
      <c r="A42" s="1086"/>
      <c r="B42" s="1087" t="s">
        <v>398</v>
      </c>
      <c r="C42" s="691">
        <f>SUM('[16]3'!$O$152:$T$152)-SUM('[16]3'!$O$17:$T$17)</f>
        <v>5403.0593718700429</v>
      </c>
      <c r="D42" s="691">
        <f>SUM('[16]3'!$U$152:$Z$152)-SUM('[16]3'!$U$17:$Z$17)+0.05</f>
        <v>9663.5626610209911</v>
      </c>
      <c r="E42" s="691">
        <f>SUM('[16]1'!$E$98:$H$98)</f>
        <v>15066.735303629986</v>
      </c>
      <c r="F42" s="960">
        <f>SUM('[16]1'!$E$84:$H$84)</f>
        <v>5469.7731439724157</v>
      </c>
      <c r="G42" s="691">
        <f>SUM('[16]3'!$B$152:$G$152)-SUM('[16]3'!$B$17:$G$17)</f>
        <v>11252.431866984445</v>
      </c>
      <c r="H42" s="691">
        <f>SUM('[16]3'!$H$152:$M$152)-SUM('[16]3'!$H$17:$M$17)</f>
        <v>5382.4344557812401</v>
      </c>
      <c r="I42" s="691">
        <f>SUM('[16]1'!$E$38:$H$38)</f>
        <v>16634.808180771965</v>
      </c>
      <c r="J42" s="691">
        <f>E42-I42</f>
        <v>-1568.0728771419781</v>
      </c>
      <c r="K42" s="961">
        <f t="shared" ref="K42" si="39">E42-SUM(C42:D42)</f>
        <v>0.11327073895154172</v>
      </c>
      <c r="L42" s="961">
        <f t="shared" ref="L42" si="40">I42-SUM(G42:H42)</f>
        <v>-5.8141993722529151E-2</v>
      </c>
    </row>
    <row r="43" spans="1:12" s="407" customFormat="1" ht="14.25" customHeight="1">
      <c r="A43" s="1086"/>
      <c r="B43" s="1087" t="s">
        <v>399</v>
      </c>
      <c r="C43" s="691">
        <f>SUM('[17]3'!$O$152:$T$152)-SUM('[17]3'!$O$17:$T$17)</f>
        <v>5617.298154526281</v>
      </c>
      <c r="D43" s="691">
        <f>SUM('[17]3'!$U$152:$Z$152)-SUM('[17]3'!$U$17:$Z$17)+0.05</f>
        <v>9710.7681585840619</v>
      </c>
      <c r="E43" s="691">
        <f>SUM('[17]1'!$E$98:$H$98)</f>
        <v>15328.099277019312</v>
      </c>
      <c r="F43" s="960">
        <f>SUM('[17]1'!$E$84:$H$84)</f>
        <v>5531.1136380296903</v>
      </c>
      <c r="G43" s="691">
        <f>SUM('[17]3'!$B$152:$G$152)-SUM('[17]3'!$B$17:$G$17)+0.03</f>
        <v>11078.3626885664</v>
      </c>
      <c r="H43" s="691">
        <f>SUM('[17]3'!$H$152:$M$152)-SUM('[17]3'!$H$17:$M$17)</f>
        <v>5765.1299345489278</v>
      </c>
      <c r="I43" s="691">
        <f>SUM('[17]1'!$E$38:$H$38)</f>
        <v>16843.520532373237</v>
      </c>
      <c r="J43" s="691">
        <f>E43-I43</f>
        <v>-1515.4212553539255</v>
      </c>
      <c r="K43" s="961">
        <f t="shared" ref="K43" si="41">E43-SUM(C43:D43)</f>
        <v>3.2963908968667965E-2</v>
      </c>
      <c r="L43" s="961">
        <f t="shared" ref="L43" si="42">I43-SUM(G43:H43)</f>
        <v>2.790925790759502E-2</v>
      </c>
    </row>
    <row r="44" spans="1:12" s="371" customFormat="1" ht="21.2" customHeight="1">
      <c r="A44" s="299"/>
      <c r="B44" s="369"/>
      <c r="C44" s="369"/>
      <c r="D44" s="369"/>
      <c r="E44" s="369"/>
      <c r="F44" s="369"/>
      <c r="G44" s="369"/>
      <c r="H44" s="369"/>
      <c r="I44" s="370"/>
      <c r="J44" s="1774"/>
    </row>
    <row r="45" spans="1:12" ht="14.25">
      <c r="A45" s="379"/>
      <c r="B45" s="343"/>
      <c r="C45" s="343"/>
      <c r="D45" s="343"/>
      <c r="E45" s="343"/>
      <c r="F45" s="343"/>
      <c r="G45" s="343"/>
      <c r="J45" s="1775"/>
    </row>
    <row r="46" spans="1:12">
      <c r="G46" s="1776"/>
    </row>
    <row r="47" spans="1:12">
      <c r="A47" s="373" t="s">
        <v>850</v>
      </c>
      <c r="B47" s="1169"/>
      <c r="C47" s="1169"/>
      <c r="D47" s="1169"/>
      <c r="E47" s="1169"/>
      <c r="F47" s="1169"/>
      <c r="G47" s="1169"/>
      <c r="H47" s="1169"/>
      <c r="I47" s="1169"/>
      <c r="J47" s="1169"/>
    </row>
    <row r="48" spans="1:12">
      <c r="C48" s="1689"/>
      <c r="D48" s="1689"/>
      <c r="E48" s="1689"/>
      <c r="F48" s="1689"/>
      <c r="G48" s="1689"/>
      <c r="H48" s="1689"/>
      <c r="I48" s="1689"/>
      <c r="J48" s="1689"/>
    </row>
    <row r="49" spans="1:11">
      <c r="C49" s="1689"/>
      <c r="D49" s="1689"/>
      <c r="E49" s="1689"/>
      <c r="F49" s="1689"/>
      <c r="G49" s="1689"/>
      <c r="H49" s="1689"/>
      <c r="I49" s="1689"/>
      <c r="J49" s="1689"/>
      <c r="K49" s="406"/>
    </row>
    <row r="51" spans="1:11">
      <c r="C51" s="1169"/>
      <c r="K51" s="406"/>
    </row>
    <row r="53" spans="1:11">
      <c r="A53" s="374" t="str">
        <f ca="1">CELL("filename")</f>
        <v>C:\Users\Nehal\AppData\Local\Microsoft\Windows\INetCache\Content.Outlook\A316V2T1\[Samah Dec2020.xlsx]FinalReview-N</v>
      </c>
      <c r="K53" s="406"/>
    </row>
    <row r="54" spans="1:11">
      <c r="C54" s="375">
        <f ca="1">NOW()</f>
        <v>44354.906948611111</v>
      </c>
      <c r="K54" s="406"/>
    </row>
  </sheetData>
  <phoneticPr fontId="0" type="noConversion"/>
  <printOptions horizontalCentered="1" verticalCentered="1"/>
  <pageMargins left="0" right="0" top="0" bottom="0" header="0.511811023622047" footer="0.511811023622047"/>
  <pageSetup paperSize="9" scale="8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V51"/>
  <sheetViews>
    <sheetView zoomScale="90" zoomScaleNormal="90" workbookViewId="0">
      <pane ySplit="12" topLeftCell="A38" activePane="bottomLeft" state="frozen"/>
      <selection activeCell="A49" sqref="A1:XFD1048576"/>
      <selection pane="bottomLeft" activeCell="A49" sqref="A1:XFD1048576"/>
    </sheetView>
  </sheetViews>
  <sheetFormatPr defaultRowHeight="12.75"/>
  <cols>
    <col min="1" max="2" width="9.28515625" style="29" customWidth="1"/>
    <col min="3" max="6" width="12.7109375" style="29" customWidth="1"/>
    <col min="7" max="7" width="12.5703125" style="29" customWidth="1"/>
    <col min="8" max="11" width="12.7109375" style="29" customWidth="1"/>
    <col min="12" max="12" width="13.28515625" style="29" customWidth="1"/>
    <col min="13" max="14" width="12.7109375" style="29" customWidth="1"/>
    <col min="15" max="16384" width="9.140625" style="29"/>
  </cols>
  <sheetData>
    <row r="1" spans="1:16" ht="18" customHeight="1">
      <c r="A1" s="18" t="s">
        <v>1621</v>
      </c>
      <c r="B1" s="4"/>
      <c r="C1" s="3"/>
      <c r="D1" s="3"/>
      <c r="E1" s="3"/>
      <c r="F1" s="3"/>
      <c r="G1" s="3"/>
      <c r="H1" s="3"/>
      <c r="I1" s="3"/>
      <c r="J1" s="3"/>
      <c r="K1" s="3"/>
      <c r="L1" s="3"/>
      <c r="M1" s="3"/>
      <c r="N1" s="3"/>
    </row>
    <row r="2" spans="1:16" ht="18" customHeight="1">
      <c r="A2" s="1732" t="s">
        <v>797</v>
      </c>
      <c r="B2" s="4"/>
      <c r="C2" s="3"/>
      <c r="D2" s="3"/>
      <c r="E2" s="3"/>
      <c r="F2" s="3"/>
      <c r="G2" s="3"/>
      <c r="H2" s="3"/>
      <c r="I2" s="3"/>
      <c r="J2" s="3"/>
      <c r="K2" s="3"/>
      <c r="L2" s="3"/>
      <c r="M2" s="3"/>
      <c r="N2" s="3"/>
    </row>
    <row r="3" spans="1:16" ht="18" customHeight="1">
      <c r="A3" s="18" t="s">
        <v>798</v>
      </c>
      <c r="B3" s="1"/>
      <c r="C3" s="1"/>
      <c r="D3" s="1"/>
      <c r="E3" s="1"/>
      <c r="F3" s="1"/>
      <c r="G3" s="1"/>
      <c r="H3" s="1"/>
      <c r="I3" s="1"/>
      <c r="J3" s="1"/>
      <c r="K3" s="1"/>
      <c r="L3" s="1"/>
      <c r="M3" s="206"/>
      <c r="N3" s="1733"/>
    </row>
    <row r="4" spans="1:16" ht="18" customHeight="1">
      <c r="A4" s="1732" t="s">
        <v>37</v>
      </c>
      <c r="B4" s="4"/>
      <c r="C4" s="3"/>
      <c r="D4" s="3"/>
      <c r="E4" s="3"/>
      <c r="F4" s="3"/>
      <c r="G4" s="3"/>
      <c r="H4" s="3"/>
      <c r="I4" s="3"/>
      <c r="J4" s="3"/>
      <c r="K4" s="3"/>
      <c r="L4" s="3"/>
      <c r="M4" s="3"/>
      <c r="N4" s="3"/>
    </row>
    <row r="5" spans="1:16" ht="18" customHeight="1">
      <c r="A5" s="18" t="s">
        <v>36</v>
      </c>
      <c r="B5" s="4"/>
      <c r="C5" s="3"/>
      <c r="D5" s="3"/>
      <c r="E5" s="3"/>
      <c r="F5" s="3"/>
      <c r="G5" s="3"/>
      <c r="H5" s="3"/>
      <c r="I5" s="3"/>
      <c r="J5" s="3"/>
      <c r="K5" s="3"/>
      <c r="L5" s="3"/>
      <c r="M5" s="3"/>
      <c r="N5" s="3"/>
    </row>
    <row r="6" spans="1:16" ht="0.6" customHeight="1">
      <c r="A6" s="18"/>
      <c r="B6" s="4"/>
      <c r="C6" s="3"/>
      <c r="D6" s="3" t="s">
        <v>799</v>
      </c>
      <c r="E6" s="3"/>
      <c r="F6" s="3"/>
      <c r="G6" s="3"/>
      <c r="H6" s="3"/>
      <c r="I6" s="3"/>
      <c r="J6" s="3"/>
      <c r="K6" s="3"/>
      <c r="L6" s="3" t="s">
        <v>799</v>
      </c>
      <c r="M6" s="3"/>
      <c r="N6" s="3"/>
    </row>
    <row r="7" spans="1:16" ht="13.7" customHeight="1">
      <c r="A7" s="9" t="s">
        <v>354</v>
      </c>
      <c r="N7" s="24" t="s">
        <v>355</v>
      </c>
    </row>
    <row r="8" spans="1:16" s="44" customFormat="1" ht="17.45" customHeight="1">
      <c r="A8" s="59"/>
      <c r="B8" s="257"/>
      <c r="C8" s="284" t="s">
        <v>474</v>
      </c>
      <c r="D8" s="45"/>
      <c r="E8" s="256"/>
      <c r="F8" s="143"/>
      <c r="G8" s="144"/>
      <c r="H8" s="145"/>
      <c r="I8" s="262"/>
      <c r="J8" s="316" t="s">
        <v>472</v>
      </c>
      <c r="K8" s="2124" t="s">
        <v>851</v>
      </c>
      <c r="L8" s="2125"/>
      <c r="M8" s="2124" t="s">
        <v>852</v>
      </c>
      <c r="N8" s="2125"/>
    </row>
    <row r="9" spans="1:16" s="44" customFormat="1" ht="17.45" customHeight="1">
      <c r="A9" s="62"/>
      <c r="B9" s="81"/>
      <c r="C9" s="32" t="s">
        <v>418</v>
      </c>
      <c r="D9" s="108"/>
      <c r="E9" s="33" t="s">
        <v>853</v>
      </c>
      <c r="F9" s="88"/>
      <c r="G9" s="146" t="s">
        <v>376</v>
      </c>
      <c r="H9" s="147"/>
      <c r="I9" s="1754" t="s">
        <v>377</v>
      </c>
      <c r="J9" s="121"/>
      <c r="K9" s="2126"/>
      <c r="L9" s="2127"/>
      <c r="M9" s="2126"/>
      <c r="N9" s="2127"/>
    </row>
    <row r="10" spans="1:16" s="44" customFormat="1" ht="17.45" customHeight="1">
      <c r="A10" s="27" t="s">
        <v>364</v>
      </c>
      <c r="B10" s="80"/>
      <c r="C10" s="105" t="s">
        <v>391</v>
      </c>
      <c r="D10" s="66"/>
      <c r="E10" s="105" t="s">
        <v>854</v>
      </c>
      <c r="F10" s="66"/>
      <c r="G10" s="63" t="s">
        <v>803</v>
      </c>
      <c r="H10" s="106"/>
      <c r="I10" s="63" t="s">
        <v>385</v>
      </c>
      <c r="J10" s="106"/>
      <c r="K10" s="2128"/>
      <c r="L10" s="2129"/>
      <c r="M10" s="2128"/>
      <c r="N10" s="2129"/>
    </row>
    <row r="11" spans="1:16" s="44" customFormat="1" ht="17.45" customHeight="1">
      <c r="A11" s="68" t="s">
        <v>372</v>
      </c>
      <c r="B11" s="66"/>
      <c r="C11" s="101" t="s">
        <v>855</v>
      </c>
      <c r="D11" s="101" t="s">
        <v>374</v>
      </c>
      <c r="E11" s="101" t="s">
        <v>855</v>
      </c>
      <c r="F11" s="101" t="s">
        <v>374</v>
      </c>
      <c r="G11" s="101" t="s">
        <v>855</v>
      </c>
      <c r="H11" s="101" t="s">
        <v>374</v>
      </c>
      <c r="I11" s="101" t="s">
        <v>855</v>
      </c>
      <c r="J11" s="101" t="s">
        <v>374</v>
      </c>
      <c r="K11" s="101" t="s">
        <v>855</v>
      </c>
      <c r="L11" s="101" t="s">
        <v>374</v>
      </c>
      <c r="M11" s="101" t="s">
        <v>855</v>
      </c>
      <c r="N11" s="101" t="s">
        <v>374</v>
      </c>
    </row>
    <row r="12" spans="1:16" s="44" customFormat="1" ht="17.45" customHeight="1">
      <c r="A12" s="37"/>
      <c r="B12" s="72"/>
      <c r="C12" s="148" t="s">
        <v>137</v>
      </c>
      <c r="D12" s="149" t="s">
        <v>856</v>
      </c>
      <c r="E12" s="131" t="s">
        <v>137</v>
      </c>
      <c r="F12" s="131" t="s">
        <v>856</v>
      </c>
      <c r="G12" s="130" t="s">
        <v>137</v>
      </c>
      <c r="H12" s="148" t="s">
        <v>856</v>
      </c>
      <c r="I12" s="130" t="s">
        <v>137</v>
      </c>
      <c r="J12" s="148" t="s">
        <v>856</v>
      </c>
      <c r="K12" s="63" t="s">
        <v>137</v>
      </c>
      <c r="L12" s="74" t="s">
        <v>856</v>
      </c>
      <c r="M12" s="63" t="s">
        <v>137</v>
      </c>
      <c r="N12" s="74" t="s">
        <v>856</v>
      </c>
      <c r="O12" s="213" t="s">
        <v>137</v>
      </c>
      <c r="P12" s="213" t="s">
        <v>856</v>
      </c>
    </row>
    <row r="13" spans="1:16" s="327" customFormat="1" ht="20.25" customHeight="1">
      <c r="A13" s="432">
        <v>2010</v>
      </c>
      <c r="B13" s="553"/>
      <c r="C13" s="962">
        <v>2531.3020904804175</v>
      </c>
      <c r="D13" s="964">
        <v>1662.8807984667149</v>
      </c>
      <c r="E13" s="806">
        <v>4794.0640516209196</v>
      </c>
      <c r="F13" s="806">
        <v>1751.0342426077</v>
      </c>
      <c r="G13" s="870">
        <v>1280.0367928173</v>
      </c>
      <c r="H13" s="1755">
        <v>335.21864188643997</v>
      </c>
      <c r="I13" s="870">
        <v>519.61182031224928</v>
      </c>
      <c r="J13" s="963">
        <v>233.0683400992915</v>
      </c>
      <c r="K13" s="963">
        <v>327.11416122884543</v>
      </c>
      <c r="L13" s="805">
        <v>11175.970315335046</v>
      </c>
      <c r="M13" s="788">
        <v>9452.1289164597292</v>
      </c>
      <c r="N13" s="788">
        <v>15158.17233839519</v>
      </c>
      <c r="O13" s="945">
        <f t="shared" ref="O13:P13" si="0">M13-(C13+E13+G13+I13+K13)</f>
        <v>0</v>
      </c>
      <c r="P13" s="945">
        <f t="shared" si="0"/>
        <v>0</v>
      </c>
    </row>
    <row r="14" spans="1:16" s="435" customFormat="1" ht="14.25" customHeight="1">
      <c r="A14" s="380">
        <v>2011</v>
      </c>
      <c r="B14" s="1378"/>
      <c r="C14" s="1756">
        <v>2579.4978890301395</v>
      </c>
      <c r="D14" s="1757">
        <v>1109.1767297127999</v>
      </c>
      <c r="E14" s="1719">
        <v>5400.1034444544175</v>
      </c>
      <c r="F14" s="1719">
        <v>2125.4564943864798</v>
      </c>
      <c r="G14" s="1720">
        <v>1808.3917015090599</v>
      </c>
      <c r="H14" s="1758">
        <v>305.81346123125996</v>
      </c>
      <c r="I14" s="1720">
        <v>514.80771213753815</v>
      </c>
      <c r="J14" s="1758">
        <v>213.71841758756077</v>
      </c>
      <c r="K14" s="1759">
        <v>363.05249177641809</v>
      </c>
      <c r="L14" s="1741">
        <v>10915.113367983518</v>
      </c>
      <c r="M14" s="1722">
        <v>10665.854676907575</v>
      </c>
      <c r="N14" s="1722">
        <v>14669.328470901619</v>
      </c>
      <c r="O14" s="945">
        <v>1.4380000029632356E-3</v>
      </c>
      <c r="P14" s="945">
        <v>4.9999999999272404E-2</v>
      </c>
    </row>
    <row r="15" spans="1:16" s="435" customFormat="1" ht="14.25" customHeight="1">
      <c r="A15" s="380">
        <v>2012</v>
      </c>
      <c r="B15" s="1378"/>
      <c r="C15" s="1756">
        <v>2933.1831758804756</v>
      </c>
      <c r="D15" s="1757">
        <v>1144.9260054917452</v>
      </c>
      <c r="E15" s="1719">
        <v>5790.3058440814002</v>
      </c>
      <c r="F15" s="1719">
        <v>2203.9266733396398</v>
      </c>
      <c r="G15" s="1720">
        <v>1909.7372423880902</v>
      </c>
      <c r="H15" s="1758">
        <v>451.05706647278998</v>
      </c>
      <c r="I15" s="1720">
        <v>569.24064420285151</v>
      </c>
      <c r="J15" s="1758">
        <v>177.85805089838897</v>
      </c>
      <c r="K15" s="1759">
        <v>294.70276472096157</v>
      </c>
      <c r="L15" s="1741">
        <v>11488.731346783836</v>
      </c>
      <c r="M15" s="1722">
        <v>11497.122111273779</v>
      </c>
      <c r="N15" s="1722">
        <v>15466.4991429864</v>
      </c>
      <c r="O15" s="945">
        <f>M15-(C15+E15+G15+I15+K15)</f>
        <v>-4.7559999999066349E-2</v>
      </c>
      <c r="P15" s="945">
        <f>N15-(D15+F15+H15+J15+L15)</f>
        <v>0</v>
      </c>
    </row>
    <row r="16" spans="1:16" s="435" customFormat="1" ht="14.25" customHeight="1">
      <c r="A16" s="380">
        <v>2013</v>
      </c>
      <c r="B16" s="1378"/>
      <c r="C16" s="1756">
        <v>2119.3877324555556</v>
      </c>
      <c r="D16" s="1757">
        <v>898.71118640508917</v>
      </c>
      <c r="E16" s="1719">
        <v>6133.7805838761014</v>
      </c>
      <c r="F16" s="1719">
        <v>2385.4144565003435</v>
      </c>
      <c r="G16" s="1720">
        <v>2633.0921951939999</v>
      </c>
      <c r="H16" s="1758">
        <v>556.38184886049999</v>
      </c>
      <c r="I16" s="1720">
        <v>551.8046618573718</v>
      </c>
      <c r="J16" s="1758">
        <v>225.0688721236084</v>
      </c>
      <c r="K16" s="1759">
        <v>304.69065794209098</v>
      </c>
      <c r="L16" s="1741">
        <v>12509.482222343828</v>
      </c>
      <c r="M16" s="1722">
        <v>11742.80826532512</v>
      </c>
      <c r="N16" s="1722">
        <v>16575.108586233368</v>
      </c>
      <c r="O16" s="945">
        <v>5.2434000001085224E-2</v>
      </c>
      <c r="P16" s="945">
        <v>4.9999999999272404E-2</v>
      </c>
    </row>
    <row r="17" spans="1:22" s="435" customFormat="1" ht="14.25" customHeight="1">
      <c r="A17" s="380">
        <v>2014</v>
      </c>
      <c r="B17" s="1378"/>
      <c r="C17" s="1756">
        <v>2359.4741758259502</v>
      </c>
      <c r="D17" s="1757">
        <v>844.78238354985865</v>
      </c>
      <c r="E17" s="1719">
        <v>6576.5659375423593</v>
      </c>
      <c r="F17" s="1719">
        <v>1442.6498826011111</v>
      </c>
      <c r="G17" s="1720">
        <v>2825.6104735190006</v>
      </c>
      <c r="H17" s="1758">
        <v>640.17406873007258</v>
      </c>
      <c r="I17" s="1720">
        <v>590.00708786238738</v>
      </c>
      <c r="J17" s="1758">
        <v>298.39116736996061</v>
      </c>
      <c r="K17" s="1759">
        <v>427.97402417685453</v>
      </c>
      <c r="L17" s="1741">
        <v>14077.541655479174</v>
      </c>
      <c r="M17" s="1722">
        <v>12779.681698827282</v>
      </c>
      <c r="N17" s="1722">
        <v>17303.539157730174</v>
      </c>
      <c r="O17" s="945">
        <v>4.9999900729744695E-2</v>
      </c>
      <c r="P17" s="945">
        <v>0</v>
      </c>
    </row>
    <row r="18" spans="1:22" s="435" customFormat="1" ht="14.25" customHeight="1">
      <c r="A18" s="380">
        <v>2015</v>
      </c>
      <c r="B18" s="1378"/>
      <c r="C18" s="1756">
        <v>1960.9424921713576</v>
      </c>
      <c r="D18" s="1757">
        <v>1115.614277232005</v>
      </c>
      <c r="E18" s="1719">
        <v>7002.3189586057724</v>
      </c>
      <c r="F18" s="1719">
        <v>1625.0951946091045</v>
      </c>
      <c r="G18" s="1720">
        <v>3100.5648351560008</v>
      </c>
      <c r="H18" s="1758">
        <v>801.3058446782502</v>
      </c>
      <c r="I18" s="1720">
        <v>647.48403707369687</v>
      </c>
      <c r="J18" s="1758">
        <v>270.27726360412316</v>
      </c>
      <c r="K18" s="1759">
        <v>429.71097219663432</v>
      </c>
      <c r="L18" s="1741">
        <v>13949.034344087573</v>
      </c>
      <c r="M18" s="1722">
        <v>13140.971295152125</v>
      </c>
      <c r="N18" s="1722">
        <v>17761.326924211055</v>
      </c>
      <c r="O18" s="945">
        <v>-5.0000051336610341E-2</v>
      </c>
      <c r="P18" s="945">
        <v>0</v>
      </c>
    </row>
    <row r="19" spans="1:22" s="435" customFormat="1" ht="14.25" customHeight="1">
      <c r="A19" s="380">
        <v>2016</v>
      </c>
      <c r="B19" s="1378"/>
      <c r="C19" s="1756">
        <v>2241.9197084711595</v>
      </c>
      <c r="D19" s="1757">
        <v>982.80852227224796</v>
      </c>
      <c r="E19" s="1719">
        <v>7220.5557834359906</v>
      </c>
      <c r="F19" s="1719">
        <v>1534.9834630955163</v>
      </c>
      <c r="G19" s="1720">
        <v>3603.1453387712995</v>
      </c>
      <c r="H19" s="1758">
        <v>1033.0679236714145</v>
      </c>
      <c r="I19" s="1720">
        <v>422.71642688375033</v>
      </c>
      <c r="J19" s="1758">
        <v>309.81442793346923</v>
      </c>
      <c r="K19" s="1759">
        <v>359.37773054676381</v>
      </c>
      <c r="L19" s="1741">
        <v>13505.142608357241</v>
      </c>
      <c r="M19" s="1722">
        <v>13847.714479513312</v>
      </c>
      <c r="N19" s="1722">
        <v>17365.836945329891</v>
      </c>
      <c r="O19" s="945">
        <v>-5.0859564908023458E-4</v>
      </c>
      <c r="P19" s="945">
        <v>2.0000000004074536E-2</v>
      </c>
    </row>
    <row r="20" spans="1:22" s="435" customFormat="1" ht="14.25" customHeight="1">
      <c r="A20" s="380">
        <v>2017</v>
      </c>
      <c r="B20" s="1378"/>
      <c r="C20" s="1756">
        <v>1805.3731951232771</v>
      </c>
      <c r="D20" s="1757">
        <v>1321.1626571899901</v>
      </c>
      <c r="E20" s="1719">
        <v>7406.1137585436081</v>
      </c>
      <c r="F20" s="1719">
        <v>1564.0839115697083</v>
      </c>
      <c r="G20" s="1720">
        <v>3680.8766901588542</v>
      </c>
      <c r="H20" s="1758">
        <v>1389.4876380810647</v>
      </c>
      <c r="I20" s="1720">
        <v>647.546344134317</v>
      </c>
      <c r="J20" s="1758">
        <v>210.30022560414562</v>
      </c>
      <c r="K20" s="1759">
        <v>400.25913072478875</v>
      </c>
      <c r="L20" s="1741">
        <v>12963.744519810403</v>
      </c>
      <c r="M20" s="1722">
        <v>13940.169101222122</v>
      </c>
      <c r="N20" s="1722">
        <v>17448.818952255315</v>
      </c>
      <c r="O20" s="945">
        <v>-1.7462722098571248E-5</v>
      </c>
      <c r="P20" s="945">
        <v>4.0000000000873115E-2</v>
      </c>
    </row>
    <row r="21" spans="1:22" s="411" customFormat="1" ht="14.25" customHeight="1">
      <c r="A21" s="905">
        <v>2018</v>
      </c>
      <c r="B21" s="906"/>
      <c r="C21" s="770">
        <f t="shared" ref="C21:N21" si="1">C25</f>
        <v>1728.9934081527347</v>
      </c>
      <c r="D21" s="1723">
        <f t="shared" si="1"/>
        <v>1384.2007318882495</v>
      </c>
      <c r="E21" s="754">
        <f t="shared" si="1"/>
        <v>7880.1793050599927</v>
      </c>
      <c r="F21" s="754">
        <f t="shared" si="1"/>
        <v>1980.3431307119811</v>
      </c>
      <c r="G21" s="940">
        <f t="shared" si="1"/>
        <v>3785.4850874866829</v>
      </c>
      <c r="H21" s="771">
        <f t="shared" si="1"/>
        <v>1266.5280800091759</v>
      </c>
      <c r="I21" s="789">
        <f t="shared" si="1"/>
        <v>665.44588410057418</v>
      </c>
      <c r="J21" s="771">
        <f t="shared" si="1"/>
        <v>248.15564364648375</v>
      </c>
      <c r="K21" s="771">
        <f t="shared" si="1"/>
        <v>402.74333957722922</v>
      </c>
      <c r="L21" s="790">
        <f t="shared" si="1"/>
        <v>13226.954740486637</v>
      </c>
      <c r="M21" s="764">
        <f t="shared" si="1"/>
        <v>14462.842695332831</v>
      </c>
      <c r="N21" s="764">
        <f t="shared" si="1"/>
        <v>18106.182326742528</v>
      </c>
      <c r="O21" s="1760">
        <f>M21-(C21+E21+G21+I21+K21)</f>
        <v>-4.3290443827572744E-3</v>
      </c>
      <c r="P21" s="945">
        <f>N21-(D21+F21+H21+J21+L21)</f>
        <v>0</v>
      </c>
    </row>
    <row r="22" spans="1:22" s="411" customFormat="1" ht="14.25" customHeight="1">
      <c r="A22" s="1193">
        <v>2019</v>
      </c>
      <c r="B22" s="1483"/>
      <c r="C22" s="1761">
        <f t="shared" ref="C22:N22" si="2">C29</f>
        <v>2180.6278704200699</v>
      </c>
      <c r="D22" s="1726">
        <f t="shared" si="2"/>
        <v>1371.416890401</v>
      </c>
      <c r="E22" s="1727">
        <f t="shared" si="2"/>
        <v>7967.2746840819391</v>
      </c>
      <c r="F22" s="1727">
        <f t="shared" si="2"/>
        <v>1999.5105152603878</v>
      </c>
      <c r="G22" s="1748">
        <f t="shared" si="2"/>
        <v>4110.5731272226203</v>
      </c>
      <c r="H22" s="1762">
        <f t="shared" si="2"/>
        <v>1425.9638774436141</v>
      </c>
      <c r="I22" s="1729">
        <f t="shared" si="2"/>
        <v>657.7577115403501</v>
      </c>
      <c r="J22" s="1762">
        <f t="shared" si="2"/>
        <v>233.4447737333669</v>
      </c>
      <c r="K22" s="1762">
        <f t="shared" si="2"/>
        <v>408.33242946602365</v>
      </c>
      <c r="L22" s="1751">
        <f t="shared" si="2"/>
        <v>15014.900359838257</v>
      </c>
      <c r="M22" s="1730">
        <f t="shared" si="2"/>
        <v>15324.564850064096</v>
      </c>
      <c r="N22" s="1730">
        <f t="shared" si="2"/>
        <v>20045.236416676627</v>
      </c>
      <c r="O22" s="1760">
        <f>M22-(C22+E22+G22+I22+K22)</f>
        <v>-9.726669049996417E-4</v>
      </c>
      <c r="P22" s="945">
        <f>N22-(D22+F22+H22+J22+L22)</f>
        <v>0</v>
      </c>
    </row>
    <row r="23" spans="1:22" s="411" customFormat="1" ht="20.25" customHeight="1">
      <c r="A23" s="905">
        <v>2018</v>
      </c>
      <c r="B23" s="906" t="s">
        <v>223</v>
      </c>
      <c r="C23" s="770">
        <v>1793.5282589330768</v>
      </c>
      <c r="D23" s="1723">
        <v>1272.8890940501165</v>
      </c>
      <c r="E23" s="754">
        <v>7761.6792242744232</v>
      </c>
      <c r="F23" s="754">
        <v>1682.3011298702322</v>
      </c>
      <c r="G23" s="940">
        <v>3874.3423122369995</v>
      </c>
      <c r="H23" s="771">
        <v>1248.982918712577</v>
      </c>
      <c r="I23" s="789">
        <v>651.08307353586417</v>
      </c>
      <c r="J23" s="771">
        <v>272.36010169377857</v>
      </c>
      <c r="K23" s="771">
        <v>432.71355378522367</v>
      </c>
      <c r="L23" s="790">
        <v>13107.03171933034</v>
      </c>
      <c r="M23" s="764">
        <v>14513.336325700178</v>
      </c>
      <c r="N23" s="764">
        <v>17583.564963657045</v>
      </c>
      <c r="O23" s="945">
        <f t="shared" ref="O23" si="3">M23-(C23+E23+G23+I23+K23)</f>
        <v>-1.009706540753541E-2</v>
      </c>
      <c r="P23" s="945">
        <f t="shared" ref="P23" si="4">N23-(D23+F23+H23+J23+L23)</f>
        <v>0</v>
      </c>
    </row>
    <row r="24" spans="1:22" s="411" customFormat="1" ht="14.25" customHeight="1">
      <c r="A24" s="905"/>
      <c r="B24" s="906" t="s">
        <v>224</v>
      </c>
      <c r="C24" s="770">
        <v>1618.3614766678716</v>
      </c>
      <c r="D24" s="1723">
        <v>1283.641538092674</v>
      </c>
      <c r="E24" s="754">
        <v>7834.7392409061631</v>
      </c>
      <c r="F24" s="754">
        <v>1765.5975732373943</v>
      </c>
      <c r="G24" s="940">
        <v>3770.082872165</v>
      </c>
      <c r="H24" s="771">
        <v>1222.7557093572477</v>
      </c>
      <c r="I24" s="789">
        <v>646.42002464966447</v>
      </c>
      <c r="J24" s="771">
        <v>265.05677430203906</v>
      </c>
      <c r="K24" s="771">
        <v>472.80806600442492</v>
      </c>
      <c r="L24" s="790">
        <v>13279.029682475986</v>
      </c>
      <c r="M24" s="764">
        <v>14342.411542438815</v>
      </c>
      <c r="N24" s="764">
        <v>17816.05127746534</v>
      </c>
      <c r="O24" s="1760">
        <v>-1.3795430822938215E-4</v>
      </c>
      <c r="P24" s="945">
        <v>-3.0000000002473826E-2</v>
      </c>
    </row>
    <row r="25" spans="1:22" s="411" customFormat="1" ht="14.25" customHeight="1">
      <c r="A25" s="905"/>
      <c r="B25" s="906" t="s">
        <v>225</v>
      </c>
      <c r="C25" s="770">
        <v>1728.9934081527347</v>
      </c>
      <c r="D25" s="1723">
        <v>1384.2007318882495</v>
      </c>
      <c r="E25" s="754">
        <v>7880.1793050599927</v>
      </c>
      <c r="F25" s="754">
        <v>1980.3431307119811</v>
      </c>
      <c r="G25" s="940">
        <v>3785.4850874866829</v>
      </c>
      <c r="H25" s="771">
        <v>1266.5280800091759</v>
      </c>
      <c r="I25" s="789">
        <v>665.44588410057418</v>
      </c>
      <c r="J25" s="771">
        <v>248.15564364648375</v>
      </c>
      <c r="K25" s="771">
        <v>402.74333957722922</v>
      </c>
      <c r="L25" s="790">
        <v>13226.954740486637</v>
      </c>
      <c r="M25" s="764">
        <v>14462.842695332831</v>
      </c>
      <c r="N25" s="764">
        <v>18106.182326742528</v>
      </c>
      <c r="O25" s="1760">
        <v>-4.3290443827572744E-3</v>
      </c>
      <c r="P25" s="945">
        <v>0</v>
      </c>
    </row>
    <row r="26" spans="1:22" s="411" customFormat="1" ht="20.25" customHeight="1">
      <c r="A26" s="905">
        <v>2019</v>
      </c>
      <c r="B26" s="906" t="s">
        <v>222</v>
      </c>
      <c r="C26" s="770">
        <v>2242.1494709485723</v>
      </c>
      <c r="D26" s="1723">
        <v>1493.5864097622054</v>
      </c>
      <c r="E26" s="754">
        <v>7878.543874406133</v>
      </c>
      <c r="F26" s="754">
        <v>1977.8647374298903</v>
      </c>
      <c r="G26" s="940">
        <v>4032.5918765249926</v>
      </c>
      <c r="H26" s="771">
        <v>1371.1637857445367</v>
      </c>
      <c r="I26" s="789">
        <v>686.96114202345348</v>
      </c>
      <c r="J26" s="771">
        <v>232.63605517862936</v>
      </c>
      <c r="K26" s="771">
        <v>358.25808768811874</v>
      </c>
      <c r="L26" s="790">
        <v>14146.305379415926</v>
      </c>
      <c r="M26" s="764">
        <v>15198.463630857515</v>
      </c>
      <c r="N26" s="764">
        <v>19221.556367531186</v>
      </c>
      <c r="O26" s="945">
        <v>-4.0820733755026595E-2</v>
      </c>
      <c r="P26" s="945">
        <v>0</v>
      </c>
    </row>
    <row r="27" spans="1:22" s="411" customFormat="1" ht="14.25" customHeight="1">
      <c r="A27" s="905"/>
      <c r="B27" s="906" t="s">
        <v>223</v>
      </c>
      <c r="C27" s="770">
        <f t="shared" ref="C27:N27" si="5">C33</f>
        <v>2035.5419758820651</v>
      </c>
      <c r="D27" s="1723">
        <f t="shared" si="5"/>
        <v>1473.6895467727613</v>
      </c>
      <c r="E27" s="754">
        <f t="shared" si="5"/>
        <v>7982.960017864013</v>
      </c>
      <c r="F27" s="754">
        <f t="shared" si="5"/>
        <v>2093.4248899092158</v>
      </c>
      <c r="G27" s="940">
        <f t="shared" si="5"/>
        <v>4221.1804078610003</v>
      </c>
      <c r="H27" s="771">
        <f t="shared" si="5"/>
        <v>1314.1599444009787</v>
      </c>
      <c r="I27" s="789">
        <f t="shared" si="5"/>
        <v>677.05827831387444</v>
      </c>
      <c r="J27" s="771">
        <f t="shared" si="5"/>
        <v>188.91271785162687</v>
      </c>
      <c r="K27" s="771">
        <f t="shared" si="5"/>
        <v>402.62208241048876</v>
      </c>
      <c r="L27" s="790">
        <f t="shared" si="5"/>
        <v>14139.341083190942</v>
      </c>
      <c r="M27" s="764">
        <f t="shared" si="5"/>
        <v>15319.410513886409</v>
      </c>
      <c r="N27" s="764">
        <f t="shared" si="5"/>
        <v>19209.528182125527</v>
      </c>
      <c r="O27" s="945">
        <f t="shared" ref="O27" si="6">M27-(C27+E27+G27+I27+K27)</f>
        <v>4.7751554966453114E-2</v>
      </c>
      <c r="P27" s="945">
        <f t="shared" ref="P27" si="7">N27-(D27+F27+H27+J27+L27)</f>
        <v>0</v>
      </c>
    </row>
    <row r="28" spans="1:22" s="411" customFormat="1" ht="14.25" customHeight="1">
      <c r="A28" s="905"/>
      <c r="B28" s="906" t="s">
        <v>224</v>
      </c>
      <c r="C28" s="770">
        <f t="shared" ref="C28:N28" si="8">C36</f>
        <v>1992.8761340055596</v>
      </c>
      <c r="D28" s="1723">
        <f t="shared" si="8"/>
        <v>1479.900765119085</v>
      </c>
      <c r="E28" s="754">
        <f t="shared" si="8"/>
        <v>7987.1743397477476</v>
      </c>
      <c r="F28" s="754">
        <f t="shared" si="8"/>
        <v>2077.5986419540363</v>
      </c>
      <c r="G28" s="940">
        <f t="shared" si="8"/>
        <v>4298.7200834559999</v>
      </c>
      <c r="H28" s="771">
        <f t="shared" si="8"/>
        <v>1343.8062745538236</v>
      </c>
      <c r="I28" s="789">
        <f t="shared" si="8"/>
        <v>683.82022061368832</v>
      </c>
      <c r="J28" s="771">
        <f t="shared" si="8"/>
        <v>220.21294438570891</v>
      </c>
      <c r="K28" s="771">
        <f t="shared" si="8"/>
        <v>397.23986641368839</v>
      </c>
      <c r="L28" s="790">
        <f t="shared" si="8"/>
        <v>14231.795911350793</v>
      </c>
      <c r="M28" s="764">
        <f t="shared" si="8"/>
        <v>15359.849770263401</v>
      </c>
      <c r="N28" s="764">
        <f t="shared" si="8"/>
        <v>19353.314537363447</v>
      </c>
      <c r="O28" s="945">
        <f t="shared" ref="O28" si="9">M28-(C28+E28+G28+I28+K28)</f>
        <v>1.9126026716548949E-2</v>
      </c>
      <c r="P28" s="945">
        <f t="shared" ref="P28" si="10">N28-(D28+F28+H28+J28+L28)</f>
        <v>0</v>
      </c>
    </row>
    <row r="29" spans="1:22" s="411" customFormat="1" ht="14.25" customHeight="1">
      <c r="A29" s="905"/>
      <c r="B29" s="906" t="s">
        <v>225</v>
      </c>
      <c r="C29" s="770">
        <f t="shared" ref="C29:N29" si="11">C39</f>
        <v>2180.6278704200699</v>
      </c>
      <c r="D29" s="1723">
        <f t="shared" si="11"/>
        <v>1371.416890401</v>
      </c>
      <c r="E29" s="754">
        <f t="shared" si="11"/>
        <v>7967.2746840819391</v>
      </c>
      <c r="F29" s="754">
        <f t="shared" si="11"/>
        <v>1999.5105152603878</v>
      </c>
      <c r="G29" s="940">
        <f t="shared" si="11"/>
        <v>4110.5731272226203</v>
      </c>
      <c r="H29" s="771">
        <f t="shared" si="11"/>
        <v>1425.9638774436141</v>
      </c>
      <c r="I29" s="789">
        <f t="shared" si="11"/>
        <v>657.7577115403501</v>
      </c>
      <c r="J29" s="771">
        <f t="shared" si="11"/>
        <v>233.4447737333669</v>
      </c>
      <c r="K29" s="771">
        <f t="shared" si="11"/>
        <v>408.33242946602365</v>
      </c>
      <c r="L29" s="790">
        <f t="shared" si="11"/>
        <v>15014.900359838257</v>
      </c>
      <c r="M29" s="764">
        <f t="shared" si="11"/>
        <v>15324.564850064096</v>
      </c>
      <c r="N29" s="764">
        <f t="shared" si="11"/>
        <v>20045.236416676627</v>
      </c>
      <c r="O29" s="945">
        <f t="shared" ref="O29" si="12">M29-(C29+E29+G29+I29+K29)</f>
        <v>-9.726669049996417E-4</v>
      </c>
      <c r="P29" s="945">
        <f t="shared" ref="P29" si="13">N29-(D29+F29+H29+J29+L29)</f>
        <v>0</v>
      </c>
    </row>
    <row r="30" spans="1:22" s="411" customFormat="1" ht="21" customHeight="1">
      <c r="A30" s="1193">
        <v>2020</v>
      </c>
      <c r="B30" s="1483" t="s">
        <v>222</v>
      </c>
      <c r="C30" s="1761">
        <f t="shared" ref="C30:N30" si="14">C42</f>
        <v>2271.4487784759358</v>
      </c>
      <c r="D30" s="1726">
        <f t="shared" si="14"/>
        <v>1305.8591089035476</v>
      </c>
      <c r="E30" s="1727">
        <f t="shared" si="14"/>
        <v>8153.0700535254955</v>
      </c>
      <c r="F30" s="1727">
        <f t="shared" si="14"/>
        <v>2148.0215041832826</v>
      </c>
      <c r="G30" s="1748">
        <f t="shared" si="14"/>
        <v>4160.8653166266213</v>
      </c>
      <c r="H30" s="1762">
        <f t="shared" si="14"/>
        <v>1586.873132606222</v>
      </c>
      <c r="I30" s="1729">
        <f t="shared" si="14"/>
        <v>758.80229777739873</v>
      </c>
      <c r="J30" s="1762">
        <f t="shared" si="14"/>
        <v>300.59242269115322</v>
      </c>
      <c r="K30" s="1762">
        <f t="shared" si="14"/>
        <v>355.9081871130237</v>
      </c>
      <c r="L30" s="1751">
        <f t="shared" si="14"/>
        <v>14710.827116516963</v>
      </c>
      <c r="M30" s="1730">
        <f t="shared" si="14"/>
        <v>15700.094438427755</v>
      </c>
      <c r="N30" s="1730">
        <f t="shared" si="14"/>
        <v>20052.153284901171</v>
      </c>
      <c r="O30" s="945">
        <f t="shared" ref="O30" si="15">M30-(C30+E30+G30+I30+K30)</f>
        <v>-1.9509071898937691E-4</v>
      </c>
      <c r="P30" s="945">
        <f t="shared" ref="P30" si="16">N30-(D30+F30+H30+J30+L30)</f>
        <v>-1.9999999996798579E-2</v>
      </c>
    </row>
    <row r="31" spans="1:22" s="327" customFormat="1" ht="20.25" customHeight="1">
      <c r="A31" s="432">
        <v>2019</v>
      </c>
      <c r="B31" s="553" t="s">
        <v>399</v>
      </c>
      <c r="C31" s="770">
        <f>SUM('[5]1'!$C$68:$C$69)+'[5]1'!$C$72+'[5]1'!$C$95+0.07</f>
        <v>2071.7649921964316</v>
      </c>
      <c r="D31" s="770">
        <f>SUM('[5]1'!$D$68:$D$69)+'[5]1'!$D$72+'[5]1'!$D$95</f>
        <v>1446.0462666820697</v>
      </c>
      <c r="E31" s="754">
        <f>SUM('[5]1'!$C$79:$C$83)+'[5]1'!$C$89+'[5]1'!$C$92</f>
        <v>7930.288482267646</v>
      </c>
      <c r="F31" s="754">
        <f>SUM('[5]1'!$D$79:$D$83)+'[5]1'!$D$89+'[5]1'!$D$92</f>
        <v>2019.5011342557159</v>
      </c>
      <c r="G31" s="789">
        <f>SUM('[5]1'!$C$77:$C$78)+'[5]1'!$C$86</f>
        <v>4151.9004011969937</v>
      </c>
      <c r="H31" s="771">
        <f>SUM('[5]1'!$D$77:$D$78)+'[5]1'!$D$86</f>
        <v>1392.3969841672608</v>
      </c>
      <c r="I31" s="789">
        <f>'[5]1'!$C$93+SUM('[5]1'!$C$96:$C$97)</f>
        <v>654.44504012875848</v>
      </c>
      <c r="J31" s="771">
        <f>'[5]1'!$D$93+SUM('[5]1'!$D$96:$D$97)</f>
        <v>197.49794481909333</v>
      </c>
      <c r="K31" s="771">
        <f>'[5]1'!$E$98+'[5]1'!$G$98-0.05</f>
        <v>390.4314565123554</v>
      </c>
      <c r="L31" s="790">
        <f>'[5]1'!$F$98+'[5]1'!$H$98</f>
        <v>13491.857361888153</v>
      </c>
      <c r="M31" s="764">
        <f>'[5]1'!$C$98+'[5]1'!$E$98+'[5]1'!$G$98</f>
        <v>15198.820884709963</v>
      </c>
      <c r="N31" s="764">
        <f>'[5]1'!$D$98+'[5]1'!$F$98+'[5]1'!$H$98</f>
        <v>18547.299691812292</v>
      </c>
      <c r="O31" s="945">
        <f t="shared" ref="O31" si="17">M31-(C31+E31+G31+I31+K31)</f>
        <v>-9.4875922204664676E-3</v>
      </c>
      <c r="P31" s="945">
        <f t="shared" ref="P31" si="18">N31-(D31+F31+H31+J31+L31)</f>
        <v>0</v>
      </c>
      <c r="Q31" s="411"/>
      <c r="R31" s="411"/>
      <c r="S31" s="411"/>
      <c r="T31" s="411"/>
      <c r="U31" s="411"/>
      <c r="V31" s="411"/>
    </row>
    <row r="32" spans="1:22" s="327" customFormat="1" ht="14.25" customHeight="1">
      <c r="A32" s="432"/>
      <c r="B32" s="553" t="s">
        <v>400</v>
      </c>
      <c r="C32" s="962">
        <f>SUM('[6]1'!$C$68:$C$69)+'[6]1'!$C$72+'[6]1'!$C$95</f>
        <v>2138.2893793700728</v>
      </c>
      <c r="D32" s="962">
        <f>SUM('[6]1'!$D$68:$D$69)+'[6]1'!$D$72+'[6]1'!$D$95-0.1</f>
        <v>1406.7322956185858</v>
      </c>
      <c r="E32" s="806">
        <f>SUM('[6]1'!$C$79:$C$83)+'[6]1'!$C$89+'[6]1'!$C$92+0.05</f>
        <v>7950.8746106012013</v>
      </c>
      <c r="F32" s="806">
        <f>SUM('[6]1'!$D$79:$D$83)+'[6]1'!$D$89+'[6]1'!$D$92</f>
        <v>2053.8341620948081</v>
      </c>
      <c r="G32" s="870">
        <f>SUM('[6]1'!$C$77:$C$78)+'[6]1'!$C$86</f>
        <v>4223.2121456980003</v>
      </c>
      <c r="H32" s="963">
        <f>SUM('[6]1'!$D$77:$D$78)+'[6]1'!$D$86</f>
        <v>1326.056080927616</v>
      </c>
      <c r="I32" s="870">
        <f>'[6]1'!$C$93+SUM('[6]1'!$C$96:$C$97)</f>
        <v>675.99163040459325</v>
      </c>
      <c r="J32" s="963">
        <f>'[6]1'!$D$93+SUM('[6]1'!$D$96:$D$97)</f>
        <v>186.36047077306276</v>
      </c>
      <c r="K32" s="963">
        <f>'[6]1'!$E$98+'[6]1'!$G$98</f>
        <v>388.04981260372631</v>
      </c>
      <c r="L32" s="805">
        <f>'[6]1'!$F$98+'[6]1'!$H$98</f>
        <v>13994.762833501296</v>
      </c>
      <c r="M32" s="788">
        <f>'[6]1'!$C$98+'[6]1'!$E$98+'[6]1'!$G$98</f>
        <v>15376.3605887578</v>
      </c>
      <c r="N32" s="788">
        <f>'[6]1'!$D$98+'[6]1'!$F$98+'[6]1'!$H$98</f>
        <v>18967.845842915369</v>
      </c>
      <c r="O32" s="335">
        <f t="shared" ref="O32" si="19">M32-(C32+E32+G32+I32+K32)</f>
        <v>-5.6989919792613364E-2</v>
      </c>
      <c r="P32" s="335">
        <f t="shared" ref="P32" si="20">N32-(D32+F32+H32+J32+L32)</f>
        <v>9.9999999998544808E-2</v>
      </c>
      <c r="Q32" s="381"/>
      <c r="R32" s="381"/>
      <c r="S32" s="381"/>
      <c r="T32" s="381"/>
      <c r="U32" s="381"/>
      <c r="V32" s="381"/>
    </row>
    <row r="33" spans="1:22" s="327" customFormat="1" ht="14.25" customHeight="1">
      <c r="A33" s="432"/>
      <c r="B33" s="553" t="s">
        <v>401</v>
      </c>
      <c r="C33" s="962">
        <f>SUM('[7]1'!$C$68:$C$69)+'[7]1'!$C$72+'[7]1'!$C$95-0.06</f>
        <v>2035.5419758820651</v>
      </c>
      <c r="D33" s="962">
        <f>SUM('[7]1'!$D$68:$D$69)+'[7]1'!$D$72+'[7]1'!$D$95</f>
        <v>1473.6895467727613</v>
      </c>
      <c r="E33" s="806">
        <f>SUM('[7]1'!$C$79:$C$83)+'[7]1'!$C$89+'[7]1'!$C$92</f>
        <v>7982.960017864013</v>
      </c>
      <c r="F33" s="806">
        <f>SUM('[7]1'!$D$79:$D$83)+'[7]1'!$D$89+'[7]1'!$D$92</f>
        <v>2093.4248899092158</v>
      </c>
      <c r="G33" s="870">
        <f>SUM('[7]1'!$C$77:$C$78)+'[7]1'!$C$86</f>
        <v>4221.1804078610003</v>
      </c>
      <c r="H33" s="963">
        <f>SUM('[7]1'!$D$77:$D$78)+'[7]1'!$D$86</f>
        <v>1314.1599444009787</v>
      </c>
      <c r="I33" s="870">
        <f>'[7]1'!$C$93+SUM('[7]1'!$C$96:$C$97)+0.01</f>
        <v>677.05827831387444</v>
      </c>
      <c r="J33" s="963">
        <f>'[7]1'!$D$93+SUM('[7]1'!$D$96:$D$97)</f>
        <v>188.91271785162687</v>
      </c>
      <c r="K33" s="963">
        <f>'[7]1'!$E$98+'[7]1'!$G$98</f>
        <v>402.62208241048876</v>
      </c>
      <c r="L33" s="805">
        <f>'[7]1'!$F$98+'[7]1'!$H$98</f>
        <v>14139.341083190942</v>
      </c>
      <c r="M33" s="788">
        <f>'[7]1'!$C$98+'[7]1'!$E$98+'[7]1'!$G$98</f>
        <v>15319.410513886409</v>
      </c>
      <c r="N33" s="788">
        <f>'[7]1'!$D$98+'[7]1'!$F$98+'[7]1'!$H$98</f>
        <v>19209.528182125527</v>
      </c>
      <c r="O33" s="335">
        <f t="shared" ref="O33" si="21">M33-(C33+E33+G33+I33+K33)</f>
        <v>4.7751554966453114E-2</v>
      </c>
      <c r="P33" s="335">
        <f t="shared" ref="P33" si="22">N33-(D33+F33+H33+J33+L33)</f>
        <v>0</v>
      </c>
      <c r="Q33" s="381"/>
      <c r="R33" s="381"/>
      <c r="S33" s="381"/>
      <c r="T33" s="381"/>
      <c r="U33" s="381"/>
      <c r="V33" s="381"/>
    </row>
    <row r="34" spans="1:22" s="327" customFormat="1" ht="14.25" customHeight="1">
      <c r="A34" s="432"/>
      <c r="B34" s="553" t="s">
        <v>402</v>
      </c>
      <c r="C34" s="962">
        <f>SUM('[8]1'!$C$68:$C$69)+'[8]1'!$C$72+'[8]1'!$C$95</f>
        <v>2081.1856464632397</v>
      </c>
      <c r="D34" s="962">
        <f>SUM('[8]1'!$D$68:$D$69)+'[8]1'!$D$72+'[8]1'!$D$95</f>
        <v>1389.8069444559355</v>
      </c>
      <c r="E34" s="806">
        <f>SUM('[8]1'!$C$79:$C$83)+'[8]1'!$C$89+'[8]1'!$C$92</f>
        <v>7961.3766313807782</v>
      </c>
      <c r="F34" s="806">
        <f>SUM('[8]1'!$D$79:$D$83)+'[8]1'!$D$89+'[8]1'!$D$92</f>
        <v>2091.1787828557231</v>
      </c>
      <c r="G34" s="870">
        <f>SUM('[8]1'!$C$77:$C$78)+'[8]1'!$C$86</f>
        <v>4200.6506663500004</v>
      </c>
      <c r="H34" s="963">
        <f>SUM('[8]1'!$D$77:$D$78)+'[8]1'!$D$86</f>
        <v>1368.8050740152066</v>
      </c>
      <c r="I34" s="870">
        <f>'[8]1'!$C$93+SUM('[8]1'!$C$96:$C$97)</f>
        <v>670.30063532977579</v>
      </c>
      <c r="J34" s="963">
        <f>'[8]1'!$D$93+SUM('[8]1'!$D$96:$D$97)</f>
        <v>194.04908655486344</v>
      </c>
      <c r="K34" s="963">
        <f>'[8]1'!$E$98+'[8]1'!$G$98-0.03</f>
        <v>451.13712198128758</v>
      </c>
      <c r="L34" s="805">
        <f>'[8]1'!$F$98+'[8]1'!$H$98</f>
        <v>14261.456920127821</v>
      </c>
      <c r="M34" s="788">
        <f>'[8]1'!$C$98+'[8]1'!$E$98+'[8]1'!$G$98</f>
        <v>15364.685250948416</v>
      </c>
      <c r="N34" s="788">
        <f>'[8]1'!$D$98+'[8]1'!$F$98+'[8]1'!$H$98</f>
        <v>19305.296808009552</v>
      </c>
      <c r="O34" s="335">
        <f t="shared" ref="O34" si="23">M34-(C34+E34+G34+I34+K34)</f>
        <v>3.4549443334981333E-2</v>
      </c>
      <c r="P34" s="335">
        <f t="shared" ref="P34" si="24">N34-(D34+F34+H34+J34+L34)</f>
        <v>0</v>
      </c>
      <c r="Q34" s="381"/>
      <c r="R34" s="381"/>
      <c r="S34" s="381"/>
      <c r="T34" s="381"/>
      <c r="U34" s="381"/>
      <c r="V34" s="381"/>
    </row>
    <row r="35" spans="1:22" s="327" customFormat="1" ht="14.25" customHeight="1">
      <c r="A35" s="432"/>
      <c r="B35" s="553" t="s">
        <v>403</v>
      </c>
      <c r="C35" s="962">
        <f>SUM('[9]1'!$C$68:$C$69)+'[9]1'!$C$72+'[9]1'!$C$95-0.02</f>
        <v>2025.7351375651597</v>
      </c>
      <c r="D35" s="962">
        <f>SUM('[9]1'!$D$68:$D$69)+'[9]1'!$D$72+'[9]1'!$D$95</f>
        <v>1357.3591121098939</v>
      </c>
      <c r="E35" s="806">
        <f>SUM('[9]1'!$C$79:$C$83)+'[9]1'!$C$89+'[9]1'!$C$92</f>
        <v>7969.3137671921368</v>
      </c>
      <c r="F35" s="806">
        <f>SUM('[9]1'!$D$79:$D$83)+'[9]1'!$D$89+'[9]1'!$D$92</f>
        <v>2124.1617006685992</v>
      </c>
      <c r="G35" s="870">
        <f>SUM('[9]1'!$C$77:$C$78)+'[9]1'!$C$86+0.05</f>
        <v>4244.7806560750005</v>
      </c>
      <c r="H35" s="963">
        <f>SUM('[9]1'!$D$77:$D$78)+'[9]1'!$D$86</f>
        <v>1268.7106364118104</v>
      </c>
      <c r="I35" s="870">
        <f>'[9]1'!$C$93+SUM('[9]1'!$C$96:$C$97)</f>
        <v>678.69810673242159</v>
      </c>
      <c r="J35" s="963">
        <f>'[9]1'!$D$93+SUM('[9]1'!$D$96:$D$97)</f>
        <v>223.03031408939887</v>
      </c>
      <c r="K35" s="963">
        <f>'[9]1'!$E$98+'[9]1'!$G$98</f>
        <v>397.48740503645746</v>
      </c>
      <c r="L35" s="805">
        <f>'[9]1'!$F$98+'[9]1'!$H$98</f>
        <v>14550.720730820562</v>
      </c>
      <c r="M35" s="788">
        <f>'[9]1'!$C$98+'[9]1'!$E$98+'[9]1'!$G$98</f>
        <v>15315.966310698339</v>
      </c>
      <c r="N35" s="788">
        <f>'[9]1'!$D$98+'[9]1'!$F$98+'[9]1'!$H$98</f>
        <v>19523.982494100266</v>
      </c>
      <c r="O35" s="335">
        <f t="shared" ref="O35" si="25">M35-(C35+E35+G35+I35+K35)</f>
        <v>-4.8761902835394721E-2</v>
      </c>
      <c r="P35" s="335">
        <f t="shared" ref="P35" si="26">N35-(D35+F35+H35+J35+L35)</f>
        <v>0</v>
      </c>
      <c r="Q35" s="381"/>
      <c r="R35" s="381"/>
      <c r="S35" s="381"/>
      <c r="T35" s="381"/>
      <c r="U35" s="381"/>
      <c r="V35" s="381"/>
    </row>
    <row r="36" spans="1:22" s="327" customFormat="1" ht="14.25" customHeight="1">
      <c r="A36" s="432"/>
      <c r="B36" s="553" t="s">
        <v>404</v>
      </c>
      <c r="C36" s="962">
        <f>SUM('[10]1'!$C$68:$C$69)+'[10]1'!$C$72+'[10]1'!$C$95</f>
        <v>1992.8761340055596</v>
      </c>
      <c r="D36" s="962">
        <f>SUM('[10]1'!$D$68:$D$69)+'[10]1'!$D$72+'[10]1'!$D$95</f>
        <v>1479.900765119085</v>
      </c>
      <c r="E36" s="806">
        <f>SUM('[10]1'!$C$79:$C$83)+'[10]1'!$C$89+'[10]1'!$C$92</f>
        <v>7987.1743397477476</v>
      </c>
      <c r="F36" s="806">
        <f>SUM('[10]1'!$D$79:$D$83)+'[10]1'!$D$89+'[10]1'!$D$92</f>
        <v>2077.5986419540363</v>
      </c>
      <c r="G36" s="870">
        <f>SUM('[10]1'!$C$77:$C$78)+'[10]1'!$C$86</f>
        <v>4298.7200834559999</v>
      </c>
      <c r="H36" s="963">
        <f>SUM('[10]1'!$D$77:$D$78)+'[10]1'!$D$86</f>
        <v>1343.8062745538236</v>
      </c>
      <c r="I36" s="870">
        <f>'[10]1'!$C$93+SUM('[10]1'!$C$96:$C$97)</f>
        <v>683.82022061368832</v>
      </c>
      <c r="J36" s="963">
        <f>'[10]1'!$D$93+SUM('[10]1'!$D$96:$D$97)</f>
        <v>220.21294438570891</v>
      </c>
      <c r="K36" s="963">
        <f>'[10]1'!$E$98+'[10]1'!$G$98-0.02</f>
        <v>397.23986641368839</v>
      </c>
      <c r="L36" s="805">
        <f>'[10]1'!$F$98+'[10]1'!$H$98</f>
        <v>14231.795911350793</v>
      </c>
      <c r="M36" s="788">
        <f>'[10]1'!$C$98+'[10]1'!$E$98+'[10]1'!$G$98</f>
        <v>15359.849770263401</v>
      </c>
      <c r="N36" s="788">
        <f>'[10]1'!$D$98+'[10]1'!$F$98+'[10]1'!$H$98</f>
        <v>19353.314537363447</v>
      </c>
      <c r="O36" s="335">
        <f t="shared" ref="O36" si="27">M36-(C36+E36+G36+I36+K36)</f>
        <v>1.9126026716548949E-2</v>
      </c>
      <c r="P36" s="335">
        <f t="shared" ref="P36" si="28">N36-(D36+F36+H36+J36+L36)</f>
        <v>0</v>
      </c>
      <c r="Q36" s="381"/>
      <c r="R36" s="381"/>
      <c r="S36" s="381"/>
      <c r="T36" s="381"/>
      <c r="U36" s="381"/>
      <c r="V36" s="381"/>
    </row>
    <row r="37" spans="1:22" s="327" customFormat="1" ht="14.25" customHeight="1">
      <c r="A37" s="432"/>
      <c r="B37" s="553" t="s">
        <v>405</v>
      </c>
      <c r="C37" s="962">
        <f>SUM('[11]1'!$C$68:$C$69)+'[11]1'!$C$72+'[11]1'!$C$95</f>
        <v>2086.8486895699411</v>
      </c>
      <c r="D37" s="962">
        <f>SUM('[11]1'!$D$68:$D$69)+'[11]1'!$D$72+'[11]1'!$D$95</f>
        <v>1273.9277311767989</v>
      </c>
      <c r="E37" s="806">
        <f>SUM('[11]1'!$C$79:$C$83)+'[11]1'!$C$89+'[11]1'!$C$92</f>
        <v>7969.2177954891022</v>
      </c>
      <c r="F37" s="806">
        <f>SUM('[11]1'!$D$79:$D$83)+'[11]1'!$D$89+'[11]1'!$D$92</f>
        <v>2099.2308218630851</v>
      </c>
      <c r="G37" s="870">
        <f>SUM('[11]1'!$C$77:$C$78)+'[11]1'!$C$86</f>
        <v>4250.4667440130006</v>
      </c>
      <c r="H37" s="963">
        <f>SUM('[11]1'!$D$77:$D$78)+'[11]1'!$D$86</f>
        <v>1379.0745864328533</v>
      </c>
      <c r="I37" s="870">
        <f>'[11]1'!$C$93+SUM('[11]1'!$C$96:$C$97)</f>
        <v>685.16505546593532</v>
      </c>
      <c r="J37" s="963">
        <f>'[11]1'!$D$93+SUM('[11]1'!$D$96:$D$97)</f>
        <v>203.61128877238531</v>
      </c>
      <c r="K37" s="963">
        <f>'[11]1'!$E$98+'[11]1'!$G$98</f>
        <v>354.07847323125907</v>
      </c>
      <c r="L37" s="805">
        <f>'[11]1'!$F$98+'[11]1'!$H$98</f>
        <v>14534.291719330853</v>
      </c>
      <c r="M37" s="788">
        <f>'[11]1'!$C$98+'[11]1'!$E$98+'[11]1'!$G$98</f>
        <v>15345.776745199262</v>
      </c>
      <c r="N37" s="788">
        <f>'[11]1'!$D$98+'[11]1'!$F$98+'[11]1'!$H$98</f>
        <v>19490.136147575977</v>
      </c>
      <c r="O37" s="335">
        <f t="shared" ref="O37" si="29">M37-(C37+E37+G37+I37+K37)</f>
        <v>-1.2569975297083147E-5</v>
      </c>
      <c r="P37" s="335">
        <f t="shared" ref="P37" si="30">N37-(D37+F37+H37+J37+L37)</f>
        <v>0</v>
      </c>
      <c r="Q37" s="381"/>
      <c r="R37" s="381"/>
      <c r="S37" s="381"/>
      <c r="T37" s="381"/>
      <c r="U37" s="381"/>
      <c r="V37" s="381"/>
    </row>
    <row r="38" spans="1:22" s="327" customFormat="1" ht="14.25" customHeight="1">
      <c r="A38" s="432"/>
      <c r="B38" s="553" t="s">
        <v>406</v>
      </c>
      <c r="C38" s="962">
        <f>SUM('[12]1'!$C$68:$C$69)+'[12]1'!$C$72+'[12]1'!$C$95</f>
        <v>2174.1169449951067</v>
      </c>
      <c r="D38" s="962">
        <f>SUM('[12]1'!$D$68:$D$69)+'[12]1'!$D$72+'[12]1'!$D$95</f>
        <v>1245.8987647674235</v>
      </c>
      <c r="E38" s="806">
        <f>SUM('[12]1'!$C$79:$C$83)+'[12]1'!$C$89+'[12]1'!$C$92</f>
        <v>7999.7993498749238</v>
      </c>
      <c r="F38" s="806">
        <f>SUM('[12]1'!$D$79:$D$83)+'[12]1'!$D$89+'[12]1'!$D$92</f>
        <v>2043.5030742585586</v>
      </c>
      <c r="G38" s="870">
        <f>SUM('[12]1'!$C$77:$C$78)+'[12]1'!$C$86</f>
        <v>4163.7655165360002</v>
      </c>
      <c r="H38" s="963">
        <f>SUM('[12]1'!$D$77:$D$78)+'[12]1'!$D$86</f>
        <v>1413.3747844518864</v>
      </c>
      <c r="I38" s="870">
        <f>'[12]1'!$C$93+SUM('[12]1'!$C$96:$C$97)</f>
        <v>697.21999566052739</v>
      </c>
      <c r="J38" s="963">
        <f>'[12]1'!$D$93+SUM('[12]1'!$D$96:$D$97)</f>
        <v>193.13974626998402</v>
      </c>
      <c r="K38" s="963">
        <f>'[12]1'!$E$98+'[12]1'!$G$98</f>
        <v>396.77604102789894</v>
      </c>
      <c r="L38" s="805">
        <f>'[12]1'!$F$98+'[12]1'!$H$98-0.01</f>
        <v>15039.742462344779</v>
      </c>
      <c r="M38" s="788">
        <f>'[12]1'!$C$98+'[12]1'!$E$98+'[12]1'!$G$98</f>
        <v>15431.677228928436</v>
      </c>
      <c r="N38" s="788">
        <f>'[12]1'!$D$98+'[12]1'!$F$98+'[12]1'!$H$98-0.03</f>
        <v>19935.638832092631</v>
      </c>
      <c r="O38" s="335">
        <f t="shared" ref="O38" si="31">M38-(C38+E38+G38+I38+K38)</f>
        <v>-6.1916601953271311E-4</v>
      </c>
      <c r="P38" s="335">
        <f t="shared" ref="P38" si="32">N38-(D38+F38+H38+J38+L38)</f>
        <v>-2.0000000000436557E-2</v>
      </c>
      <c r="Q38" s="381"/>
      <c r="R38" s="381"/>
      <c r="S38" s="381"/>
      <c r="T38" s="381"/>
      <c r="U38" s="381"/>
      <c r="V38" s="381"/>
    </row>
    <row r="39" spans="1:22" s="327" customFormat="1" ht="14.25" customHeight="1">
      <c r="A39" s="432"/>
      <c r="B39" s="553" t="s">
        <v>407</v>
      </c>
      <c r="C39" s="962">
        <f>SUM('[13]1'!$C$68:$C$69)+'[13]1'!$C$72+'[13]1'!$C$95</f>
        <v>2180.6278704200699</v>
      </c>
      <c r="D39" s="962">
        <f>SUM('[13]1'!$D$68:$D$69)+'[13]1'!$D$72+'[13]1'!$D$95</f>
        <v>1371.416890401</v>
      </c>
      <c r="E39" s="806">
        <f>SUM('[13]1'!$C$79:$C$83)+'[13]1'!$C$89+'[13]1'!$C$92</f>
        <v>7967.2746840819391</v>
      </c>
      <c r="F39" s="806">
        <f>SUM('[13]1'!$D$79:$D$83)+'[13]1'!$D$89+'[13]1'!$D$92</f>
        <v>1999.5105152603878</v>
      </c>
      <c r="G39" s="870">
        <f>SUM('[13]1'!$C$77:$C$78)+'[13]1'!$C$86</f>
        <v>4110.5731272226203</v>
      </c>
      <c r="H39" s="963">
        <f>SUM('[13]1'!$D$77:$D$78)+'[13]1'!$D$86</f>
        <v>1425.9638774436141</v>
      </c>
      <c r="I39" s="870">
        <f>'[13]1'!$C$93+SUM('[13]1'!$C$96:$C$97)</f>
        <v>657.7577115403501</v>
      </c>
      <c r="J39" s="963">
        <f>'[13]1'!$D$93+SUM('[13]1'!$D$96:$D$97)</f>
        <v>233.4447737333669</v>
      </c>
      <c r="K39" s="963">
        <f>'[13]1'!$E$98+'[13]1'!$G$98</f>
        <v>408.33242946602365</v>
      </c>
      <c r="L39" s="805">
        <f>'[13]1'!$F$98+'[13]1'!$H$98</f>
        <v>15014.900359838257</v>
      </c>
      <c r="M39" s="788">
        <f>'[13]1'!$C$98+'[13]1'!$E$98+'[13]1'!$G$98</f>
        <v>15324.564850064096</v>
      </c>
      <c r="N39" s="788">
        <f>'[13]1'!$D$98+'[13]1'!$F$98+'[13]1'!$H$98</f>
        <v>20045.236416676627</v>
      </c>
      <c r="O39" s="335">
        <f t="shared" ref="O39" si="33">M39-(C39+E39+G39+I39+K39)</f>
        <v>-9.726669049996417E-4</v>
      </c>
      <c r="P39" s="335">
        <f t="shared" ref="P39" si="34">N39-(D39+F39+H39+J39+L39)</f>
        <v>0</v>
      </c>
      <c r="Q39" s="381"/>
      <c r="R39" s="381"/>
      <c r="S39" s="381"/>
      <c r="T39" s="381"/>
      <c r="U39" s="381"/>
      <c r="V39" s="381"/>
    </row>
    <row r="40" spans="1:22" s="343" customFormat="1" ht="20.25" customHeight="1">
      <c r="A40" s="905">
        <v>2020</v>
      </c>
      <c r="B40" s="1032" t="s">
        <v>408</v>
      </c>
      <c r="C40" s="770">
        <f>SUM('[14]1'!$C$68:$C$69)+'[14]1'!$C$72+'[14]1'!$C$95</f>
        <v>2337.098759281454</v>
      </c>
      <c r="D40" s="770">
        <f>SUM('[14]1'!$D$68:$D$69)+'[14]1'!$D$72+'[14]1'!$D$95</f>
        <v>1457.1669690991425</v>
      </c>
      <c r="E40" s="754">
        <f>SUM('[14]1'!$C$79:$C$83)+'[14]1'!$C$89+'[14]1'!$C$92</f>
        <v>8032.35870883391</v>
      </c>
      <c r="F40" s="754">
        <f>SUM('[14]1'!$D$79:$D$83)+'[14]1'!$D$89+'[14]1'!$D$92</f>
        <v>1980.7470195457249</v>
      </c>
      <c r="G40" s="789">
        <f>SUM('[14]1'!$C$77:$C$78)+'[14]1'!$C$86</f>
        <v>4083.8660549146216</v>
      </c>
      <c r="H40" s="771">
        <f>SUM('[14]1'!$D$77:$D$78)+'[14]1'!$D$86</f>
        <v>1413.5339357943456</v>
      </c>
      <c r="I40" s="789">
        <f>'[14]1'!$C$93+SUM('[14]1'!$C$96:$C$97)</f>
        <v>694.06333866722218</v>
      </c>
      <c r="J40" s="771">
        <f>'[14]1'!$D$93+SUM('[14]1'!$D$96:$D$97)</f>
        <v>220.63650207594301</v>
      </c>
      <c r="K40" s="771">
        <f>'[14]1'!$E$98+'[14]1'!$G$98</f>
        <v>373.8558188820237</v>
      </c>
      <c r="L40" s="790">
        <f>'[14]1'!$F$98+'[14]1'!$H$98</f>
        <v>14489.69660232404</v>
      </c>
      <c r="M40" s="764">
        <f>'[14]1'!$C$98+'[14]1'!$E$98+'[14]1'!$G$98+0.11</f>
        <v>15521.352721568514</v>
      </c>
      <c r="N40" s="764">
        <f>'[14]1'!$D$98+'[14]1'!$F$98+'[14]1'!$H$98-0.05</f>
        <v>19561.741028839195</v>
      </c>
      <c r="O40" s="945">
        <f t="shared" ref="O40" si="35">M40-(C40+E40+G40+I40+K40)</f>
        <v>0.11004098928060557</v>
      </c>
      <c r="P40" s="945">
        <f t="shared" ref="P40" si="36">N40-(D40+F40+H40+J40+L40)</f>
        <v>-4.0000000000873115E-2</v>
      </c>
      <c r="Q40" s="411"/>
      <c r="R40" s="411"/>
      <c r="S40" s="411"/>
      <c r="T40" s="411"/>
      <c r="U40" s="411"/>
      <c r="V40" s="411"/>
    </row>
    <row r="41" spans="1:22" s="327" customFormat="1" ht="14.25" customHeight="1">
      <c r="A41" s="1085"/>
      <c r="B41" s="821" t="s">
        <v>409</v>
      </c>
      <c r="C41" s="962">
        <f>SUM('[15]1'!$C$68:$C$69)+'[15]1'!$C$72+'[15]1'!$C$95</f>
        <v>2388.2985803677298</v>
      </c>
      <c r="D41" s="962">
        <f>SUM('[15]1'!$D$68:$D$69)+'[15]1'!$D$72+'[15]1'!$D$95</f>
        <v>1415.9555116848303</v>
      </c>
      <c r="E41" s="806">
        <f>SUM('[15]1'!$C$79:$C$83)+'[15]1'!$C$89+'[15]1'!$C$92+0.01</f>
        <v>8079.3583377265923</v>
      </c>
      <c r="F41" s="806">
        <f>SUM('[15]1'!$D$79:$D$83)+'[15]1'!$D$89+'[15]1'!$D$92-0.05</f>
        <v>1983.7205319065065</v>
      </c>
      <c r="G41" s="870">
        <f>SUM('[15]1'!$C$77:$C$78)+'[15]1'!$C$86</f>
        <v>4128.877253406622</v>
      </c>
      <c r="H41" s="963">
        <f>SUM('[15]1'!$D$77:$D$78)+'[15]1'!$D$86</f>
        <v>1540.7173011825864</v>
      </c>
      <c r="I41" s="870">
        <f>'[15]1'!$C$93+SUM('[15]1'!$C$96:$C$97)</f>
        <v>735.93588682732934</v>
      </c>
      <c r="J41" s="963">
        <f>'[15]1'!$D$93+SUM('[15]1'!$D$96:$D$97)</f>
        <v>238.87139745749306</v>
      </c>
      <c r="K41" s="963">
        <f>'[15]1'!$E$98+'[15]1'!$G$98</f>
        <v>375.04530700602373</v>
      </c>
      <c r="L41" s="805">
        <f>'[15]1'!$F$98+'[15]1'!$H$98</f>
        <v>14680.893724185653</v>
      </c>
      <c r="M41" s="788">
        <f>'[15]1'!$C$98+'[15]1'!$E$98+'[15]1'!$G$98</f>
        <v>15707.510474966113</v>
      </c>
      <c r="N41" s="788">
        <f>'[15]1'!$D$98+'[15]1'!$F$98+'[15]1'!$H$98</f>
        <v>19860.208466417069</v>
      </c>
      <c r="O41" s="335">
        <f t="shared" ref="O41" si="37">M41-(C41+E41+G41+I41+K41)</f>
        <v>-4.8903681854426395E-3</v>
      </c>
      <c r="P41" s="335">
        <f t="shared" ref="P41" si="38">N41-(D41+F41+H41+J41+L41)</f>
        <v>4.9999999999272404E-2</v>
      </c>
      <c r="Q41" s="381"/>
      <c r="R41" s="381"/>
      <c r="S41" s="381"/>
      <c r="T41" s="381"/>
      <c r="U41" s="381"/>
      <c r="V41" s="381"/>
    </row>
    <row r="42" spans="1:22" s="327" customFormat="1" ht="14.25" customHeight="1">
      <c r="A42" s="1085"/>
      <c r="B42" s="821" t="s">
        <v>398</v>
      </c>
      <c r="C42" s="962">
        <f>SUM('[16]1'!$C$68:$C$69)+'[16]1'!$C$72+'[16]1'!$C$95</f>
        <v>2271.4487784759358</v>
      </c>
      <c r="D42" s="962">
        <f>SUM('[16]1'!$D$68:$D$69)+'[16]1'!$D$72+'[16]1'!$D$95+0.02</f>
        <v>1305.8591089035476</v>
      </c>
      <c r="E42" s="806">
        <f>SUM('[16]1'!$C$79:$C$83)+'[16]1'!$C$89+'[16]1'!$C$92</f>
        <v>8153.0700535254955</v>
      </c>
      <c r="F42" s="806">
        <f>SUM('[16]1'!$D$79:$D$83)+'[16]1'!$D$89+'[16]1'!$D$92</f>
        <v>2148.0215041832826</v>
      </c>
      <c r="G42" s="870">
        <f>SUM('[16]1'!$C$77:$C$78)+'[16]1'!$C$86</f>
        <v>4160.8653166266213</v>
      </c>
      <c r="H42" s="963">
        <f>SUM('[16]1'!$D$77:$D$78)+'[16]1'!$D$86</f>
        <v>1586.873132606222</v>
      </c>
      <c r="I42" s="870">
        <f>'[16]1'!$C$93+SUM('[16]1'!$C$96:$C$97)</f>
        <v>758.80229777739873</v>
      </c>
      <c r="J42" s="963">
        <f>'[16]1'!$D$93+SUM('[16]1'!$D$96:$D$97)</f>
        <v>300.59242269115322</v>
      </c>
      <c r="K42" s="963">
        <f>'[16]1'!$E$98+'[16]1'!$G$98</f>
        <v>355.9081871130237</v>
      </c>
      <c r="L42" s="805">
        <f>'[16]1'!$F$98+'[16]1'!$H$98</f>
        <v>14710.827116516963</v>
      </c>
      <c r="M42" s="788">
        <f>'[16]1'!$C$98+'[16]1'!$E$98+'[16]1'!$G$98</f>
        <v>15700.094438427755</v>
      </c>
      <c r="N42" s="788">
        <f>'[16]1'!$D$98+'[16]1'!$F$98+'[16]1'!$H$98</f>
        <v>20052.153284901171</v>
      </c>
      <c r="O42" s="335">
        <f t="shared" ref="O42" si="39">M42-(C42+E42+G42+I42+K42)</f>
        <v>-1.9509071898937691E-4</v>
      </c>
      <c r="P42" s="335">
        <f t="shared" ref="P42" si="40">N42-(D42+F42+H42+J42+L42)</f>
        <v>-1.9999999996798579E-2</v>
      </c>
      <c r="Q42" s="381"/>
      <c r="R42" s="381"/>
      <c r="S42" s="381"/>
      <c r="T42" s="381"/>
      <c r="U42" s="381"/>
      <c r="V42" s="381"/>
    </row>
    <row r="43" spans="1:22" s="327" customFormat="1" ht="14.25" customHeight="1">
      <c r="A43" s="1085"/>
      <c r="B43" s="821" t="s">
        <v>399</v>
      </c>
      <c r="C43" s="962">
        <f>SUM('[17]1'!$C$68:$C$69)+'[17]1'!$C$72+'[17]1'!$C$95</f>
        <v>2150.0460952582844</v>
      </c>
      <c r="D43" s="962">
        <f>SUM('[17]1'!$D$68:$D$69)+'[17]1'!$D$72+'[17]1'!$D$95+0.02</f>
        <v>1322.263613979648</v>
      </c>
      <c r="E43" s="806">
        <f>SUM('[17]1'!$C$79:$C$83)+'[17]1'!$C$89+'[17]1'!$C$92</f>
        <v>8160.2619870768531</v>
      </c>
      <c r="F43" s="806">
        <f>SUM('[17]1'!$D$79:$D$83)+'[17]1'!$D$89+'[17]1'!$D$92</f>
        <v>2223.4390167721317</v>
      </c>
      <c r="G43" s="870">
        <f>SUM('[17]1'!$C$77:$C$78)+'[17]1'!$C$86</f>
        <v>4114.0455288125495</v>
      </c>
      <c r="H43" s="963">
        <f>SUM('[17]1'!$D$77:$D$78)+'[17]1'!$D$86</f>
        <v>1613.6078756689365</v>
      </c>
      <c r="I43" s="870">
        <f>'[17]1'!$C$93+SUM('[17]1'!$C$96:$C$97)</f>
        <v>772.01431556170917</v>
      </c>
      <c r="J43" s="963">
        <f>'[17]1'!$D$93+SUM('[17]1'!$D$96:$D$97)</f>
        <v>254.56108315286497</v>
      </c>
      <c r="K43" s="963">
        <f>'[17]1'!$E$98+'[17]1'!$G$98</f>
        <v>324.90455467508008</v>
      </c>
      <c r="L43" s="805">
        <f>'[17]1'!$F$98+'[17]1'!$H$98</f>
        <v>15003.194722344231</v>
      </c>
      <c r="M43" s="788">
        <f>'[17]1'!$C$98+'[17]1'!$E$98+'[17]1'!$G$98</f>
        <v>15521.237448210359</v>
      </c>
      <c r="N43" s="788">
        <f>'[17]1'!$D$98+'[17]1'!$F$98+'[17]1'!$H$98+0.01</f>
        <v>20417.056311917811</v>
      </c>
      <c r="O43" s="335">
        <f t="shared" ref="O43" si="41">M43-(C43+E43+G43+I43+K43)</f>
        <v>-3.5033174117415911E-2</v>
      </c>
      <c r="P43" s="335">
        <f t="shared" ref="P43" si="42">N43-(D43+F43+H43+J43+L43)</f>
        <v>-1.0000000002037268E-2</v>
      </c>
      <c r="Q43" s="381"/>
      <c r="R43" s="381"/>
      <c r="S43" s="381"/>
      <c r="T43" s="381"/>
      <c r="U43" s="381"/>
      <c r="V43" s="381"/>
    </row>
    <row r="44" spans="1:22">
      <c r="A44" s="236"/>
      <c r="B44" s="236"/>
      <c r="C44" s="236"/>
      <c r="D44" s="236"/>
      <c r="E44" s="236"/>
      <c r="F44" s="236"/>
      <c r="G44" s="236"/>
      <c r="H44" s="236"/>
      <c r="I44" s="236"/>
      <c r="J44" s="236"/>
      <c r="K44" s="236"/>
      <c r="L44" s="236"/>
      <c r="M44" s="236"/>
      <c r="N44" s="236"/>
    </row>
    <row r="45" spans="1:22">
      <c r="C45" s="1752"/>
      <c r="D45" s="1752"/>
      <c r="E45" s="1752"/>
      <c r="F45" s="1752"/>
      <c r="G45" s="1752"/>
      <c r="H45" s="1752"/>
      <c r="I45" s="1752"/>
      <c r="J45" s="1752"/>
      <c r="K45" s="1752"/>
      <c r="L45" s="1752"/>
      <c r="M45" s="1752"/>
      <c r="N45" s="1752"/>
    </row>
    <row r="46" spans="1:22">
      <c r="B46" s="3"/>
      <c r="C46" s="1752"/>
      <c r="D46" s="1752"/>
      <c r="E46" s="1752"/>
      <c r="F46" s="1752"/>
      <c r="G46" s="1752"/>
      <c r="H46" s="1752"/>
      <c r="I46" s="1752"/>
      <c r="J46" s="1752"/>
      <c r="K46" s="1752"/>
      <c r="L46" s="1752"/>
      <c r="M46" s="1752"/>
      <c r="N46" s="1752"/>
    </row>
    <row r="47" spans="1:22" ht="14.25">
      <c r="A47" s="340" t="s">
        <v>857</v>
      </c>
      <c r="B47" s="3"/>
      <c r="C47" s="3"/>
      <c r="D47" s="3"/>
      <c r="E47" s="3"/>
      <c r="F47" s="3"/>
      <c r="G47" s="3"/>
      <c r="H47" s="3"/>
      <c r="I47" s="3"/>
      <c r="J47" s="3"/>
      <c r="K47" s="3"/>
      <c r="L47" s="3"/>
      <c r="M47" s="3"/>
      <c r="N47" s="3"/>
    </row>
    <row r="50" spans="1:1">
      <c r="A50" s="267" t="str">
        <f ca="1">CELL("filename")</f>
        <v>C:\Users\Nehal\AppData\Local\Microsoft\Windows\INetCache\Content.Outlook\A316V2T1\[Samah Dec2020.xlsx]FinalReview-N</v>
      </c>
    </row>
    <row r="51" spans="1:1">
      <c r="A51" s="672">
        <f ca="1">NOW()</f>
        <v>44354.906948611111</v>
      </c>
    </row>
  </sheetData>
  <mergeCells count="2">
    <mergeCell ref="K8:L10"/>
    <mergeCell ref="M8:N10"/>
  </mergeCells>
  <phoneticPr fontId="0" type="noConversion"/>
  <printOptions horizontalCentered="1" verticalCentered="1"/>
  <pageMargins left="0" right="0" top="0" bottom="0" header="0.51181102362204722" footer="0.51181102362204722"/>
  <pageSetup paperSize="9" scale="7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dimension ref="A1:I54"/>
  <sheetViews>
    <sheetView showGridLines="0" topLeftCell="A13" zoomScale="70" zoomScaleNormal="70" workbookViewId="0">
      <selection activeCell="A49" sqref="A1:XFD1048576"/>
    </sheetView>
  </sheetViews>
  <sheetFormatPr defaultColWidth="12.5703125" defaultRowHeight="15"/>
  <cols>
    <col min="1" max="1" width="34.5703125" style="2069" customWidth="1"/>
    <col min="2" max="2" width="18.28515625" style="2070" customWidth="1"/>
    <col min="3" max="3" width="17.42578125" style="2070" customWidth="1"/>
    <col min="4" max="4" width="62.42578125" style="2071" customWidth="1"/>
    <col min="5" max="5" width="16.28515625" style="2052" bestFit="1" customWidth="1"/>
    <col min="6" max="7" width="12.5703125" style="2052"/>
    <col min="8" max="8" width="25.28515625" style="2052" customWidth="1"/>
    <col min="9" max="16384" width="12.5703125" style="2052"/>
  </cols>
  <sheetData>
    <row r="1" spans="1:8" ht="18">
      <c r="A1" s="2073" t="s">
        <v>107</v>
      </c>
      <c r="B1" s="2073"/>
      <c r="C1" s="2073"/>
      <c r="D1" s="2073"/>
      <c r="E1" s="2073"/>
      <c r="F1" s="2073"/>
      <c r="G1" s="2073"/>
      <c r="H1" s="2073"/>
    </row>
    <row r="2" spans="1:8" ht="24" customHeight="1">
      <c r="A2" s="2074" t="s">
        <v>108</v>
      </c>
      <c r="B2" s="2075"/>
      <c r="C2" s="2075"/>
      <c r="D2" s="2075"/>
      <c r="E2" s="2075"/>
      <c r="F2" s="2075"/>
      <c r="G2" s="2075"/>
      <c r="H2" s="2076"/>
    </row>
    <row r="3" spans="1:8" ht="27" customHeight="1">
      <c r="A3" s="2077" t="s">
        <v>109</v>
      </c>
      <c r="B3" s="2077"/>
      <c r="C3" s="2077"/>
      <c r="D3" s="2077"/>
      <c r="E3" s="2077"/>
      <c r="F3" s="2077"/>
      <c r="G3" s="2077"/>
      <c r="H3" s="2077"/>
    </row>
    <row r="4" spans="1:8" ht="42" customHeight="1">
      <c r="A4" s="2053" t="s">
        <v>110</v>
      </c>
      <c r="B4" s="2072" t="s">
        <v>111</v>
      </c>
      <c r="C4" s="2072"/>
      <c r="D4" s="2072"/>
      <c r="E4" s="2072"/>
      <c r="F4" s="2072"/>
      <c r="G4" s="2072"/>
      <c r="H4" s="2072"/>
    </row>
    <row r="5" spans="1:8" ht="45" customHeight="1">
      <c r="A5" s="2054" t="s">
        <v>112</v>
      </c>
      <c r="B5" s="2072" t="s">
        <v>113</v>
      </c>
      <c r="C5" s="2072"/>
      <c r="D5" s="2072"/>
      <c r="E5" s="2072"/>
      <c r="F5" s="2072"/>
      <c r="G5" s="2072"/>
      <c r="H5" s="2072"/>
    </row>
    <row r="6" spans="1:8" ht="33" customHeight="1">
      <c r="A6" s="2053" t="s">
        <v>114</v>
      </c>
      <c r="B6" s="2072" t="s">
        <v>115</v>
      </c>
      <c r="C6" s="2072"/>
      <c r="D6" s="2072"/>
      <c r="E6" s="2072"/>
      <c r="F6" s="2072"/>
      <c r="G6" s="2072"/>
      <c r="H6" s="2072"/>
    </row>
    <row r="7" spans="1:8" ht="42.75" customHeight="1">
      <c r="A7" s="2053" t="s">
        <v>116</v>
      </c>
      <c r="B7" s="2072" t="s">
        <v>117</v>
      </c>
      <c r="C7" s="2072"/>
      <c r="D7" s="2072"/>
      <c r="E7" s="2072"/>
      <c r="F7" s="2072"/>
      <c r="G7" s="2072"/>
      <c r="H7" s="2072"/>
    </row>
    <row r="8" spans="1:8" ht="58.15" customHeight="1">
      <c r="A8" s="2053" t="s">
        <v>118</v>
      </c>
      <c r="B8" s="2079" t="s">
        <v>119</v>
      </c>
      <c r="C8" s="2080"/>
      <c r="D8" s="2080"/>
      <c r="E8" s="2080"/>
      <c r="F8" s="2080"/>
      <c r="G8" s="2080"/>
      <c r="H8" s="2081"/>
    </row>
    <row r="9" spans="1:8" ht="21.75" customHeight="1">
      <c r="A9" s="2053" t="s">
        <v>120</v>
      </c>
      <c r="B9" s="2072" t="s">
        <v>121</v>
      </c>
      <c r="C9" s="2072"/>
      <c r="D9" s="2072"/>
      <c r="E9" s="2072"/>
      <c r="F9" s="2072"/>
      <c r="G9" s="2072"/>
      <c r="H9" s="2072"/>
    </row>
    <row r="10" spans="1:8" ht="165" customHeight="1">
      <c r="A10" s="2053" t="s">
        <v>122</v>
      </c>
      <c r="B10" s="2079" t="s">
        <v>123</v>
      </c>
      <c r="C10" s="2080"/>
      <c r="D10" s="2080"/>
      <c r="E10" s="2080"/>
      <c r="F10" s="2080"/>
      <c r="G10" s="2080"/>
      <c r="H10" s="2081"/>
    </row>
    <row r="11" spans="1:8" ht="51.75" customHeight="1">
      <c r="A11" s="2053" t="s">
        <v>124</v>
      </c>
      <c r="B11" s="2072" t="s">
        <v>125</v>
      </c>
      <c r="C11" s="2072"/>
      <c r="D11" s="2072"/>
      <c r="E11" s="2072"/>
      <c r="F11" s="2072"/>
      <c r="G11" s="2072"/>
      <c r="H11" s="2072"/>
    </row>
    <row r="12" spans="1:8" ht="27.6" customHeight="1">
      <c r="A12" s="2053" t="s">
        <v>126</v>
      </c>
      <c r="B12" s="2072" t="s">
        <v>127</v>
      </c>
      <c r="C12" s="2072"/>
      <c r="D12" s="2072"/>
      <c r="E12" s="2072"/>
      <c r="F12" s="2072"/>
      <c r="G12" s="2072"/>
      <c r="H12" s="2072"/>
    </row>
    <row r="13" spans="1:8" ht="34.5" customHeight="1">
      <c r="A13" s="2082" t="s">
        <v>128</v>
      </c>
      <c r="B13" s="2082"/>
      <c r="C13" s="2082"/>
      <c r="D13" s="2082"/>
      <c r="E13" s="2082"/>
      <c r="F13" s="2082"/>
      <c r="G13" s="2082"/>
      <c r="H13" s="2082"/>
    </row>
    <row r="14" spans="1:8" ht="24.75" customHeight="1">
      <c r="A14" s="2084" t="s">
        <v>129</v>
      </c>
      <c r="B14" s="2084"/>
      <c r="C14" s="2084"/>
      <c r="D14" s="2084"/>
      <c r="E14" s="2084"/>
      <c r="F14" s="2084"/>
      <c r="G14" s="2084"/>
      <c r="H14" s="2084"/>
    </row>
    <row r="15" spans="1:8" ht="20.45" customHeight="1">
      <c r="A15" s="2055" t="s">
        <v>130</v>
      </c>
      <c r="B15" s="2083" t="s">
        <v>131</v>
      </c>
      <c r="C15" s="2083"/>
      <c r="D15" s="2083"/>
      <c r="E15" s="2055" t="s">
        <v>132</v>
      </c>
      <c r="F15" s="2055" t="s">
        <v>133</v>
      </c>
      <c r="G15" s="2055" t="s">
        <v>6</v>
      </c>
      <c r="H15" s="2055" t="s">
        <v>134</v>
      </c>
    </row>
    <row r="16" spans="1:8" ht="130.5" customHeight="1">
      <c r="A16" s="2056" t="s">
        <v>8</v>
      </c>
      <c r="B16" s="2085" t="s">
        <v>135</v>
      </c>
      <c r="C16" s="2085"/>
      <c r="D16" s="2085"/>
      <c r="E16" s="2057" t="s">
        <v>136</v>
      </c>
      <c r="F16" s="2057">
        <v>3</v>
      </c>
      <c r="G16" s="2057" t="s">
        <v>137</v>
      </c>
      <c r="H16" s="2057" t="s">
        <v>138</v>
      </c>
    </row>
    <row r="17" spans="1:9" ht="57.75" customHeight="1">
      <c r="A17" s="2056" t="s">
        <v>10</v>
      </c>
      <c r="B17" s="2078" t="s">
        <v>139</v>
      </c>
      <c r="C17" s="2078"/>
      <c r="D17" s="2078"/>
      <c r="E17" s="2057" t="s">
        <v>136</v>
      </c>
      <c r="F17" s="2057">
        <v>4</v>
      </c>
      <c r="G17" s="2057" t="s">
        <v>137</v>
      </c>
      <c r="H17" s="2057" t="s">
        <v>138</v>
      </c>
    </row>
    <row r="18" spans="1:9" ht="44.25" customHeight="1">
      <c r="A18" s="2056" t="s">
        <v>140</v>
      </c>
      <c r="B18" s="2078" t="s">
        <v>141</v>
      </c>
      <c r="C18" s="2078"/>
      <c r="D18" s="2078"/>
      <c r="E18" s="2057" t="s">
        <v>136</v>
      </c>
      <c r="F18" s="2058" t="s">
        <v>142</v>
      </c>
      <c r="G18" s="2057" t="s">
        <v>143</v>
      </c>
      <c r="H18" s="2057" t="s">
        <v>144</v>
      </c>
      <c r="I18" s="2059"/>
    </row>
    <row r="19" spans="1:9" ht="111.6" customHeight="1">
      <c r="A19" s="2056" t="s">
        <v>24</v>
      </c>
      <c r="B19" s="2078" t="s">
        <v>145</v>
      </c>
      <c r="C19" s="2078"/>
      <c r="D19" s="2078"/>
      <c r="E19" s="2057" t="s">
        <v>136</v>
      </c>
      <c r="F19" s="2058" t="s">
        <v>146</v>
      </c>
      <c r="G19" s="2057" t="s">
        <v>137</v>
      </c>
      <c r="H19" s="2057" t="s">
        <v>138</v>
      </c>
    </row>
    <row r="20" spans="1:9" ht="25.5" customHeight="1">
      <c r="A20" s="2084" t="s">
        <v>0</v>
      </c>
      <c r="B20" s="2084"/>
      <c r="C20" s="2084"/>
      <c r="D20" s="2084"/>
      <c r="E20" s="2084"/>
      <c r="F20" s="2084"/>
      <c r="G20" s="2084"/>
      <c r="H20" s="2084"/>
    </row>
    <row r="21" spans="1:9" ht="20.45" customHeight="1">
      <c r="A21" s="2055" t="s">
        <v>130</v>
      </c>
      <c r="B21" s="2083" t="s">
        <v>131</v>
      </c>
      <c r="C21" s="2083"/>
      <c r="D21" s="2083"/>
      <c r="E21" s="2055" t="s">
        <v>132</v>
      </c>
      <c r="F21" s="2055" t="s">
        <v>133</v>
      </c>
      <c r="G21" s="2055" t="s">
        <v>6</v>
      </c>
      <c r="H21" s="2055" t="s">
        <v>134</v>
      </c>
    </row>
    <row r="22" spans="1:9" ht="127.5" customHeight="1">
      <c r="A22" s="1090" t="s">
        <v>147</v>
      </c>
      <c r="B22" s="2086" t="s">
        <v>148</v>
      </c>
      <c r="C22" s="2086"/>
      <c r="D22" s="2086"/>
      <c r="E22" s="2057" t="s">
        <v>136</v>
      </c>
      <c r="F22" s="2060">
        <v>1</v>
      </c>
      <c r="G22" s="2057" t="s">
        <v>137</v>
      </c>
      <c r="H22" s="2057" t="s">
        <v>138</v>
      </c>
    </row>
    <row r="23" spans="1:9" ht="101.25" customHeight="1">
      <c r="A23" s="2056" t="s">
        <v>149</v>
      </c>
      <c r="B23" s="2078" t="s">
        <v>150</v>
      </c>
      <c r="C23" s="2078"/>
      <c r="D23" s="2078"/>
      <c r="E23" s="2057" t="s">
        <v>136</v>
      </c>
      <c r="F23" s="2057">
        <v>12</v>
      </c>
      <c r="G23" s="2057" t="s">
        <v>151</v>
      </c>
      <c r="H23" s="2057" t="s">
        <v>138</v>
      </c>
    </row>
    <row r="24" spans="1:9" ht="103.5" customHeight="1">
      <c r="A24" s="2056" t="s">
        <v>152</v>
      </c>
      <c r="B24" s="2085" t="s">
        <v>153</v>
      </c>
      <c r="C24" s="2085"/>
      <c r="D24" s="2085"/>
      <c r="E24" s="2057" t="s">
        <v>136</v>
      </c>
      <c r="F24" s="2058" t="s">
        <v>154</v>
      </c>
      <c r="G24" s="2057" t="s">
        <v>137</v>
      </c>
      <c r="H24" s="2057" t="s">
        <v>138</v>
      </c>
    </row>
    <row r="25" spans="1:9" ht="60.6" customHeight="1">
      <c r="A25" s="2056" t="s">
        <v>155</v>
      </c>
      <c r="B25" s="2085" t="s">
        <v>156</v>
      </c>
      <c r="C25" s="2085"/>
      <c r="D25" s="2085"/>
      <c r="E25" s="2057" t="s">
        <v>136</v>
      </c>
      <c r="F25" s="2058" t="s">
        <v>157</v>
      </c>
      <c r="G25" s="2057" t="s">
        <v>151</v>
      </c>
      <c r="H25" s="2057" t="s">
        <v>138</v>
      </c>
    </row>
    <row r="26" spans="1:9" ht="90.75" customHeight="1">
      <c r="A26" s="2056" t="s">
        <v>158</v>
      </c>
      <c r="B26" s="2085" t="s">
        <v>159</v>
      </c>
      <c r="C26" s="2085"/>
      <c r="D26" s="2085"/>
      <c r="E26" s="2057" t="s">
        <v>136</v>
      </c>
      <c r="F26" s="2058" t="s">
        <v>160</v>
      </c>
      <c r="G26" s="2057" t="s">
        <v>151</v>
      </c>
      <c r="H26" s="2057" t="s">
        <v>138</v>
      </c>
    </row>
    <row r="27" spans="1:9" ht="61.5" customHeight="1">
      <c r="A27" s="2056" t="s">
        <v>69</v>
      </c>
      <c r="B27" s="2085" t="s">
        <v>161</v>
      </c>
      <c r="C27" s="2085"/>
      <c r="D27" s="2085"/>
      <c r="E27" s="2057" t="s">
        <v>162</v>
      </c>
      <c r="F27" s="2058" t="s">
        <v>163</v>
      </c>
      <c r="G27" s="2057" t="s">
        <v>137</v>
      </c>
      <c r="H27" s="2057" t="s">
        <v>138</v>
      </c>
    </row>
    <row r="28" spans="1:9" ht="57" customHeight="1">
      <c r="A28" s="2056" t="s">
        <v>164</v>
      </c>
      <c r="B28" s="2085" t="s">
        <v>165</v>
      </c>
      <c r="C28" s="2085"/>
      <c r="D28" s="2085"/>
      <c r="E28" s="2057" t="s">
        <v>162</v>
      </c>
      <c r="F28" s="2058" t="s">
        <v>166</v>
      </c>
      <c r="G28" s="2057" t="s">
        <v>137</v>
      </c>
      <c r="H28" s="2057" t="s">
        <v>167</v>
      </c>
    </row>
    <row r="29" spans="1:9" ht="131.25" customHeight="1">
      <c r="A29" s="2056" t="s">
        <v>73</v>
      </c>
      <c r="B29" s="2078" t="s">
        <v>168</v>
      </c>
      <c r="C29" s="2078"/>
      <c r="D29" s="2078"/>
      <c r="E29" s="2057" t="s">
        <v>136</v>
      </c>
      <c r="F29" s="2058" t="s">
        <v>169</v>
      </c>
      <c r="G29" s="2057" t="s">
        <v>137</v>
      </c>
      <c r="H29" s="2057" t="s">
        <v>138</v>
      </c>
    </row>
    <row r="30" spans="1:9" ht="68.25" customHeight="1">
      <c r="A30" s="2056" t="s">
        <v>77</v>
      </c>
      <c r="B30" s="2078" t="s">
        <v>170</v>
      </c>
      <c r="C30" s="2078"/>
      <c r="D30" s="2078"/>
      <c r="E30" s="2057" t="s">
        <v>136</v>
      </c>
      <c r="F30" s="2061" t="s">
        <v>171</v>
      </c>
      <c r="G30" s="2057" t="s">
        <v>137</v>
      </c>
      <c r="H30" s="2057" t="s">
        <v>138</v>
      </c>
    </row>
    <row r="31" spans="1:9" ht="28.5" customHeight="1">
      <c r="A31" s="2084" t="s">
        <v>172</v>
      </c>
      <c r="B31" s="2084"/>
      <c r="C31" s="2084"/>
      <c r="D31" s="2084"/>
      <c r="E31" s="2084"/>
      <c r="F31" s="2084"/>
      <c r="G31" s="2084"/>
      <c r="H31" s="2084"/>
    </row>
    <row r="32" spans="1:9" ht="20.45" customHeight="1">
      <c r="A32" s="2055" t="s">
        <v>130</v>
      </c>
      <c r="B32" s="2083" t="s">
        <v>131</v>
      </c>
      <c r="C32" s="2083"/>
      <c r="D32" s="2083"/>
      <c r="E32" s="2055" t="s">
        <v>132</v>
      </c>
      <c r="F32" s="2055" t="s">
        <v>133</v>
      </c>
      <c r="G32" s="2055" t="s">
        <v>6</v>
      </c>
      <c r="H32" s="2055" t="s">
        <v>134</v>
      </c>
    </row>
    <row r="33" spans="1:8" ht="56.25" customHeight="1">
      <c r="A33" s="2062" t="s">
        <v>89</v>
      </c>
      <c r="B33" s="2089" t="s">
        <v>173</v>
      </c>
      <c r="C33" s="2089"/>
      <c r="D33" s="2089"/>
      <c r="E33" s="2063" t="s">
        <v>174</v>
      </c>
      <c r="F33" s="2064" t="s">
        <v>175</v>
      </c>
      <c r="G33" s="2063" t="s">
        <v>143</v>
      </c>
      <c r="H33" s="2065" t="s">
        <v>176</v>
      </c>
    </row>
    <row r="34" spans="1:8" ht="319.5" customHeight="1">
      <c r="A34" s="2056" t="s">
        <v>91</v>
      </c>
      <c r="B34" s="2090" t="s">
        <v>1645</v>
      </c>
      <c r="C34" s="2091"/>
      <c r="D34" s="2091"/>
      <c r="E34" s="2057" t="s">
        <v>162</v>
      </c>
      <c r="F34" s="2061">
        <v>48</v>
      </c>
      <c r="G34" s="2057" t="s">
        <v>137</v>
      </c>
      <c r="H34" s="2057" t="s">
        <v>138</v>
      </c>
    </row>
    <row r="35" spans="1:8" ht="41.25" customHeight="1">
      <c r="A35" s="2056" t="s">
        <v>93</v>
      </c>
      <c r="B35" s="2085" t="s">
        <v>177</v>
      </c>
      <c r="C35" s="2085"/>
      <c r="D35" s="2085"/>
      <c r="E35" s="2057" t="s">
        <v>162</v>
      </c>
      <c r="F35" s="2058" t="s">
        <v>178</v>
      </c>
      <c r="G35" s="2057" t="s">
        <v>137</v>
      </c>
      <c r="H35" s="2057" t="s">
        <v>138</v>
      </c>
    </row>
    <row r="36" spans="1:8" ht="105" customHeight="1">
      <c r="A36" s="2056" t="s">
        <v>179</v>
      </c>
      <c r="B36" s="2085" t="s">
        <v>180</v>
      </c>
      <c r="C36" s="2085"/>
      <c r="D36" s="2085"/>
      <c r="E36" s="2057" t="s">
        <v>136</v>
      </c>
      <c r="F36" s="2058" t="s">
        <v>181</v>
      </c>
      <c r="G36" s="2057" t="s">
        <v>137</v>
      </c>
      <c r="H36" s="2057" t="s">
        <v>167</v>
      </c>
    </row>
    <row r="37" spans="1:8" ht="48.75" customHeight="1">
      <c r="A37" s="2056" t="s">
        <v>182</v>
      </c>
      <c r="B37" s="2085" t="s">
        <v>183</v>
      </c>
      <c r="C37" s="2085"/>
      <c r="D37" s="2085"/>
      <c r="E37" s="2057" t="s">
        <v>162</v>
      </c>
      <c r="F37" s="2066">
        <v>54</v>
      </c>
      <c r="G37" s="2057" t="s">
        <v>151</v>
      </c>
      <c r="H37" s="2057" t="s">
        <v>167</v>
      </c>
    </row>
    <row r="38" spans="1:8" ht="27.75" customHeight="1">
      <c r="A38" s="2092" t="s">
        <v>184</v>
      </c>
      <c r="B38" s="2092"/>
      <c r="C38" s="2092"/>
      <c r="D38" s="2092"/>
      <c r="E38" s="2092"/>
      <c r="F38" s="2092"/>
      <c r="G38" s="2092"/>
      <c r="H38" s="2092"/>
    </row>
    <row r="39" spans="1:8" ht="208.15" customHeight="1">
      <c r="A39" s="1090" t="s">
        <v>62</v>
      </c>
      <c r="B39" s="2086" t="s">
        <v>185</v>
      </c>
      <c r="C39" s="2086"/>
      <c r="D39" s="2086"/>
      <c r="E39" s="2060" t="s">
        <v>162</v>
      </c>
      <c r="F39" s="2060" t="s">
        <v>186</v>
      </c>
      <c r="G39" s="2060" t="s">
        <v>143</v>
      </c>
      <c r="H39" s="2060" t="s">
        <v>187</v>
      </c>
    </row>
    <row r="40" spans="1:8" ht="24.6" customHeight="1">
      <c r="A40" s="2077" t="s">
        <v>188</v>
      </c>
      <c r="B40" s="2077"/>
      <c r="C40" s="2077"/>
      <c r="D40" s="2077"/>
      <c r="E40" s="2077"/>
      <c r="F40" s="2077"/>
      <c r="G40" s="2077"/>
      <c r="H40" s="2077"/>
    </row>
    <row r="41" spans="1:8" ht="31.5" customHeight="1">
      <c r="A41" s="2087" t="s">
        <v>132</v>
      </c>
      <c r="B41" s="2072" t="s">
        <v>189</v>
      </c>
      <c r="C41" s="2072"/>
      <c r="D41" s="2072"/>
      <c r="E41" s="2072"/>
      <c r="F41" s="2072"/>
      <c r="G41" s="2072"/>
      <c r="H41" s="2072"/>
    </row>
    <row r="42" spans="1:8" ht="28.5" customHeight="1">
      <c r="A42" s="2088"/>
      <c r="B42" s="2072" t="s">
        <v>190</v>
      </c>
      <c r="C42" s="2072"/>
      <c r="D42" s="2072"/>
      <c r="E42" s="2072"/>
      <c r="F42" s="2072"/>
      <c r="G42" s="2072"/>
      <c r="H42" s="2072"/>
    </row>
    <row r="43" spans="1:8" ht="18" customHeight="1">
      <c r="A43" s="2087" t="s">
        <v>191</v>
      </c>
      <c r="B43" s="2072" t="s">
        <v>192</v>
      </c>
      <c r="C43" s="2072"/>
      <c r="D43" s="2072"/>
      <c r="E43" s="2072"/>
      <c r="F43" s="2072"/>
      <c r="G43" s="2072"/>
      <c r="H43" s="2072"/>
    </row>
    <row r="44" spans="1:8" ht="18" customHeight="1">
      <c r="A44" s="2088"/>
      <c r="B44" s="2072" t="s">
        <v>193</v>
      </c>
      <c r="C44" s="2072"/>
      <c r="D44" s="2072"/>
      <c r="E44" s="2072"/>
      <c r="F44" s="2072"/>
      <c r="G44" s="2072"/>
      <c r="H44" s="2072"/>
    </row>
    <row r="45" spans="1:8" ht="18" customHeight="1">
      <c r="A45" s="2067" t="s">
        <v>194</v>
      </c>
      <c r="B45" s="2072" t="s">
        <v>195</v>
      </c>
      <c r="C45" s="2072"/>
      <c r="D45" s="2072"/>
      <c r="E45" s="2072"/>
      <c r="F45" s="2072"/>
      <c r="G45" s="2072"/>
      <c r="H45" s="2072"/>
    </row>
    <row r="46" spans="1:8" ht="76.5" customHeight="1">
      <c r="A46" s="2053" t="s">
        <v>196</v>
      </c>
      <c r="B46" s="2072" t="s">
        <v>197</v>
      </c>
      <c r="C46" s="2072"/>
      <c r="D46" s="2072"/>
      <c r="E46" s="2072"/>
      <c r="F46" s="2072"/>
      <c r="G46" s="2072"/>
      <c r="H46" s="2072"/>
    </row>
    <row r="47" spans="1:8" ht="28.5" customHeight="1">
      <c r="A47" s="2077" t="s">
        <v>198</v>
      </c>
      <c r="B47" s="2077"/>
      <c r="C47" s="2077"/>
      <c r="D47" s="2077"/>
      <c r="E47" s="2077"/>
      <c r="F47" s="2077"/>
      <c r="G47" s="2077"/>
      <c r="H47" s="2077"/>
    </row>
    <row r="48" spans="1:8" ht="101.25" customHeight="1">
      <c r="A48" s="2054" t="s">
        <v>199</v>
      </c>
      <c r="B48" s="2072" t="s">
        <v>200</v>
      </c>
      <c r="C48" s="2072"/>
      <c r="D48" s="2072"/>
      <c r="E48" s="2072"/>
      <c r="F48" s="2072"/>
      <c r="G48" s="2072"/>
      <c r="H48" s="2072"/>
    </row>
    <row r="49" spans="1:8" ht="50.45" customHeight="1">
      <c r="A49" s="2054" t="s">
        <v>201</v>
      </c>
      <c r="B49" s="2072" t="s">
        <v>202</v>
      </c>
      <c r="C49" s="2072"/>
      <c r="D49" s="2072"/>
      <c r="E49" s="2072"/>
      <c r="F49" s="2072"/>
      <c r="G49" s="2072"/>
      <c r="H49" s="2072"/>
    </row>
    <row r="50" spans="1:8" ht="43.9" customHeight="1">
      <c r="A50" s="2054" t="s">
        <v>203</v>
      </c>
      <c r="B50" s="2072" t="s">
        <v>204</v>
      </c>
      <c r="C50" s="2072"/>
      <c r="D50" s="2072"/>
      <c r="E50" s="2072"/>
      <c r="F50" s="2072"/>
      <c r="G50" s="2072"/>
      <c r="H50" s="2072"/>
    </row>
    <row r="51" spans="1:8" ht="42.6" customHeight="1">
      <c r="A51" s="2053" t="s">
        <v>205</v>
      </c>
      <c r="B51" s="2072" t="s">
        <v>206</v>
      </c>
      <c r="C51" s="2072"/>
      <c r="D51" s="2072"/>
      <c r="E51" s="2072"/>
      <c r="F51" s="2072"/>
      <c r="G51" s="2072"/>
      <c r="H51" s="2072"/>
    </row>
    <row r="52" spans="1:8" ht="54.6" customHeight="1">
      <c r="A52" s="2054" t="s">
        <v>207</v>
      </c>
      <c r="B52" s="2072" t="s">
        <v>208</v>
      </c>
      <c r="C52" s="2072"/>
      <c r="D52" s="2072"/>
      <c r="E52" s="2072"/>
      <c r="F52" s="2072"/>
      <c r="G52" s="2072"/>
      <c r="H52" s="2072"/>
    </row>
    <row r="53" spans="1:8" ht="41.45" customHeight="1">
      <c r="A53" s="2068" t="s">
        <v>209</v>
      </c>
      <c r="B53" s="2093" t="s">
        <v>210</v>
      </c>
      <c r="C53" s="2093"/>
      <c r="D53" s="2093"/>
      <c r="E53" s="2093"/>
      <c r="F53" s="2093"/>
      <c r="G53" s="2093"/>
      <c r="H53" s="2093"/>
    </row>
    <row r="54" spans="1:8" ht="15.75" customHeight="1">
      <c r="A54" s="2068" t="s">
        <v>211</v>
      </c>
      <c r="B54" s="2094" t="s">
        <v>212</v>
      </c>
      <c r="C54" s="2094"/>
      <c r="D54" s="2094"/>
      <c r="E54" s="2094"/>
      <c r="F54" s="2094"/>
      <c r="G54" s="2094"/>
      <c r="H54" s="2094"/>
    </row>
  </sheetData>
  <mergeCells count="56">
    <mergeCell ref="B51:H51"/>
    <mergeCell ref="B52:H52"/>
    <mergeCell ref="B53:H53"/>
    <mergeCell ref="B54:H54"/>
    <mergeCell ref="B21:D21"/>
    <mergeCell ref="B32:D32"/>
    <mergeCell ref="B45:H45"/>
    <mergeCell ref="B46:H46"/>
    <mergeCell ref="A47:H47"/>
    <mergeCell ref="B48:H48"/>
    <mergeCell ref="B49:H49"/>
    <mergeCell ref="B50:H50"/>
    <mergeCell ref="B39:D39"/>
    <mergeCell ref="A40:H40"/>
    <mergeCell ref="A41:A42"/>
    <mergeCell ref="B41:H41"/>
    <mergeCell ref="B42:H42"/>
    <mergeCell ref="A43:A44"/>
    <mergeCell ref="B43:H43"/>
    <mergeCell ref="B44:H44"/>
    <mergeCell ref="B33:D33"/>
    <mergeCell ref="B34:D34"/>
    <mergeCell ref="B35:D35"/>
    <mergeCell ref="B36:D36"/>
    <mergeCell ref="B37:D37"/>
    <mergeCell ref="A38:H38"/>
    <mergeCell ref="A31:H31"/>
    <mergeCell ref="B19:D19"/>
    <mergeCell ref="A20:H20"/>
    <mergeCell ref="B22:D22"/>
    <mergeCell ref="B23:D23"/>
    <mergeCell ref="B24:D24"/>
    <mergeCell ref="B25:D25"/>
    <mergeCell ref="B26:D26"/>
    <mergeCell ref="B27:D27"/>
    <mergeCell ref="B28:D28"/>
    <mergeCell ref="B29:D29"/>
    <mergeCell ref="B30:D30"/>
    <mergeCell ref="B18:D18"/>
    <mergeCell ref="B7:H7"/>
    <mergeCell ref="B8:H8"/>
    <mergeCell ref="B9:H9"/>
    <mergeCell ref="B10:H10"/>
    <mergeCell ref="B11:H11"/>
    <mergeCell ref="B12:H12"/>
    <mergeCell ref="A13:H13"/>
    <mergeCell ref="B15:D15"/>
    <mergeCell ref="A14:H14"/>
    <mergeCell ref="B16:D16"/>
    <mergeCell ref="B17:D17"/>
    <mergeCell ref="B6:H6"/>
    <mergeCell ref="A1:H1"/>
    <mergeCell ref="A2:H2"/>
    <mergeCell ref="A3:H3"/>
    <mergeCell ref="B4:H4"/>
    <mergeCell ref="B5:H5"/>
  </mergeCells>
  <printOptions horizontalCentered="1"/>
  <pageMargins left="0.7" right="0.7" top="0.5" bottom="0.5" header="0.3" footer="0.3"/>
  <pageSetup scale="56" fitToHeight="7" orientation="landscape" horizontalDpi="300" verticalDpi="300" r:id="rId1"/>
  <rowBreaks count="3" manualBreakCount="3">
    <brk id="19" max="16383" man="1"/>
    <brk id="30" max="16383" man="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W50"/>
  <sheetViews>
    <sheetView zoomScale="90" zoomScaleNormal="90" workbookViewId="0">
      <pane ySplit="12" topLeftCell="A39" activePane="bottomLeft" state="frozen"/>
      <selection activeCell="A49" sqref="A1:XFD1048576"/>
      <selection pane="bottomLeft" activeCell="A49" sqref="A1:XFD1048576"/>
    </sheetView>
  </sheetViews>
  <sheetFormatPr defaultRowHeight="12.75"/>
  <cols>
    <col min="1" max="2" width="9.7109375" style="29" customWidth="1"/>
    <col min="3" max="14" width="12.7109375" style="29" customWidth="1"/>
    <col min="15" max="16384" width="9.140625" style="29"/>
  </cols>
  <sheetData>
    <row r="1" spans="1:16" ht="18" customHeight="1">
      <c r="A1" s="18" t="s">
        <v>1620</v>
      </c>
      <c r="B1" s="4"/>
      <c r="C1" s="3"/>
      <c r="D1" s="3"/>
      <c r="E1" s="3"/>
      <c r="F1" s="3"/>
      <c r="G1" s="3"/>
      <c r="H1" s="3"/>
      <c r="I1" s="3"/>
      <c r="J1" s="3"/>
      <c r="K1" s="3"/>
      <c r="L1" s="3"/>
      <c r="M1" s="3"/>
      <c r="N1" s="3"/>
    </row>
    <row r="2" spans="1:16" ht="18" customHeight="1">
      <c r="A2" s="1732" t="s">
        <v>797</v>
      </c>
      <c r="B2" s="4"/>
      <c r="C2" s="3"/>
      <c r="D2" s="3"/>
      <c r="E2" s="3"/>
      <c r="F2" s="3"/>
      <c r="G2" s="3"/>
      <c r="H2" s="3"/>
      <c r="I2" s="3"/>
      <c r="J2" s="3"/>
      <c r="K2" s="3"/>
      <c r="L2" s="3"/>
      <c r="M2" s="3"/>
      <c r="N2" s="3"/>
    </row>
    <row r="3" spans="1:16" ht="18" customHeight="1">
      <c r="A3" s="18" t="s">
        <v>798</v>
      </c>
      <c r="B3" s="1"/>
      <c r="C3" s="1"/>
      <c r="D3" s="1"/>
      <c r="E3" s="1"/>
      <c r="F3" s="1"/>
      <c r="G3" s="1"/>
      <c r="H3" s="1"/>
      <c r="I3" s="1"/>
      <c r="J3" s="1"/>
      <c r="K3" s="1"/>
      <c r="L3" s="1"/>
      <c r="M3" s="206"/>
      <c r="N3" s="1733"/>
    </row>
    <row r="4" spans="1:16" ht="18" customHeight="1">
      <c r="A4" s="1732" t="s">
        <v>39</v>
      </c>
      <c r="B4" s="4"/>
      <c r="C4" s="3"/>
      <c r="D4" s="3"/>
      <c r="E4" s="3"/>
      <c r="F4" s="3"/>
      <c r="G4" s="3"/>
      <c r="H4" s="3"/>
      <c r="I4" s="3"/>
      <c r="J4" s="3"/>
      <c r="K4" s="3"/>
      <c r="L4" s="3"/>
      <c r="M4" s="3"/>
      <c r="N4" s="3"/>
    </row>
    <row r="5" spans="1:16" ht="18" customHeight="1">
      <c r="A5" s="18" t="s">
        <v>38</v>
      </c>
      <c r="B5" s="4"/>
      <c r="C5" s="3"/>
      <c r="D5" s="3"/>
      <c r="E5" s="3"/>
      <c r="F5" s="3"/>
      <c r="G5" s="3"/>
      <c r="H5" s="3"/>
      <c r="I5" s="3"/>
      <c r="J5" s="3"/>
      <c r="K5" s="3"/>
      <c r="L5" s="3"/>
      <c r="M5" s="3"/>
      <c r="N5" s="3"/>
    </row>
    <row r="6" spans="1:16" ht="1.5" customHeight="1">
      <c r="A6" s="18"/>
      <c r="B6" s="4"/>
      <c r="C6" s="3"/>
      <c r="D6" s="3" t="s">
        <v>799</v>
      </c>
      <c r="E6" s="3"/>
      <c r="F6" s="3"/>
      <c r="G6" s="3"/>
      <c r="H6" s="3"/>
      <c r="I6" s="3"/>
      <c r="J6" s="3"/>
      <c r="K6" s="3"/>
      <c r="L6" s="3" t="s">
        <v>799</v>
      </c>
      <c r="M6" s="3"/>
      <c r="N6" s="3"/>
    </row>
    <row r="7" spans="1:16" ht="15">
      <c r="A7" s="9" t="s">
        <v>354</v>
      </c>
      <c r="M7" s="1734"/>
      <c r="N7" s="24" t="s">
        <v>355</v>
      </c>
    </row>
    <row r="8" spans="1:16" s="150" customFormat="1" ht="17.45" customHeight="1">
      <c r="A8" s="59"/>
      <c r="B8" s="137"/>
      <c r="C8" s="317" t="s">
        <v>824</v>
      </c>
      <c r="D8" s="143"/>
      <c r="E8" s="143"/>
      <c r="F8" s="143"/>
      <c r="G8" s="144"/>
      <c r="H8" s="145"/>
      <c r="I8" s="263"/>
      <c r="J8" s="316" t="s">
        <v>825</v>
      </c>
      <c r="K8" s="2124" t="s">
        <v>858</v>
      </c>
      <c r="L8" s="2125"/>
      <c r="M8" s="2124" t="s">
        <v>859</v>
      </c>
      <c r="N8" s="2125"/>
    </row>
    <row r="9" spans="1:16" s="150" customFormat="1" ht="17.45" customHeight="1">
      <c r="A9" s="62"/>
      <c r="B9" s="81"/>
      <c r="C9" s="32" t="s">
        <v>418</v>
      </c>
      <c r="D9" s="108"/>
      <c r="E9" s="33" t="s">
        <v>853</v>
      </c>
      <c r="F9" s="88"/>
      <c r="G9" s="146" t="s">
        <v>376</v>
      </c>
      <c r="H9" s="147"/>
      <c r="I9" s="151" t="s">
        <v>377</v>
      </c>
      <c r="J9" s="121"/>
      <c r="K9" s="2126"/>
      <c r="L9" s="2127"/>
      <c r="M9" s="2126"/>
      <c r="N9" s="2127"/>
    </row>
    <row r="10" spans="1:16" s="150" customFormat="1" ht="17.45" customHeight="1">
      <c r="A10" s="27" t="s">
        <v>364</v>
      </c>
      <c r="B10" s="80"/>
      <c r="C10" s="105" t="s">
        <v>391</v>
      </c>
      <c r="D10" s="66"/>
      <c r="E10" s="105" t="s">
        <v>854</v>
      </c>
      <c r="F10" s="66"/>
      <c r="G10" s="63" t="s">
        <v>803</v>
      </c>
      <c r="H10" s="106"/>
      <c r="I10" s="63" t="s">
        <v>385</v>
      </c>
      <c r="J10" s="106"/>
      <c r="K10" s="2128"/>
      <c r="L10" s="2129"/>
      <c r="M10" s="2128"/>
      <c r="N10" s="2129"/>
    </row>
    <row r="11" spans="1:16" s="150" customFormat="1" ht="17.45" customHeight="1">
      <c r="A11" s="68" t="s">
        <v>372</v>
      </c>
      <c r="B11" s="66"/>
      <c r="C11" s="101" t="s">
        <v>855</v>
      </c>
      <c r="D11" s="101" t="s">
        <v>374</v>
      </c>
      <c r="E11" s="101" t="s">
        <v>855</v>
      </c>
      <c r="F11" s="101" t="s">
        <v>374</v>
      </c>
      <c r="G11" s="101" t="s">
        <v>855</v>
      </c>
      <c r="H11" s="101" t="s">
        <v>374</v>
      </c>
      <c r="I11" s="101" t="s">
        <v>855</v>
      </c>
      <c r="J11" s="101" t="s">
        <v>374</v>
      </c>
      <c r="K11" s="101" t="s">
        <v>855</v>
      </c>
      <c r="L11" s="101" t="s">
        <v>374</v>
      </c>
      <c r="M11" s="101" t="s">
        <v>855</v>
      </c>
      <c r="N11" s="101" t="s">
        <v>374</v>
      </c>
    </row>
    <row r="12" spans="1:16" s="150" customFormat="1" ht="17.45" customHeight="1">
      <c r="A12" s="37"/>
      <c r="B12" s="72"/>
      <c r="C12" s="148" t="s">
        <v>137</v>
      </c>
      <c r="D12" s="149" t="s">
        <v>856</v>
      </c>
      <c r="E12" s="131" t="s">
        <v>137</v>
      </c>
      <c r="F12" s="131" t="s">
        <v>856</v>
      </c>
      <c r="G12" s="130" t="s">
        <v>137</v>
      </c>
      <c r="H12" s="148" t="s">
        <v>856</v>
      </c>
      <c r="I12" s="130" t="s">
        <v>137</v>
      </c>
      <c r="J12" s="148" t="s">
        <v>856</v>
      </c>
      <c r="K12" s="63" t="s">
        <v>137</v>
      </c>
      <c r="L12" s="74" t="s">
        <v>856</v>
      </c>
      <c r="M12" s="63" t="s">
        <v>137</v>
      </c>
      <c r="N12" s="74" t="s">
        <v>856</v>
      </c>
      <c r="O12" s="213" t="s">
        <v>137</v>
      </c>
      <c r="P12" s="213" t="s">
        <v>856</v>
      </c>
    </row>
    <row r="13" spans="1:16" s="327" customFormat="1" ht="20.25" customHeight="1">
      <c r="A13" s="432">
        <v>2010</v>
      </c>
      <c r="B13" s="553"/>
      <c r="C13" s="768">
        <v>884.06438351709835</v>
      </c>
      <c r="D13" s="768">
        <v>1298.6160251833719</v>
      </c>
      <c r="E13" s="769">
        <v>5816.7004714418963</v>
      </c>
      <c r="F13" s="769">
        <v>1630.3117278880641</v>
      </c>
      <c r="G13" s="768">
        <v>1309.8743985108767</v>
      </c>
      <c r="H13" s="768">
        <v>319.11948633355001</v>
      </c>
      <c r="I13" s="769">
        <v>1376.4736714754681</v>
      </c>
      <c r="J13" s="1735">
        <v>690.15980803321702</v>
      </c>
      <c r="K13" s="806">
        <v>1260.6470302822991</v>
      </c>
      <c r="L13" s="769">
        <v>10024.297228631531</v>
      </c>
      <c r="M13" s="805">
        <v>10647.759955227639</v>
      </c>
      <c r="N13" s="805">
        <v>13962.544276069735</v>
      </c>
      <c r="O13" s="335">
        <f t="shared" ref="O13:P15" si="0">M13-C13-E13-G13-I13-K13</f>
        <v>0</v>
      </c>
      <c r="P13" s="335">
        <f t="shared" si="0"/>
        <v>4.0000000002692104E-2</v>
      </c>
    </row>
    <row r="14" spans="1:16" s="435" customFormat="1" ht="14.25" customHeight="1">
      <c r="A14" s="380">
        <v>2011</v>
      </c>
      <c r="B14" s="1378"/>
      <c r="C14" s="1736">
        <v>1164.7170488031156</v>
      </c>
      <c r="D14" s="1736">
        <v>1097.7576681300584</v>
      </c>
      <c r="E14" s="1737">
        <v>5747.8619580386821</v>
      </c>
      <c r="F14" s="1737">
        <v>1903.3321349146499</v>
      </c>
      <c r="G14" s="1738">
        <v>1712.9886534482648</v>
      </c>
      <c r="H14" s="1739">
        <v>226.57153637152999</v>
      </c>
      <c r="I14" s="1737">
        <v>1602.2423511861014</v>
      </c>
      <c r="J14" s="1740">
        <v>603.38472641040562</v>
      </c>
      <c r="K14" s="1719">
        <v>1505.3581618328983</v>
      </c>
      <c r="L14" s="1737">
        <v>9770.9159586933383</v>
      </c>
      <c r="M14" s="1741">
        <v>11733.17217330906</v>
      </c>
      <c r="N14" s="1741">
        <v>13602.01202451998</v>
      </c>
      <c r="O14" s="335">
        <f t="shared" si="0"/>
        <v>3.9999999980864231E-3</v>
      </c>
      <c r="P14" s="335">
        <f t="shared" si="0"/>
        <v>4.9999999997453415E-2</v>
      </c>
    </row>
    <row r="15" spans="1:16" s="435" customFormat="1" ht="14.25" customHeight="1">
      <c r="A15" s="380">
        <v>2012</v>
      </c>
      <c r="B15" s="1378"/>
      <c r="C15" s="1736">
        <v>1321.5671518878721</v>
      </c>
      <c r="D15" s="1736">
        <v>1101.064802938309</v>
      </c>
      <c r="E15" s="1737">
        <v>6101.2167569031726</v>
      </c>
      <c r="F15" s="1737">
        <v>1900.3747167870542</v>
      </c>
      <c r="G15" s="1738">
        <v>1991.5701930129947</v>
      </c>
      <c r="H15" s="1739">
        <v>170.13048565420709</v>
      </c>
      <c r="I15" s="1737">
        <v>1713.696011472364</v>
      </c>
      <c r="J15" s="1740">
        <v>698.60433601023146</v>
      </c>
      <c r="K15" s="1719">
        <v>1408.4394986879965</v>
      </c>
      <c r="L15" s="1737">
        <v>10556.903986319563</v>
      </c>
      <c r="M15" s="1741">
        <v>12536.541420964402</v>
      </c>
      <c r="N15" s="1741">
        <v>14427.128327709364</v>
      </c>
      <c r="O15" s="335">
        <f t="shared" si="0"/>
        <v>5.1809000003004257E-2</v>
      </c>
      <c r="P15" s="335">
        <f t="shared" si="0"/>
        <v>5.0000000001091394E-2</v>
      </c>
    </row>
    <row r="16" spans="1:16" s="435" customFormat="1" ht="14.25" customHeight="1">
      <c r="A16" s="380">
        <v>2013</v>
      </c>
      <c r="B16" s="1378"/>
      <c r="C16" s="1736">
        <v>555.28398183800005</v>
      </c>
      <c r="D16" s="1736">
        <v>1059.1972934292869</v>
      </c>
      <c r="E16" s="1737">
        <v>6785.4370739202886</v>
      </c>
      <c r="F16" s="1737">
        <v>1939.4907199794034</v>
      </c>
      <c r="G16" s="1738">
        <v>2043.7968311678037</v>
      </c>
      <c r="H16" s="1739">
        <v>165.36161861300002</v>
      </c>
      <c r="I16" s="1737">
        <v>1906.1861490610495</v>
      </c>
      <c r="J16" s="1740">
        <v>694.32937914206525</v>
      </c>
      <c r="K16" s="1719">
        <v>1366.6006398509503</v>
      </c>
      <c r="L16" s="1737">
        <v>11802.194049036523</v>
      </c>
      <c r="M16" s="1741">
        <v>12657.255688838091</v>
      </c>
      <c r="N16" s="1741">
        <v>15660.573060200279</v>
      </c>
      <c r="O16" s="335">
        <v>-4.8987000000579428E-2</v>
      </c>
      <c r="P16" s="335">
        <v>0</v>
      </c>
    </row>
    <row r="17" spans="1:23" s="435" customFormat="1" ht="14.25" customHeight="1">
      <c r="A17" s="380">
        <v>2014</v>
      </c>
      <c r="B17" s="1378"/>
      <c r="C17" s="1736">
        <v>447.51440627452695</v>
      </c>
      <c r="D17" s="1736">
        <v>891.4363746491814</v>
      </c>
      <c r="E17" s="1737">
        <v>7361.2450760624024</v>
      </c>
      <c r="F17" s="1737">
        <v>1942.6025737982827</v>
      </c>
      <c r="G17" s="1738">
        <v>1966.868652664496</v>
      </c>
      <c r="H17" s="1739">
        <v>164.92917113799663</v>
      </c>
      <c r="I17" s="1737">
        <v>2156.8233433592486</v>
      </c>
      <c r="J17" s="1740">
        <v>768.77294619297277</v>
      </c>
      <c r="K17" s="1719">
        <v>1408.1857753147672</v>
      </c>
      <c r="L17" s="1737">
        <v>12974.918130631846</v>
      </c>
      <c r="M17" s="1741">
        <v>13340.637253615441</v>
      </c>
      <c r="N17" s="1741">
        <v>16742.609196410278</v>
      </c>
      <c r="O17" s="335">
        <v>-6.0000502344337292E-8</v>
      </c>
      <c r="P17" s="335">
        <v>-5.0000000002910383E-2</v>
      </c>
    </row>
    <row r="18" spans="1:23" s="435" customFormat="1" ht="14.25" customHeight="1">
      <c r="A18" s="380">
        <v>2015</v>
      </c>
      <c r="B18" s="1378"/>
      <c r="C18" s="1736">
        <v>411.47210010218009</v>
      </c>
      <c r="D18" s="1736">
        <v>972.14558488587386</v>
      </c>
      <c r="E18" s="1737">
        <v>7486.6245487390643</v>
      </c>
      <c r="F18" s="1737">
        <v>2076.6623343749029</v>
      </c>
      <c r="G18" s="1738">
        <v>1911.3589308613632</v>
      </c>
      <c r="H18" s="1739">
        <v>179.31352555399997</v>
      </c>
      <c r="I18" s="1737">
        <v>2305.7090678587274</v>
      </c>
      <c r="J18" s="1740">
        <v>808.8092994403404</v>
      </c>
      <c r="K18" s="1719">
        <v>1397.0035951027414</v>
      </c>
      <c r="L18" s="1737">
        <v>13353.168571597391</v>
      </c>
      <c r="M18" s="1741">
        <v>13512.218242664076</v>
      </c>
      <c r="N18" s="1741">
        <v>17390.149315852508</v>
      </c>
      <c r="O18" s="335">
        <v>4.9999999998590283E-2</v>
      </c>
      <c r="P18" s="335">
        <v>4.9999999999272404E-2</v>
      </c>
    </row>
    <row r="19" spans="1:23" s="435" customFormat="1" ht="14.25" customHeight="1">
      <c r="A19" s="380">
        <v>2016</v>
      </c>
      <c r="B19" s="1378"/>
      <c r="C19" s="1736">
        <v>579.85826877843999</v>
      </c>
      <c r="D19" s="1736">
        <v>1044.308414674317</v>
      </c>
      <c r="E19" s="1737">
        <v>7443.1104031751838</v>
      </c>
      <c r="F19" s="1737">
        <v>2241.0663992753734</v>
      </c>
      <c r="G19" s="1738">
        <v>1822.4270104740001</v>
      </c>
      <c r="H19" s="1739">
        <v>299.88302245900002</v>
      </c>
      <c r="I19" s="1737">
        <v>2571.3646182724069</v>
      </c>
      <c r="J19" s="1740">
        <v>758.64686689305063</v>
      </c>
      <c r="K19" s="1719">
        <v>1308.5493400848645</v>
      </c>
      <c r="L19" s="1737">
        <v>13144.254380962431</v>
      </c>
      <c r="M19" s="1741">
        <v>13725.349640784894</v>
      </c>
      <c r="N19" s="1741">
        <v>17488.159084264171</v>
      </c>
      <c r="O19" s="335">
        <v>3.9999999999054126E-2</v>
      </c>
      <c r="P19" s="335">
        <v>0</v>
      </c>
    </row>
    <row r="20" spans="1:23" s="435" customFormat="1" ht="14.25" customHeight="1">
      <c r="A20" s="380">
        <v>2017</v>
      </c>
      <c r="B20" s="1378"/>
      <c r="C20" s="1736">
        <v>504.59508169000003</v>
      </c>
      <c r="D20" s="1736">
        <v>754.4946556333731</v>
      </c>
      <c r="E20" s="1737">
        <v>7541.8592944910406</v>
      </c>
      <c r="F20" s="1737">
        <v>2576.602583168858</v>
      </c>
      <c r="G20" s="1738">
        <v>1962.8939980619998</v>
      </c>
      <c r="H20" s="1739">
        <v>257.598066604</v>
      </c>
      <c r="I20" s="1737">
        <v>2669.4350580149198</v>
      </c>
      <c r="J20" s="1740">
        <v>836.00724174297557</v>
      </c>
      <c r="K20" s="1719">
        <v>1063.8516252512086</v>
      </c>
      <c r="L20" s="1737">
        <v>13221.603134814433</v>
      </c>
      <c r="M20" s="1741">
        <v>13742.655791509169</v>
      </c>
      <c r="N20" s="1741">
        <v>17646.30568196364</v>
      </c>
      <c r="O20" s="335">
        <v>2.0733999999720254E-2</v>
      </c>
      <c r="P20" s="335">
        <v>0</v>
      </c>
    </row>
    <row r="21" spans="1:23" s="411" customFormat="1" ht="14.25" customHeight="1">
      <c r="A21" s="905">
        <v>2018</v>
      </c>
      <c r="B21" s="906"/>
      <c r="C21" s="1742">
        <f t="shared" ref="C21:N21" si="1">C25</f>
        <v>533.80858013498005</v>
      </c>
      <c r="D21" s="1742">
        <f t="shared" si="1"/>
        <v>980.25521297485989</v>
      </c>
      <c r="E21" s="1743">
        <f t="shared" si="1"/>
        <v>7543.6063947340472</v>
      </c>
      <c r="F21" s="1743">
        <f t="shared" si="1"/>
        <v>2803.369281584592</v>
      </c>
      <c r="G21" s="940">
        <f t="shared" si="1"/>
        <v>1914.1885228199344</v>
      </c>
      <c r="H21" s="1744">
        <f t="shared" si="1"/>
        <v>290.54115872100004</v>
      </c>
      <c r="I21" s="1743">
        <f t="shared" si="1"/>
        <v>2847.7626825348239</v>
      </c>
      <c r="J21" s="1745">
        <f t="shared" si="1"/>
        <v>918.84185810735062</v>
      </c>
      <c r="K21" s="754">
        <f t="shared" si="1"/>
        <v>1112.6454569580051</v>
      </c>
      <c r="L21" s="1743">
        <f t="shared" si="1"/>
        <v>13624.004320104132</v>
      </c>
      <c r="M21" s="790">
        <f t="shared" si="1"/>
        <v>13951.992516181792</v>
      </c>
      <c r="N21" s="790">
        <f t="shared" si="1"/>
        <v>18616.991831491934</v>
      </c>
      <c r="O21" s="925">
        <f>M21-C21-E21-G21-I21-K21</f>
        <v>-1.9120999999358901E-2</v>
      </c>
      <c r="P21" s="335">
        <f>N21-D21-F21-H21-J21-L21</f>
        <v>-1.9999999998617568E-2</v>
      </c>
    </row>
    <row r="22" spans="1:23" s="411" customFormat="1" ht="14.25" customHeight="1">
      <c r="A22" s="1193">
        <v>2019</v>
      </c>
      <c r="B22" s="1483"/>
      <c r="C22" s="1746">
        <f t="shared" ref="C22:N22" si="2">C29</f>
        <v>453.11124023702553</v>
      </c>
      <c r="D22" s="1746">
        <f t="shared" si="2"/>
        <v>926.86142612692572</v>
      </c>
      <c r="E22" s="1747">
        <f t="shared" si="2"/>
        <v>8469.8172098400155</v>
      </c>
      <c r="F22" s="1747">
        <f t="shared" si="2"/>
        <v>3081.6416328226128</v>
      </c>
      <c r="G22" s="1748">
        <f t="shared" si="2"/>
        <v>1768.4751209395436</v>
      </c>
      <c r="H22" s="1749">
        <f t="shared" si="2"/>
        <v>358.33801689204216</v>
      </c>
      <c r="I22" s="1747">
        <f t="shared" si="2"/>
        <v>3010.6580249900762</v>
      </c>
      <c r="J22" s="1750">
        <f t="shared" si="2"/>
        <v>898.72388917093622</v>
      </c>
      <c r="K22" s="1727">
        <f t="shared" si="2"/>
        <v>1245.8330786345402</v>
      </c>
      <c r="L22" s="1747">
        <f t="shared" si="2"/>
        <v>15156.351784787163</v>
      </c>
      <c r="M22" s="1751">
        <f t="shared" si="2"/>
        <v>14947.895688641198</v>
      </c>
      <c r="N22" s="1751">
        <f t="shared" si="2"/>
        <v>20421.936749799679</v>
      </c>
      <c r="O22" s="925">
        <f>M22-C22-E22-G22-I22-K22</f>
        <v>1.0139999969851488E-3</v>
      </c>
      <c r="P22" s="335">
        <f>N22-D22-F22-H22-J22-L22</f>
        <v>2.0000000000436557E-2</v>
      </c>
    </row>
    <row r="23" spans="1:23" s="411" customFormat="1" ht="20.25" customHeight="1">
      <c r="A23" s="905">
        <v>2018</v>
      </c>
      <c r="B23" s="906" t="s">
        <v>223</v>
      </c>
      <c r="C23" s="1742">
        <v>670.95702765941644</v>
      </c>
      <c r="D23" s="1742">
        <v>725.68763374073035</v>
      </c>
      <c r="E23" s="1743">
        <v>7585.8655900671183</v>
      </c>
      <c r="F23" s="1743">
        <v>2488.3460439666187</v>
      </c>
      <c r="G23" s="940">
        <v>1991.4366682759623</v>
      </c>
      <c r="H23" s="1744">
        <v>226.97795533199999</v>
      </c>
      <c r="I23" s="1743">
        <v>2726.6668191750864</v>
      </c>
      <c r="J23" s="1745">
        <v>882.24347319050082</v>
      </c>
      <c r="K23" s="754">
        <v>1184.425895219779</v>
      </c>
      <c r="L23" s="1743">
        <v>13614.270455344917</v>
      </c>
      <c r="M23" s="790">
        <v>14159.352879397366</v>
      </c>
      <c r="N23" s="790">
        <v>17937.525561574763</v>
      </c>
      <c r="O23" s="335">
        <f t="shared" ref="O23" si="3">M23-C23-E23-G23-I23-K23</f>
        <v>8.7900000266927236E-4</v>
      </c>
      <c r="P23" s="335">
        <f t="shared" ref="P23" si="4">N23-D23-F23-H23-J23-L23</f>
        <v>0</v>
      </c>
    </row>
    <row r="24" spans="1:23" s="411" customFormat="1" ht="14.25" customHeight="1">
      <c r="A24" s="905"/>
      <c r="B24" s="906" t="s">
        <v>224</v>
      </c>
      <c r="C24" s="1742">
        <v>595.43915753869942</v>
      </c>
      <c r="D24" s="1742">
        <v>655.7259897523345</v>
      </c>
      <c r="E24" s="1743">
        <v>7543.8106796136371</v>
      </c>
      <c r="F24" s="1743">
        <v>2665.1022906259491</v>
      </c>
      <c r="G24" s="940">
        <v>1916.1974490301272</v>
      </c>
      <c r="H24" s="1744">
        <v>233.874611421</v>
      </c>
      <c r="I24" s="1743">
        <v>2803.8724199465614</v>
      </c>
      <c r="J24" s="1745">
        <v>962.96055953368761</v>
      </c>
      <c r="K24" s="754">
        <v>1078.8387391831141</v>
      </c>
      <c r="L24" s="1743">
        <v>13702.698924087401</v>
      </c>
      <c r="M24" s="790">
        <v>13938.139324312138</v>
      </c>
      <c r="N24" s="790">
        <v>18220.362375420373</v>
      </c>
      <c r="O24" s="925">
        <v>-1.9121000001405264E-2</v>
      </c>
      <c r="P24" s="335">
        <v>0</v>
      </c>
    </row>
    <row r="25" spans="1:23" s="411" customFormat="1" ht="14.25" customHeight="1">
      <c r="A25" s="905"/>
      <c r="B25" s="906" t="s">
        <v>225</v>
      </c>
      <c r="C25" s="1742">
        <v>533.80858013498005</v>
      </c>
      <c r="D25" s="1742">
        <v>980.25521297485989</v>
      </c>
      <c r="E25" s="1743">
        <v>7543.6063947340472</v>
      </c>
      <c r="F25" s="1743">
        <v>2803.369281584592</v>
      </c>
      <c r="G25" s="940">
        <v>1914.1885228199344</v>
      </c>
      <c r="H25" s="1744">
        <v>290.54115872100004</v>
      </c>
      <c r="I25" s="1743">
        <v>2847.7626825348239</v>
      </c>
      <c r="J25" s="1745">
        <v>918.84185810735062</v>
      </c>
      <c r="K25" s="754">
        <v>1112.6454569580051</v>
      </c>
      <c r="L25" s="1743">
        <v>13624.004320104132</v>
      </c>
      <c r="M25" s="790">
        <v>13951.992516181792</v>
      </c>
      <c r="N25" s="790">
        <v>18616.991831491934</v>
      </c>
      <c r="O25" s="925">
        <v>-1.9120999999358901E-2</v>
      </c>
      <c r="P25" s="335">
        <v>-1.9999999998617568E-2</v>
      </c>
    </row>
    <row r="26" spans="1:23" s="411" customFormat="1" ht="20.25" customHeight="1">
      <c r="A26" s="905">
        <v>2019</v>
      </c>
      <c r="B26" s="906" t="s">
        <v>222</v>
      </c>
      <c r="C26" s="1742">
        <v>770.50916622495993</v>
      </c>
      <c r="D26" s="1742">
        <v>816.82954022106685</v>
      </c>
      <c r="E26" s="1743">
        <v>7990.5920697756446</v>
      </c>
      <c r="F26" s="1743">
        <v>2816.4763380364702</v>
      </c>
      <c r="G26" s="940">
        <v>2002.5506599505977</v>
      </c>
      <c r="H26" s="1744">
        <v>329.53831707699999</v>
      </c>
      <c r="I26" s="1743">
        <v>2911.039061095541</v>
      </c>
      <c r="J26" s="1745">
        <v>1032.8785140351724</v>
      </c>
      <c r="K26" s="754">
        <v>1309.0208463533409</v>
      </c>
      <c r="L26" s="1743">
        <v>14440.656820837874</v>
      </c>
      <c r="M26" s="790">
        <v>14983.682682400085</v>
      </c>
      <c r="N26" s="790">
        <v>19436.379530207581</v>
      </c>
      <c r="O26" s="335">
        <v>-2.9120999998667685E-2</v>
      </c>
      <c r="P26" s="335">
        <v>0</v>
      </c>
    </row>
    <row r="27" spans="1:23" s="411" customFormat="1" ht="14.25" customHeight="1">
      <c r="A27" s="905"/>
      <c r="B27" s="906" t="s">
        <v>223</v>
      </c>
      <c r="C27" s="1742">
        <f t="shared" ref="C27:N27" si="5">C33</f>
        <v>531.69917547389991</v>
      </c>
      <c r="D27" s="1742">
        <f t="shared" si="5"/>
        <v>999.50554256481837</v>
      </c>
      <c r="E27" s="1743">
        <f t="shared" si="5"/>
        <v>8320.9728789355595</v>
      </c>
      <c r="F27" s="1743">
        <f t="shared" si="5"/>
        <v>2982.4351017859926</v>
      </c>
      <c r="G27" s="940">
        <f t="shared" si="5"/>
        <v>1897.0370262619228</v>
      </c>
      <c r="H27" s="1744">
        <f t="shared" si="5"/>
        <v>304.95927540499997</v>
      </c>
      <c r="I27" s="1743">
        <f t="shared" si="5"/>
        <v>2910.7264556924492</v>
      </c>
      <c r="J27" s="1745">
        <f t="shared" si="5"/>
        <v>863.77428785483937</v>
      </c>
      <c r="K27" s="754">
        <f t="shared" si="5"/>
        <v>1225.3820539609546</v>
      </c>
      <c r="L27" s="1743">
        <f t="shared" si="5"/>
        <v>14492.443894769596</v>
      </c>
      <c r="M27" s="790">
        <f t="shared" si="5"/>
        <v>14885.768469324788</v>
      </c>
      <c r="N27" s="790">
        <f t="shared" si="5"/>
        <v>19643.098102380245</v>
      </c>
      <c r="O27" s="335">
        <f t="shared" ref="O27" si="6">M27-C27-E27-G27-I27-K27</f>
        <v>-4.9120999996830506E-2</v>
      </c>
      <c r="P27" s="335">
        <f t="shared" ref="P27" si="7">N27-D27-F27-H27-J27-L27</f>
        <v>-1.9999999998617568E-2</v>
      </c>
    </row>
    <row r="28" spans="1:23" s="411" customFormat="1" ht="14.25" customHeight="1">
      <c r="A28" s="905"/>
      <c r="B28" s="906" t="s">
        <v>224</v>
      </c>
      <c r="C28" s="1742">
        <f t="shared" ref="C28:N28" si="8">C36</f>
        <v>559.65686956087006</v>
      </c>
      <c r="D28" s="1742">
        <f t="shared" si="8"/>
        <v>1040.3302893482999</v>
      </c>
      <c r="E28" s="1743">
        <f t="shared" si="8"/>
        <v>8282.2852528688054</v>
      </c>
      <c r="F28" s="1743">
        <f t="shared" si="8"/>
        <v>2982.9178973179282</v>
      </c>
      <c r="G28" s="940">
        <f t="shared" si="8"/>
        <v>1871.3387534043695</v>
      </c>
      <c r="H28" s="1744">
        <f t="shared" si="8"/>
        <v>328.06352690300002</v>
      </c>
      <c r="I28" s="1743">
        <f t="shared" si="8"/>
        <v>3000.2744164181363</v>
      </c>
      <c r="J28" s="1745">
        <f t="shared" si="8"/>
        <v>895.04670902024191</v>
      </c>
      <c r="K28" s="754">
        <f t="shared" si="8"/>
        <v>1314.0155021990895</v>
      </c>
      <c r="L28" s="1743">
        <f t="shared" si="8"/>
        <v>14439.212838844813</v>
      </c>
      <c r="M28" s="790">
        <f t="shared" si="8"/>
        <v>15027.57167345127</v>
      </c>
      <c r="N28" s="790">
        <f t="shared" si="8"/>
        <v>19685.541261434286</v>
      </c>
      <c r="O28" s="335">
        <f t="shared" ref="O28" si="9">M28-C28-E28-G28-I28-K28</f>
        <v>8.7899999971341458E-4</v>
      </c>
      <c r="P28" s="335">
        <f t="shared" ref="P28" si="10">N28-D28-F28-H28-J28-L28</f>
        <v>-2.9999999998835847E-2</v>
      </c>
    </row>
    <row r="29" spans="1:23" s="411" customFormat="1" ht="14.25" customHeight="1">
      <c r="A29" s="905"/>
      <c r="B29" s="906" t="s">
        <v>225</v>
      </c>
      <c r="C29" s="1742">
        <f t="shared" ref="C29:N29" si="11">C39</f>
        <v>453.11124023702553</v>
      </c>
      <c r="D29" s="1742">
        <f t="shared" si="11"/>
        <v>926.86142612692572</v>
      </c>
      <c r="E29" s="1743">
        <f t="shared" si="11"/>
        <v>8469.8172098400155</v>
      </c>
      <c r="F29" s="1743">
        <f t="shared" si="11"/>
        <v>3081.6416328226128</v>
      </c>
      <c r="G29" s="940">
        <f t="shared" si="11"/>
        <v>1768.4751209395436</v>
      </c>
      <c r="H29" s="1744">
        <f t="shared" si="11"/>
        <v>358.33801689204216</v>
      </c>
      <c r="I29" s="1743">
        <f t="shared" si="11"/>
        <v>3010.6580249900762</v>
      </c>
      <c r="J29" s="1745">
        <f t="shared" si="11"/>
        <v>898.72388917093622</v>
      </c>
      <c r="K29" s="754">
        <f t="shared" si="11"/>
        <v>1245.8330786345402</v>
      </c>
      <c r="L29" s="1743">
        <f t="shared" si="11"/>
        <v>15156.351784787163</v>
      </c>
      <c r="M29" s="790">
        <f t="shared" si="11"/>
        <v>14947.895688641198</v>
      </c>
      <c r="N29" s="790">
        <f t="shared" si="11"/>
        <v>20421.936749799679</v>
      </c>
      <c r="O29" s="335">
        <f t="shared" ref="O29" si="12">M29-C29-E29-G29-I29-K29</f>
        <v>1.0139999969851488E-3</v>
      </c>
      <c r="P29" s="335">
        <f t="shared" ref="P29" si="13">N29-D29-F29-H29-J29-L29</f>
        <v>2.0000000000436557E-2</v>
      </c>
    </row>
    <row r="30" spans="1:23" s="411" customFormat="1" ht="21" customHeight="1">
      <c r="A30" s="1193">
        <v>2020</v>
      </c>
      <c r="B30" s="1483" t="s">
        <v>222</v>
      </c>
      <c r="C30" s="1746">
        <f t="shared" ref="C30:N30" si="14">C42</f>
        <v>697.34273878969293</v>
      </c>
      <c r="D30" s="1746">
        <f t="shared" si="14"/>
        <v>787.59116186887002</v>
      </c>
      <c r="E30" s="1747">
        <f t="shared" si="14"/>
        <v>8583.7643762373245</v>
      </c>
      <c r="F30" s="1747">
        <f t="shared" si="14"/>
        <v>3203.2379760204212</v>
      </c>
      <c r="G30" s="1748">
        <f t="shared" si="14"/>
        <v>1877.3915165540002</v>
      </c>
      <c r="H30" s="1749">
        <f t="shared" si="14"/>
        <v>287.34848904499995</v>
      </c>
      <c r="I30" s="1747">
        <f t="shared" si="14"/>
        <v>2729.0981762474671</v>
      </c>
      <c r="J30" s="1750">
        <f t="shared" si="14"/>
        <v>951.77746790596916</v>
      </c>
      <c r="K30" s="1727">
        <f t="shared" si="14"/>
        <v>1371.1379151028698</v>
      </c>
      <c r="L30" s="1747">
        <f t="shared" si="14"/>
        <v>15263.670265669098</v>
      </c>
      <c r="M30" s="1751">
        <f t="shared" si="14"/>
        <v>15258.735736931352</v>
      </c>
      <c r="N30" s="1751">
        <f t="shared" si="14"/>
        <v>20493.625360509359</v>
      </c>
      <c r="O30" s="335">
        <f t="shared" ref="O30" si="15">M30-C30-E30-G30-I30-K30</f>
        <v>1.0139999969851488E-3</v>
      </c>
      <c r="P30" s="335">
        <f t="shared" ref="P30" si="16">N30-D30-F30-H30-J30-L30</f>
        <v>0</v>
      </c>
    </row>
    <row r="31" spans="1:23" s="327" customFormat="1" ht="20.25" customHeight="1">
      <c r="A31" s="432">
        <v>2019</v>
      </c>
      <c r="B31" s="553" t="s">
        <v>399</v>
      </c>
      <c r="C31" s="791">
        <f>'[5]1'!$C$14+'[5]1'!$C$18+'[5]1'!$C$30+'[5]1'!$C$33-0.02</f>
        <v>463.04232597739212</v>
      </c>
      <c r="D31" s="791">
        <f>'[5]1'!$D$14+'[5]1'!$D$18+'[5]1'!$D$30+'[5]1'!$D$33</f>
        <v>858.4842100402816</v>
      </c>
      <c r="E31" s="769">
        <f>SUM('[5]1'!$C$25:$C$29)</f>
        <v>8071.5260818499155</v>
      </c>
      <c r="F31" s="769">
        <f>SUM('[5]1'!$D$25:$D$29)</f>
        <v>2928.3586139959148</v>
      </c>
      <c r="G31" s="768">
        <f>SUM('[5]1'!$C$23:$C$24)+0.05</f>
        <v>2047.2707258974513</v>
      </c>
      <c r="H31" s="813">
        <f>SUM('[5]1'!$D$23:$D$24)</f>
        <v>333.21872487799999</v>
      </c>
      <c r="I31" s="769">
        <f>'[5]1'!$C$31+'[5]1'!$C$34+'[5]1'!$C$36+'[5]1'!$C$37</f>
        <v>2935.5981765866154</v>
      </c>
      <c r="J31" s="792">
        <f>'[5]1'!$D$31+'[5]1'!$D$34+'[5]1'!$D$36+'[5]1'!$D$37</f>
        <v>877.21642245519445</v>
      </c>
      <c r="K31" s="806">
        <f>'[5]1'!$E$38+'[5]1'!$G$38</f>
        <v>1277.0442532674624</v>
      </c>
      <c r="L31" s="769">
        <f>'[5]1'!$F$38+'[5]1'!$H$38</f>
        <v>13954.394284830691</v>
      </c>
      <c r="M31" s="805">
        <f>'[5]1'!$C$38+'[5]1'!$E$38+'[5]1'!$G$38-0.03</f>
        <v>14794.435580343681</v>
      </c>
      <c r="N31" s="805">
        <f>'[5]1'!$D$38+'[5]1'!$F$38+'[5]1'!$H$38</f>
        <v>18951.672256200083</v>
      </c>
      <c r="O31" s="335">
        <f t="shared" ref="O31" si="17">M31-C31-E31-G31-I31-K31</f>
        <v>-4.5983235156199953E-2</v>
      </c>
      <c r="P31" s="335">
        <f t="shared" ref="P31" si="18">N31-D31-F31-H31-J31-L31</f>
        <v>0</v>
      </c>
      <c r="Q31" s="381"/>
      <c r="R31" s="381"/>
      <c r="S31" s="381"/>
      <c r="T31" s="381"/>
      <c r="U31" s="381"/>
      <c r="V31" s="381"/>
      <c r="W31" s="381"/>
    </row>
    <row r="32" spans="1:23" s="327" customFormat="1" ht="14.25" customHeight="1">
      <c r="A32" s="432"/>
      <c r="B32" s="553" t="s">
        <v>400</v>
      </c>
      <c r="C32" s="791">
        <f>'[6]1'!$C$14+'[6]1'!$C$18+'[6]1'!$C$30+'[6]1'!$C$33</f>
        <v>508.38360724200004</v>
      </c>
      <c r="D32" s="791">
        <f>'[6]1'!$D$14+'[6]1'!$D$18+'[6]1'!$D$30+'[6]1'!$D$33</f>
        <v>1077.4896695560001</v>
      </c>
      <c r="E32" s="769">
        <f>SUM('[6]1'!$C$25:$C$29)</f>
        <v>8156.2193807960275</v>
      </c>
      <c r="F32" s="769">
        <f>SUM('[6]1'!$D$25:$D$29)</f>
        <v>2821.3206861103108</v>
      </c>
      <c r="G32" s="768">
        <f>SUM('[6]1'!$C$23:$C$24)</f>
        <v>2058.2691030132696</v>
      </c>
      <c r="H32" s="813">
        <f>SUM('[6]1'!$D$23:$D$24)-0.02</f>
        <v>348.93504924400003</v>
      </c>
      <c r="I32" s="769">
        <f>'[6]1'!$C$31+'[6]1'!$C$34+'[6]1'!$C$36+'[6]1'!$C$37</f>
        <v>2915.022504106897</v>
      </c>
      <c r="J32" s="792">
        <f>'[6]1'!$D$31+'[6]1'!$D$34+'[6]1'!$D$36+'[6]1'!$D$37</f>
        <v>846.60896734935648</v>
      </c>
      <c r="K32" s="806">
        <f>'[6]1'!$E$38+'[6]1'!$G$38</f>
        <v>1251.9052981887103</v>
      </c>
      <c r="L32" s="769">
        <f>'[6]1'!$F$38+'[6]1'!$H$38</f>
        <v>14360.119291652178</v>
      </c>
      <c r="M32" s="805">
        <f>'[6]1'!$C$38+'[6]1'!$E$38+'[6]1'!$G$38</f>
        <v>14889.800772346904</v>
      </c>
      <c r="N32" s="805">
        <f>'[6]1'!$D$38+'[6]1'!$F$38+'[6]1'!$H$38-0.05</f>
        <v>19454.443663911847</v>
      </c>
      <c r="O32" s="335">
        <f t="shared" ref="O32" si="19">M32-C32-E32-G32-I32-K32</f>
        <v>8.7899999971341458E-4</v>
      </c>
      <c r="P32" s="335">
        <f t="shared" ref="P32" si="20">N32-D32-F32-H32-J32-L32</f>
        <v>-2.9999999997016857E-2</v>
      </c>
      <c r="Q32" s="381"/>
      <c r="R32" s="381"/>
      <c r="S32" s="381"/>
      <c r="T32" s="381"/>
      <c r="U32" s="381"/>
      <c r="V32" s="381"/>
      <c r="W32" s="381"/>
    </row>
    <row r="33" spans="1:23" s="327" customFormat="1" ht="14.25" customHeight="1">
      <c r="A33" s="432"/>
      <c r="B33" s="553" t="s">
        <v>401</v>
      </c>
      <c r="C33" s="791">
        <f>'[7]1'!$C$14+'[7]1'!$C$18+'[7]1'!$C$30+'[7]1'!$C$33+0.05</f>
        <v>531.69917547389991</v>
      </c>
      <c r="D33" s="791">
        <f>'[7]1'!$D$14+'[7]1'!$D$18+'[7]1'!$D$30+'[7]1'!$D$33</f>
        <v>999.50554256481837</v>
      </c>
      <c r="E33" s="769">
        <f>SUM('[7]1'!$C$25:$C$29)</f>
        <v>8320.9728789355595</v>
      </c>
      <c r="F33" s="769">
        <f>SUM('[7]1'!$D$25:$D$29)-0.03</f>
        <v>2982.4351017859926</v>
      </c>
      <c r="G33" s="768">
        <f>SUM('[7]1'!$C$23:$C$24)</f>
        <v>1897.0370262619228</v>
      </c>
      <c r="H33" s="813">
        <f>SUM('[7]1'!$D$23:$D$24)+0.03</f>
        <v>304.95927540499997</v>
      </c>
      <c r="I33" s="769">
        <f>'[7]1'!$C$31+'[7]1'!$C$34+'[7]1'!$C$36+'[7]1'!$C$37</f>
        <v>2910.7264556924492</v>
      </c>
      <c r="J33" s="792">
        <f>'[7]1'!$D$31+'[7]1'!$D$34+'[7]1'!$D$36+'[7]1'!$D$37+0.05</f>
        <v>863.77428785483937</v>
      </c>
      <c r="K33" s="806">
        <f>'[7]1'!$E$38+'[7]1'!$G$38</f>
        <v>1225.3820539609546</v>
      </c>
      <c r="L33" s="769">
        <f>'[7]1'!$F$38+'[7]1'!$H$38-0.02</f>
        <v>14492.443894769596</v>
      </c>
      <c r="M33" s="805">
        <f>'[7]1'!$C$38+'[7]1'!$E$38+'[7]1'!$G$38</f>
        <v>14885.768469324788</v>
      </c>
      <c r="N33" s="805">
        <f>'[7]1'!$D$38+'[7]1'!$F$38+'[7]1'!$H$38+0.01</f>
        <v>19643.098102380245</v>
      </c>
      <c r="O33" s="335">
        <f t="shared" ref="O33" si="21">M33-C33-E33-G33-I33-K33</f>
        <v>-4.9120999996830506E-2</v>
      </c>
      <c r="P33" s="335">
        <f t="shared" ref="P33" si="22">N33-D33-F33-H33-J33-L33</f>
        <v>-1.9999999998617568E-2</v>
      </c>
      <c r="Q33" s="381"/>
      <c r="R33" s="381"/>
      <c r="S33" s="381"/>
      <c r="T33" s="381"/>
      <c r="U33" s="381"/>
      <c r="V33" s="381"/>
      <c r="W33" s="381"/>
    </row>
    <row r="34" spans="1:23" s="327" customFormat="1" ht="14.25" customHeight="1">
      <c r="A34" s="432"/>
      <c r="B34" s="553" t="s">
        <v>402</v>
      </c>
      <c r="C34" s="791">
        <f>'[8]1'!$C$14+'[8]1'!$C$18+'[8]1'!$C$30+'[8]1'!$C$33</f>
        <v>570.25031482889017</v>
      </c>
      <c r="D34" s="791">
        <f>'[8]1'!$D$14+'[8]1'!$D$18+'[8]1'!$D$30+'[8]1'!$D$33</f>
        <v>967.60601518431258</v>
      </c>
      <c r="E34" s="769">
        <f>SUM('[8]1'!$C$25:$C$29)</f>
        <v>8192.9074953143499</v>
      </c>
      <c r="F34" s="769">
        <f>SUM('[8]1'!$D$25:$D$29)</f>
        <v>2914.6402112318342</v>
      </c>
      <c r="G34" s="768">
        <f>SUM('[8]1'!$C$23:$C$24)</f>
        <v>1903.883117476757</v>
      </c>
      <c r="H34" s="813">
        <f>SUM('[8]1'!$D$23:$D$24)</f>
        <v>338.70781212400004</v>
      </c>
      <c r="I34" s="769">
        <f>'[8]1'!$C$31+'[8]1'!$C$34+'[8]1'!$C$36+'[8]1'!$C$37</f>
        <v>2987.6979478442809</v>
      </c>
      <c r="J34" s="792">
        <f>'[8]1'!$D$31+'[8]1'!$D$34+'[8]1'!$D$36+'[8]1'!$D$37</f>
        <v>894.74707773450154</v>
      </c>
      <c r="K34" s="806">
        <f>'[8]1'!$E$38+'[8]1'!$G$38-0.01</f>
        <v>1280.2415843730917</v>
      </c>
      <c r="L34" s="769">
        <f>'[8]1'!$F$38+'[8]1'!$H$38</f>
        <v>14619.377236940181</v>
      </c>
      <c r="M34" s="805">
        <f>'[8]1'!$C$38+'[8]1'!$E$38+'[8]1'!$G$38</f>
        <v>14934.989071333355</v>
      </c>
      <c r="N34" s="805">
        <f>'[8]1'!$D$38+'[8]1'!$F$38+'[8]1'!$H$38-0.03</f>
        <v>19735.048353214828</v>
      </c>
      <c r="O34" s="335">
        <f t="shared" ref="O34" si="23">M34-C34-E34-G34-I34-K34</f>
        <v>8.6114959856331552E-3</v>
      </c>
      <c r="P34" s="335">
        <f t="shared" ref="P34" si="24">N34-D34-F34-H34-J34-L34</f>
        <v>-2.9999999998835847E-2</v>
      </c>
      <c r="Q34" s="381"/>
      <c r="R34" s="381"/>
      <c r="S34" s="381"/>
      <c r="T34" s="381"/>
      <c r="U34" s="381"/>
      <c r="V34" s="381"/>
      <c r="W34" s="381"/>
    </row>
    <row r="35" spans="1:23" s="327" customFormat="1" ht="14.25" customHeight="1">
      <c r="A35" s="432"/>
      <c r="B35" s="553" t="s">
        <v>403</v>
      </c>
      <c r="C35" s="791">
        <f>'[9]1'!$C$14+'[9]1'!$C$18+'[9]1'!$C$30+'[9]1'!$C$33</f>
        <v>440.77161238887936</v>
      </c>
      <c r="D35" s="791">
        <f>'[9]1'!$D$14+'[9]1'!$D$18+'[9]1'!$D$30+'[9]1'!$D$33</f>
        <v>930.36787566457429</v>
      </c>
      <c r="E35" s="769">
        <f>SUM('[9]1'!$C$25:$C$29)</f>
        <v>8283.5145727314321</v>
      </c>
      <c r="F35" s="769">
        <f>SUM('[9]1'!$D$25:$D$29)</f>
        <v>2994.8965009074545</v>
      </c>
      <c r="G35" s="768">
        <f>SUM('[9]1'!$C$23:$C$24)</f>
        <v>1924.228770998991</v>
      </c>
      <c r="H35" s="813">
        <f>SUM('[9]1'!$D$23:$D$24)</f>
        <v>320.60723120500001</v>
      </c>
      <c r="I35" s="769">
        <f>'[9]1'!$C$31+'[9]1'!$C$34+'[9]1'!$C$36+'[9]1'!$C$37-0.02</f>
        <v>2977.5447165097848</v>
      </c>
      <c r="J35" s="792">
        <f>'[9]1'!$D$31+'[9]1'!$D$34+'[9]1'!$D$36+'[9]1'!$D$37</f>
        <v>904.16490631296188</v>
      </c>
      <c r="K35" s="806">
        <f>'[9]1'!$E$38+'[9]1'!$G$38+0.03</f>
        <v>1281.660393471235</v>
      </c>
      <c r="L35" s="769">
        <f>'[9]1'!$F$38+'[9]1'!$H$38</f>
        <v>14782.210675979772</v>
      </c>
      <c r="M35" s="805">
        <f>'[9]1'!$C$38+'[9]1'!$E$38+'[9]1'!$G$38</f>
        <v>14907.711431965956</v>
      </c>
      <c r="N35" s="805">
        <f>'[9]1'!$D$38+'[9]1'!$F$38+'[9]1'!$H$38+0.01</f>
        <v>19932.257190069759</v>
      </c>
      <c r="O35" s="335">
        <f t="shared" ref="O35" si="25">M35-C35-E35-G35-I35-K35</f>
        <v>-8.6341343651383795E-3</v>
      </c>
      <c r="P35" s="335">
        <f t="shared" ref="P35" si="26">N35-D35-F35-H35-J35-L35</f>
        <v>9.9999999947613105E-3</v>
      </c>
      <c r="Q35" s="381"/>
      <c r="R35" s="381"/>
      <c r="S35" s="381"/>
      <c r="T35" s="381"/>
      <c r="U35" s="381"/>
      <c r="V35" s="381"/>
      <c r="W35" s="381"/>
    </row>
    <row r="36" spans="1:23" s="327" customFormat="1" ht="14.25" customHeight="1">
      <c r="A36" s="432"/>
      <c r="B36" s="553" t="s">
        <v>404</v>
      </c>
      <c r="C36" s="791">
        <f>'[10]1'!$C$14+'[10]1'!$C$18+'[10]1'!$C$30+'[10]1'!$C$33+0.02</f>
        <v>559.65686956087006</v>
      </c>
      <c r="D36" s="791">
        <f>'[10]1'!$D$14+'[10]1'!$D$18+'[10]1'!$D$30+'[10]1'!$D$33</f>
        <v>1040.3302893482999</v>
      </c>
      <c r="E36" s="769">
        <f>SUM('[10]1'!$C$25:$C$29)</f>
        <v>8282.2852528688054</v>
      </c>
      <c r="F36" s="769">
        <f>SUM('[10]1'!$D$25:$D$29)</f>
        <v>2982.9178973179282</v>
      </c>
      <c r="G36" s="768">
        <f>SUM('[10]1'!$C$23:$C$24)-0.02</f>
        <v>1871.3387534043695</v>
      </c>
      <c r="H36" s="813">
        <f>SUM('[10]1'!$D$23:$D$24)</f>
        <v>328.06352690300002</v>
      </c>
      <c r="I36" s="769">
        <f>'[10]1'!$C$31+'[10]1'!$C$34+'[10]1'!$C$36+'[10]1'!$C$37</f>
        <v>3000.2744164181363</v>
      </c>
      <c r="J36" s="792">
        <f>'[10]1'!$D$31+'[10]1'!$D$34+'[10]1'!$D$36+'[10]1'!$D$37</f>
        <v>895.04670902024191</v>
      </c>
      <c r="K36" s="806">
        <f>'[10]1'!$E$38+'[10]1'!$G$38</f>
        <v>1314.0155021990895</v>
      </c>
      <c r="L36" s="769">
        <f>'[10]1'!$F$38+'[10]1'!$H$38</f>
        <v>14439.212838844813</v>
      </c>
      <c r="M36" s="805">
        <f>'[10]1'!$C$38+'[10]1'!$E$38+'[10]1'!$G$38</f>
        <v>15027.57167345127</v>
      </c>
      <c r="N36" s="805">
        <f>'[10]1'!$D$38+'[10]1'!$F$38+'[10]1'!$H$38-0.03</f>
        <v>19685.541261434286</v>
      </c>
      <c r="O36" s="335">
        <f t="shared" ref="O36" si="27">M36-C36-E36-G36-I36-K36</f>
        <v>8.7899999971341458E-4</v>
      </c>
      <c r="P36" s="335">
        <f t="shared" ref="P36" si="28">N36-D36-F36-H36-J36-L36</f>
        <v>-2.9999999998835847E-2</v>
      </c>
      <c r="Q36" s="381"/>
      <c r="R36" s="381"/>
      <c r="S36" s="381"/>
      <c r="T36" s="381"/>
      <c r="U36" s="381"/>
      <c r="V36" s="381"/>
      <c r="W36" s="381"/>
    </row>
    <row r="37" spans="1:23" s="327" customFormat="1" ht="14.25" customHeight="1">
      <c r="A37" s="432"/>
      <c r="B37" s="553" t="s">
        <v>405</v>
      </c>
      <c r="C37" s="791">
        <f>'[11]1'!$C$14+'[11]1'!$C$18+'[11]1'!$C$30+'[11]1'!$C$33</f>
        <v>442.209101057</v>
      </c>
      <c r="D37" s="791">
        <f>'[11]1'!$D$14+'[11]1'!$D$18+'[11]1'!$D$30+'[11]1'!$D$33</f>
        <v>854.45281040542829</v>
      </c>
      <c r="E37" s="769">
        <f>SUM('[11]1'!$C$25:$C$29)</f>
        <v>8316.2026775187187</v>
      </c>
      <c r="F37" s="769">
        <f>SUM('[11]1'!$D$25:$D$29)</f>
        <v>3124.345611615182</v>
      </c>
      <c r="G37" s="768">
        <f>SUM('[11]1'!$C$23:$C$24)-0.05</f>
        <v>1849.230607331398</v>
      </c>
      <c r="H37" s="813">
        <f>SUM('[11]1'!$D$23:$D$24)</f>
        <v>354.86077030700005</v>
      </c>
      <c r="I37" s="769">
        <f>'[11]1'!$C$31+'[11]1'!$C$34+'[11]1'!$C$36+'[11]1'!$C$37</f>
        <v>3025.1688834843453</v>
      </c>
      <c r="J37" s="792">
        <f>'[11]1'!$D$31+'[11]1'!$D$34+'[11]1'!$D$36+'[11]1'!$D$37</f>
        <v>883.94070205124763</v>
      </c>
      <c r="K37" s="806">
        <f>'[11]1'!$E$38+'[11]1'!$G$38</f>
        <v>1321.7807987941005</v>
      </c>
      <c r="L37" s="769">
        <f>'[11]1'!$F$38+'[11]1'!$H$38</f>
        <v>14663.733692109417</v>
      </c>
      <c r="M37" s="805">
        <f>'[11]1'!$C$38+'[11]1'!$E$38+'[11]1'!$G$38</f>
        <v>14954.64299218556</v>
      </c>
      <c r="N37" s="805">
        <f>'[11]1'!$D$38+'[11]1'!$F$38+'[11]1'!$H$38</f>
        <v>19881.333586488276</v>
      </c>
      <c r="O37" s="335">
        <f t="shared" ref="O37" si="29">M37-C37-E37-G37-I37-K37</f>
        <v>5.0923999997394276E-2</v>
      </c>
      <c r="P37" s="335">
        <f t="shared" ref="P37" si="30">N37-D37-F37-H37-J37-L37</f>
        <v>0</v>
      </c>
      <c r="Q37" s="381"/>
      <c r="R37" s="381"/>
      <c r="S37" s="381"/>
      <c r="T37" s="381"/>
      <c r="U37" s="381"/>
      <c r="V37" s="381"/>
      <c r="W37" s="381"/>
    </row>
    <row r="38" spans="1:23" s="327" customFormat="1" ht="14.25" customHeight="1">
      <c r="A38" s="432"/>
      <c r="B38" s="553" t="s">
        <v>406</v>
      </c>
      <c r="C38" s="791">
        <f>'[12]1'!$C$14+'[12]1'!$C$18+'[12]1'!$C$30+'[12]1'!$C$33</f>
        <v>409.29524903447498</v>
      </c>
      <c r="D38" s="791">
        <f>'[12]1'!$D$14+'[12]1'!$D$18+'[12]1'!$D$30+'[12]1'!$D$33</f>
        <v>862.76474677198132</v>
      </c>
      <c r="E38" s="769">
        <f>SUM('[12]1'!$C$25:$C$29)+0.01</f>
        <v>8361.3580324723898</v>
      </c>
      <c r="F38" s="769">
        <f>SUM('[12]1'!$D$25:$D$29)</f>
        <v>3103.4393618145341</v>
      </c>
      <c r="G38" s="768">
        <f>SUM('[12]1'!$C$23:$C$24)</f>
        <v>1823.7422748247816</v>
      </c>
      <c r="H38" s="813">
        <f>SUM('[12]1'!$D$23:$D$24)</f>
        <v>354.66300165600001</v>
      </c>
      <c r="I38" s="769">
        <f>'[12]1'!$C$31+'[12]1'!$C$34+'[12]1'!$C$36+'[12]1'!$C$37</f>
        <v>3083.2093614143914</v>
      </c>
      <c r="J38" s="792">
        <f>'[12]1'!$D$31+'[12]1'!$D$34+'[12]1'!$D$36+'[12]1'!$D$37</f>
        <v>885.79780971133243</v>
      </c>
      <c r="K38" s="806">
        <f>'[12]1'!$E$38+'[12]1'!$G$38</f>
        <v>1365.510518724675</v>
      </c>
      <c r="L38" s="769">
        <f>'[12]1'!$F$38+'[12]1'!$H$38+0.03</f>
        <v>15117.455584455509</v>
      </c>
      <c r="M38" s="805">
        <f>'[12]1'!$C$38+'[12]1'!$E$38+'[12]1'!$G$38</f>
        <v>15043.106405470713</v>
      </c>
      <c r="N38" s="805">
        <f>'[12]1'!$D$38+'[12]1'!$F$38+'[12]1'!$H$38+0.05</f>
        <v>20324.154504409355</v>
      </c>
      <c r="O38" s="335">
        <f t="shared" ref="O38" si="31">M38-C38-E38-G38-I38-K38</f>
        <v>-9.0309999991404766E-3</v>
      </c>
      <c r="P38" s="335">
        <f t="shared" ref="P38" si="32">N38-D38-F38-H38-J38-L38</f>
        <v>3.4000000001469743E-2</v>
      </c>
      <c r="Q38" s="381"/>
      <c r="R38" s="381"/>
      <c r="S38" s="381"/>
      <c r="T38" s="381"/>
      <c r="U38" s="381"/>
      <c r="V38" s="381"/>
      <c r="W38" s="381"/>
    </row>
    <row r="39" spans="1:23" s="327" customFormat="1" ht="14.25" customHeight="1">
      <c r="A39" s="432"/>
      <c r="B39" s="553" t="s">
        <v>407</v>
      </c>
      <c r="C39" s="791">
        <f>'[13]1'!$C$14+'[13]1'!$C$18+'[13]1'!$C$30+'[13]1'!$C$33</f>
        <v>453.11124023702553</v>
      </c>
      <c r="D39" s="791">
        <f>'[13]1'!$D$14+'[13]1'!$D$18+'[13]1'!$D$30+'[13]1'!$D$33+0.02</f>
        <v>926.86142612692572</v>
      </c>
      <c r="E39" s="769">
        <f>SUM('[13]1'!$C$25:$C$29)</f>
        <v>8469.8172098400155</v>
      </c>
      <c r="F39" s="769">
        <f>SUM('[13]1'!$D$25:$D$29)-0.01</f>
        <v>3081.6416328226128</v>
      </c>
      <c r="G39" s="768">
        <f>SUM('[13]1'!$C$23:$C$24)</f>
        <v>1768.4751209395436</v>
      </c>
      <c r="H39" s="813">
        <f>SUM('[13]1'!$D$23:$D$24)-0.05</f>
        <v>358.33801689204216</v>
      </c>
      <c r="I39" s="769">
        <f>'[13]1'!$C$31+'[13]1'!$C$34+'[13]1'!$C$36+'[13]1'!$C$37</f>
        <v>3010.6580249900762</v>
      </c>
      <c r="J39" s="792">
        <f>'[13]1'!$D$31+'[13]1'!$D$34+'[13]1'!$D$36+'[13]1'!$D$37</f>
        <v>898.72388917093622</v>
      </c>
      <c r="K39" s="806">
        <f>'[13]1'!$E$38+'[13]1'!$G$38</f>
        <v>1245.8330786345402</v>
      </c>
      <c r="L39" s="769">
        <f>'[13]1'!$F$38+'[13]1'!$H$38</f>
        <v>15156.351784787163</v>
      </c>
      <c r="M39" s="805">
        <f>'[13]1'!$C$38+'[13]1'!$E$38+'[13]1'!$G$38</f>
        <v>14947.895688641198</v>
      </c>
      <c r="N39" s="805">
        <f>'[13]1'!$D$38+'[13]1'!$F$38+'[13]1'!$H$38-0.02</f>
        <v>20421.936749799679</v>
      </c>
      <c r="O39" s="335">
        <f t="shared" ref="O39" si="33">M39-C39-E39-G39-I39-K39</f>
        <v>1.0139999969851488E-3</v>
      </c>
      <c r="P39" s="335">
        <f t="shared" ref="P39" si="34">N39-D39-F39-H39-J39-L39</f>
        <v>2.0000000000436557E-2</v>
      </c>
      <c r="Q39" s="381"/>
      <c r="R39" s="381"/>
      <c r="S39" s="381"/>
      <c r="T39" s="381"/>
      <c r="U39" s="381"/>
      <c r="V39" s="381"/>
      <c r="W39" s="381"/>
    </row>
    <row r="40" spans="1:23" s="327" customFormat="1" ht="20.25" customHeight="1">
      <c r="A40" s="432">
        <v>2020</v>
      </c>
      <c r="B40" s="553" t="s">
        <v>408</v>
      </c>
      <c r="C40" s="791">
        <f>'[14]1'!$C$14+'[14]1'!$C$18+'[14]1'!$C$30+'[14]1'!$C$33</f>
        <v>645.6371251379353</v>
      </c>
      <c r="D40" s="791">
        <f>'[14]1'!$D$14+'[14]1'!$D$18+'[14]1'!$D$30+'[14]1'!$D$33</f>
        <v>948.08336248313503</v>
      </c>
      <c r="E40" s="769">
        <f>SUM('[14]1'!$C$25:$C$29)</f>
        <v>8559.3539102494706</v>
      </c>
      <c r="F40" s="769">
        <f>SUM('[14]1'!$D$25:$D$29)</f>
        <v>3202.5357873618655</v>
      </c>
      <c r="G40" s="768">
        <f>SUM('[14]1'!$C$23:$C$24)</f>
        <v>1886.9037949764584</v>
      </c>
      <c r="H40" s="813">
        <f>SUM('[14]1'!$D$23:$D$24)</f>
        <v>389.72701188161551</v>
      </c>
      <c r="I40" s="769">
        <f>'[14]1'!$C$31+'[14]1'!$C$34+'[14]1'!$C$36+'[14]1'!$C$37</f>
        <v>3046.0933073100364</v>
      </c>
      <c r="J40" s="792">
        <f>'[14]1'!$D$31+'[14]1'!$D$34+'[14]1'!$D$36+'[14]1'!$D$37+0.01</f>
        <v>937.15933042396659</v>
      </c>
      <c r="K40" s="806">
        <f>'[14]1'!$E$38+'[14]1'!$G$38</f>
        <v>1261.268060599306</v>
      </c>
      <c r="L40" s="769">
        <f>'[14]1'!$F$38+'[14]1'!$H$38</f>
        <v>14206.312612137632</v>
      </c>
      <c r="M40" s="805">
        <f>'[14]1'!$C$38+'[14]1'!$E$38+'[14]1'!$G$38</f>
        <v>15399.257212273209</v>
      </c>
      <c r="N40" s="805">
        <f>'[14]1'!$D$38+'[14]1'!$F$38+'[14]1'!$H$38</f>
        <v>19683.808104288215</v>
      </c>
      <c r="O40" s="335">
        <f t="shared" ref="O40" si="35">M40-C40-E40-G40-I40-K40</f>
        <v>1.0140000022147433E-3</v>
      </c>
      <c r="P40" s="335">
        <f t="shared" ref="P40" si="36">N40-D40-F40-H40-J40-L40</f>
        <v>-1.0000000000218279E-2</v>
      </c>
      <c r="Q40" s="381"/>
      <c r="R40" s="381"/>
      <c r="S40" s="381"/>
      <c r="T40" s="381"/>
      <c r="U40" s="381"/>
      <c r="V40" s="381"/>
      <c r="W40" s="381"/>
    </row>
    <row r="41" spans="1:23" s="327" customFormat="1" ht="14.25" customHeight="1">
      <c r="A41" s="1085"/>
      <c r="B41" s="821" t="s">
        <v>409</v>
      </c>
      <c r="C41" s="791">
        <f>'[15]1'!$C$14+'[15]1'!$C$18+'[15]1'!$C$30+'[15]1'!$C$33</f>
        <v>749.39681091869284</v>
      </c>
      <c r="D41" s="791">
        <f>'[15]1'!$D$14+'[15]1'!$D$18+'[15]1'!$D$30+'[15]1'!$D$33</f>
        <v>795.63587996781996</v>
      </c>
      <c r="E41" s="769">
        <f>SUM('[15]1'!$C$25:$C$29)</f>
        <v>8666.2774934074241</v>
      </c>
      <c r="F41" s="769">
        <f>SUM('[15]1'!$D$25:$D$29)</f>
        <v>3036.1119773440796</v>
      </c>
      <c r="G41" s="768">
        <f>SUM('[15]1'!$C$23:$C$24)-0.05</f>
        <v>1786.4338949063356</v>
      </c>
      <c r="H41" s="813">
        <f>SUM('[15]1'!$D$23:$D$24)</f>
        <v>305.37587190599999</v>
      </c>
      <c r="I41" s="769">
        <f>'[15]1'!$C$31+'[15]1'!$C$34+'[15]1'!$C$36+'[15]1'!$C$37</f>
        <v>3179.3353479543225</v>
      </c>
      <c r="J41" s="792">
        <f>'[15]1'!$D$31+'[15]1'!$D$34+'[15]1'!$D$36+'[15]1'!$D$37</f>
        <v>782.71923266362705</v>
      </c>
      <c r="K41" s="806">
        <f>'[15]1'!$E$38+'[15]1'!$G$38</f>
        <v>1332.8661539434358</v>
      </c>
      <c r="L41" s="769">
        <f>'[15]1'!$F$38+'[15]1'!$H$38</f>
        <v>14933.637725228786</v>
      </c>
      <c r="M41" s="805">
        <f>'[15]1'!$C$38+'[15]1'!$E$38+'[15]1'!$G$38</f>
        <v>15714.331715130209</v>
      </c>
      <c r="N41" s="805">
        <f>'[15]1'!$D$38+'[15]1'!$F$38+'[15]1'!$H$38-0.05</f>
        <v>19853.430687110314</v>
      </c>
      <c r="O41" s="335">
        <f t="shared" ref="O41" si="37">M41-C41-E41-G41-I41-K41</f>
        <v>2.2013999997170686E-2</v>
      </c>
      <c r="P41" s="335">
        <f t="shared" ref="P41" si="38">N41-D41-F41-H41-J41-L41</f>
        <v>-4.9999999999272404E-2</v>
      </c>
      <c r="Q41" s="381"/>
      <c r="R41" s="381"/>
      <c r="S41" s="381"/>
      <c r="T41" s="381"/>
      <c r="U41" s="381"/>
      <c r="V41" s="381"/>
      <c r="W41" s="381"/>
    </row>
    <row r="42" spans="1:23" s="327" customFormat="1" ht="14.25" customHeight="1">
      <c r="A42" s="1085"/>
      <c r="B42" s="821" t="s">
        <v>398</v>
      </c>
      <c r="C42" s="791">
        <f>'[16]1'!$C$14+'[16]1'!$C$18+'[16]1'!$C$30+'[16]1'!$C$33-0.02</f>
        <v>697.34273878969293</v>
      </c>
      <c r="D42" s="791">
        <f>'[16]1'!$D$14+'[16]1'!$D$18+'[16]1'!$D$30+'[16]1'!$D$33</f>
        <v>787.59116186887002</v>
      </c>
      <c r="E42" s="769">
        <f>SUM('[16]1'!$C$25:$C$29)</f>
        <v>8583.7643762373245</v>
      </c>
      <c r="F42" s="769">
        <f>SUM('[16]1'!$D$25:$D$29)</f>
        <v>3203.2379760204212</v>
      </c>
      <c r="G42" s="768">
        <f>SUM('[16]1'!$C$23:$C$24)</f>
        <v>1877.3915165540002</v>
      </c>
      <c r="H42" s="813">
        <f>SUM('[16]1'!$D$23:$D$24)</f>
        <v>287.34848904499995</v>
      </c>
      <c r="I42" s="769">
        <f>'[16]1'!$C$31+'[16]1'!$C$34+'[16]1'!$C$36+'[16]1'!$C$37</f>
        <v>2729.0981762474671</v>
      </c>
      <c r="J42" s="792">
        <f>'[16]1'!$D$31+'[16]1'!$D$34+'[16]1'!$D$36+'[16]1'!$D$37</f>
        <v>951.77746790596916</v>
      </c>
      <c r="K42" s="806">
        <f>'[16]1'!$E$38+'[16]1'!$G$38</f>
        <v>1371.1379151028698</v>
      </c>
      <c r="L42" s="769">
        <f>'[16]1'!$F$38+'[16]1'!$H$38</f>
        <v>15263.670265669098</v>
      </c>
      <c r="M42" s="805">
        <f>'[16]1'!$C$38+'[16]1'!$E$38+'[16]1'!$G$38-0.02</f>
        <v>15258.735736931352</v>
      </c>
      <c r="N42" s="805">
        <f>'[16]1'!$D$38+'[16]1'!$F$38+'[16]1'!$H$38</f>
        <v>20493.625360509359</v>
      </c>
      <c r="O42" s="335">
        <f t="shared" ref="O42" si="39">M42-C42-E42-G42-I42-K42</f>
        <v>1.0139999969851488E-3</v>
      </c>
      <c r="P42" s="335">
        <f t="shared" ref="P42" si="40">N42-D42-F42-H42-J42-L42</f>
        <v>0</v>
      </c>
      <c r="Q42" s="381"/>
      <c r="R42" s="381"/>
      <c r="S42" s="381"/>
      <c r="T42" s="381"/>
      <c r="U42" s="381"/>
      <c r="V42" s="381"/>
      <c r="W42" s="381"/>
    </row>
    <row r="43" spans="1:23" s="327" customFormat="1" ht="14.25" customHeight="1">
      <c r="A43" s="1085"/>
      <c r="B43" s="821" t="s">
        <v>399</v>
      </c>
      <c r="C43" s="791">
        <f>'[17]1'!$C$14+'[17]1'!$C$18+'[17]1'!$C$30+'[17]1'!$C$33</f>
        <v>715.55195243369303</v>
      </c>
      <c r="D43" s="791">
        <f>'[17]1'!$D$14+'[17]1'!$D$18+'[17]1'!$D$30+'[17]1'!$D$33</f>
        <v>771.78429992439158</v>
      </c>
      <c r="E43" s="769">
        <f>SUM('[17]1'!$C$25:$C$29)</f>
        <v>8729.6647487263072</v>
      </c>
      <c r="F43" s="769">
        <f>SUM('[17]1'!$D$25:$D$29)</f>
        <v>3268.4902221606221</v>
      </c>
      <c r="G43" s="768">
        <f>SUM('[17]1'!$C$23:$C$24)-0.02</f>
        <v>1732.6386124334053</v>
      </c>
      <c r="H43" s="813">
        <f>SUM('[17]1'!$D$23:$D$24)</f>
        <v>268.48003408700004</v>
      </c>
      <c r="I43" s="769">
        <f>'[17]1'!$C$31+'[17]1'!$C$34+'[17]1'!$C$36+'[17]1'!$C$37</f>
        <v>2863.6327241393001</v>
      </c>
      <c r="J43" s="792">
        <f>'[17]1'!$D$31+'[17]1'!$D$34+'[17]1'!$D$36+'[17]1'!$D$37-0.02</f>
        <v>744.54073153542868</v>
      </c>
      <c r="K43" s="806">
        <f>'[17]1'!$E$38+'[17]1'!$G$38</f>
        <v>1289.2456973396813</v>
      </c>
      <c r="L43" s="769">
        <f>'[17]1'!$F$38+'[17]1'!$H$38</f>
        <v>15554.274835033557</v>
      </c>
      <c r="M43" s="805">
        <f>'[17]1'!$C$38+'[17]1'!$E$38+'[17]1'!$G$38-0.03</f>
        <v>15330.724749072388</v>
      </c>
      <c r="N43" s="805">
        <f>'[17]1'!$D$38+'[17]1'!$F$38+'[17]1'!$H$38</f>
        <v>20607.580456225798</v>
      </c>
      <c r="O43" s="335">
        <f t="shared" ref="O43" si="41">M43-C43-E43-G43-I43-K43</f>
        <v>-8.9859999991404038E-3</v>
      </c>
      <c r="P43" s="335">
        <f t="shared" ref="P43" si="42">N43-D43-F43-H43-J43-L43</f>
        <v>1.0333484799048165E-2</v>
      </c>
      <c r="Q43" s="381"/>
      <c r="R43" s="381"/>
      <c r="S43" s="381"/>
      <c r="T43" s="381"/>
      <c r="U43" s="381"/>
      <c r="V43" s="381"/>
      <c r="W43" s="381"/>
    </row>
    <row r="44" spans="1:23" ht="20.25" customHeight="1">
      <c r="A44" s="236"/>
      <c r="B44" s="236"/>
      <c r="C44" s="236"/>
      <c r="D44" s="236"/>
      <c r="E44" s="236"/>
      <c r="F44" s="236"/>
      <c r="G44" s="236"/>
      <c r="H44" s="236"/>
      <c r="I44" s="236"/>
      <c r="J44" s="236"/>
      <c r="K44" s="236"/>
      <c r="L44" s="236"/>
      <c r="M44" s="236"/>
      <c r="N44" s="235"/>
    </row>
    <row r="45" spans="1:23">
      <c r="C45" s="1752"/>
      <c r="D45" s="1752"/>
      <c r="E45" s="1752"/>
      <c r="F45" s="1752"/>
      <c r="G45" s="1752"/>
      <c r="H45" s="1752"/>
      <c r="I45" s="1752"/>
      <c r="J45" s="1752"/>
      <c r="K45" s="1752"/>
      <c r="L45" s="1752"/>
      <c r="M45" s="1752"/>
      <c r="N45" s="1752"/>
    </row>
    <row r="46" spans="1:23">
      <c r="B46" s="3"/>
      <c r="C46" s="1752"/>
      <c r="D46" s="1752"/>
      <c r="E46" s="1752"/>
      <c r="F46" s="1752"/>
      <c r="G46" s="1752"/>
      <c r="H46" s="1752"/>
      <c r="I46" s="1752"/>
      <c r="J46" s="1752"/>
      <c r="K46" s="1752"/>
      <c r="L46" s="1752"/>
      <c r="M46" s="1752"/>
      <c r="N46" s="1752"/>
      <c r="P46" s="1753"/>
    </row>
    <row r="47" spans="1:23" ht="14.25">
      <c r="A47" s="340" t="s">
        <v>860</v>
      </c>
      <c r="B47" s="3"/>
      <c r="C47" s="3"/>
      <c r="D47" s="3"/>
      <c r="E47" s="3"/>
      <c r="F47" s="3"/>
      <c r="G47" s="3"/>
      <c r="H47" s="3"/>
      <c r="I47" s="3"/>
      <c r="J47" s="3"/>
      <c r="K47" s="3"/>
      <c r="L47" s="3"/>
      <c r="M47" s="3"/>
      <c r="N47" s="3"/>
    </row>
    <row r="49" spans="1:1">
      <c r="A49" s="642" t="str">
        <f ca="1">CELL("filename")</f>
        <v>C:\Users\Nehal\AppData\Local\Microsoft\Windows\INetCache\Content.Outlook\A316V2T1\[Samah Dec2020.xlsx]FinalReview-N</v>
      </c>
    </row>
    <row r="50" spans="1:1">
      <c r="A50" s="157">
        <f ca="1">NOW()</f>
        <v>44354.906948611111</v>
      </c>
    </row>
  </sheetData>
  <mergeCells count="2">
    <mergeCell ref="K8:L10"/>
    <mergeCell ref="M8:N10"/>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V56"/>
  <sheetViews>
    <sheetView zoomScale="85" zoomScaleNormal="85" workbookViewId="0">
      <pane ySplit="12" topLeftCell="A41" activePane="bottomLeft" state="frozen"/>
      <selection activeCell="A49" sqref="A1:XFD1048576"/>
      <selection pane="bottomLeft" activeCell="A49" sqref="A1:XFD1048576"/>
    </sheetView>
  </sheetViews>
  <sheetFormatPr defaultColWidth="7.85546875" defaultRowHeight="12.75" outlineLevelCol="2"/>
  <cols>
    <col min="1" max="1" width="9.28515625" style="6" customWidth="1" outlineLevel="1" collapsed="1"/>
    <col min="2" max="2" width="9.28515625" style="6" customWidth="1" outlineLevel="2" collapsed="1"/>
    <col min="3" max="16" width="11.7109375" style="6" customWidth="1"/>
    <col min="17" max="17" width="13.85546875" style="6" customWidth="1"/>
    <col min="18" max="16384" width="7.85546875" style="6"/>
  </cols>
  <sheetData>
    <row r="1" spans="1:17" ht="18" customHeight="1">
      <c r="A1" s="18" t="s">
        <v>861</v>
      </c>
      <c r="B1" s="1"/>
      <c r="C1" s="1"/>
      <c r="D1" s="1"/>
      <c r="E1" s="1"/>
      <c r="F1" s="1"/>
      <c r="G1" s="1"/>
      <c r="H1" s="1"/>
      <c r="I1" s="1"/>
      <c r="J1" s="1"/>
      <c r="K1" s="1"/>
      <c r="L1" s="1"/>
      <c r="M1" s="1"/>
      <c r="N1" s="1"/>
      <c r="O1" s="1"/>
      <c r="P1" s="1"/>
      <c r="Q1" s="1"/>
    </row>
    <row r="2" spans="1:17" ht="18" customHeight="1">
      <c r="A2" s="18" t="s">
        <v>797</v>
      </c>
      <c r="B2" s="1"/>
      <c r="C2" s="1"/>
      <c r="D2" s="1"/>
      <c r="E2" s="1"/>
      <c r="F2" s="1"/>
      <c r="G2" s="1"/>
      <c r="H2" s="1"/>
      <c r="I2" s="1"/>
      <c r="J2" s="1"/>
      <c r="K2" s="1"/>
      <c r="L2" s="1"/>
      <c r="M2" s="1"/>
      <c r="N2" s="1"/>
      <c r="O2" s="1"/>
      <c r="P2" s="1"/>
      <c r="Q2" s="1"/>
    </row>
    <row r="3" spans="1:17" ht="18" customHeight="1">
      <c r="A3" s="18" t="s">
        <v>798</v>
      </c>
      <c r="B3" s="1"/>
      <c r="C3" s="1"/>
      <c r="D3" s="1"/>
      <c r="E3" s="1"/>
      <c r="F3" s="1"/>
      <c r="G3" s="1"/>
      <c r="H3" s="1"/>
      <c r="I3" s="1"/>
      <c r="J3" s="1"/>
      <c r="K3" s="1"/>
      <c r="L3" s="1"/>
      <c r="M3" s="1"/>
      <c r="N3" s="1"/>
      <c r="O3" s="206"/>
      <c r="P3" s="1716"/>
      <c r="Q3" s="8"/>
    </row>
    <row r="4" spans="1:17" ht="18" customHeight="1">
      <c r="A4" s="1471" t="s">
        <v>41</v>
      </c>
      <c r="B4" s="1"/>
      <c r="C4" s="1"/>
      <c r="D4" s="1"/>
      <c r="E4" s="1"/>
      <c r="F4" s="1"/>
      <c r="G4" s="1"/>
      <c r="H4" s="1"/>
      <c r="I4" s="1"/>
      <c r="J4" s="1"/>
      <c r="K4" s="1"/>
      <c r="L4" s="1"/>
      <c r="M4" s="1"/>
      <c r="N4" s="1"/>
      <c r="O4" s="1"/>
      <c r="P4" s="1"/>
      <c r="Q4" s="1"/>
    </row>
    <row r="5" spans="1:17" ht="18" customHeight="1">
      <c r="A5" s="1471" t="s">
        <v>40</v>
      </c>
      <c r="B5" s="1"/>
      <c r="C5" s="1"/>
      <c r="D5" s="1"/>
      <c r="E5" s="1"/>
      <c r="F5" s="1"/>
      <c r="G5" s="1"/>
      <c r="H5" s="1"/>
      <c r="I5" s="1"/>
      <c r="J5" s="1"/>
      <c r="K5" s="1"/>
      <c r="L5" s="1"/>
      <c r="M5" s="1"/>
      <c r="N5" s="1"/>
      <c r="O5" s="1"/>
      <c r="P5" s="1"/>
      <c r="Q5" s="1"/>
    </row>
    <row r="6" spans="1:17" ht="14.25" customHeight="1">
      <c r="A6" s="9" t="s">
        <v>354</v>
      </c>
      <c r="B6" s="8"/>
      <c r="P6" s="184"/>
      <c r="Q6" s="184" t="s">
        <v>355</v>
      </c>
    </row>
    <row r="7" spans="1:17" s="52" customFormat="1" ht="18" customHeight="1">
      <c r="A7" s="49"/>
      <c r="B7" s="50"/>
      <c r="C7" s="284" t="s">
        <v>862</v>
      </c>
      <c r="D7" s="133"/>
      <c r="E7" s="133"/>
      <c r="F7" s="133"/>
      <c r="G7" s="133"/>
      <c r="H7" s="133"/>
      <c r="I7" s="1491"/>
      <c r="J7" s="1717"/>
      <c r="K7" s="1491"/>
      <c r="L7" s="1473" t="s">
        <v>863</v>
      </c>
      <c r="M7" s="50"/>
      <c r="N7" s="48"/>
      <c r="O7" s="1718"/>
      <c r="P7" s="108"/>
      <c r="Q7" s="88"/>
    </row>
    <row r="8" spans="1:17" s="44" customFormat="1" ht="18" customHeight="1">
      <c r="A8" s="68"/>
      <c r="B8" s="66"/>
      <c r="C8" s="105" t="s">
        <v>376</v>
      </c>
      <c r="D8" s="61"/>
      <c r="E8" s="63" t="s">
        <v>864</v>
      </c>
      <c r="F8" s="72"/>
      <c r="G8" s="125"/>
      <c r="H8" s="125"/>
      <c r="I8" s="72" t="s">
        <v>481</v>
      </c>
      <c r="J8" s="106"/>
      <c r="K8" s="871" t="s">
        <v>367</v>
      </c>
      <c r="L8" s="121"/>
      <c r="M8" s="61" t="s">
        <v>865</v>
      </c>
      <c r="N8" s="60"/>
      <c r="O8" s="66" t="s">
        <v>866</v>
      </c>
      <c r="P8" s="66"/>
      <c r="Q8" s="80"/>
    </row>
    <row r="9" spans="1:17" s="44" customFormat="1" ht="18" customHeight="1">
      <c r="A9" s="27" t="s">
        <v>364</v>
      </c>
      <c r="B9" s="80"/>
      <c r="C9" s="105" t="s">
        <v>803</v>
      </c>
      <c r="D9" s="66"/>
      <c r="E9" s="68" t="s">
        <v>446</v>
      </c>
      <c r="F9" s="60"/>
      <c r="G9" s="61" t="s">
        <v>547</v>
      </c>
      <c r="H9" s="60"/>
      <c r="I9" s="61" t="s">
        <v>867</v>
      </c>
      <c r="J9" s="60"/>
      <c r="K9" s="61" t="s">
        <v>378</v>
      </c>
      <c r="L9" s="60"/>
      <c r="M9" s="61" t="s">
        <v>868</v>
      </c>
      <c r="N9" s="60"/>
      <c r="O9" s="66" t="s">
        <v>869</v>
      </c>
      <c r="P9" s="61"/>
      <c r="Q9" s="60"/>
    </row>
    <row r="10" spans="1:17" s="44" customFormat="1" ht="18" customHeight="1">
      <c r="A10" s="89" t="s">
        <v>372</v>
      </c>
      <c r="B10" s="66"/>
      <c r="C10" s="309"/>
      <c r="D10" s="81"/>
      <c r="E10" s="68" t="s">
        <v>453</v>
      </c>
      <c r="F10" s="60"/>
      <c r="G10" s="61" t="s">
        <v>459</v>
      </c>
      <c r="H10" s="60"/>
      <c r="I10" s="61" t="s">
        <v>870</v>
      </c>
      <c r="J10" s="60"/>
      <c r="K10" s="309"/>
      <c r="L10" s="60"/>
      <c r="M10" s="75"/>
      <c r="N10" s="57"/>
      <c r="O10" s="61"/>
      <c r="P10" s="61"/>
      <c r="Q10" s="64"/>
    </row>
    <row r="11" spans="1:17" s="153" customFormat="1" ht="18" customHeight="1">
      <c r="A11" s="152"/>
      <c r="B11" s="104"/>
      <c r="C11" s="310" t="s">
        <v>855</v>
      </c>
      <c r="D11" s="311" t="s">
        <v>374</v>
      </c>
      <c r="E11" s="310" t="s">
        <v>855</v>
      </c>
      <c r="F11" s="311" t="s">
        <v>374</v>
      </c>
      <c r="G11" s="310" t="s">
        <v>855</v>
      </c>
      <c r="H11" s="311" t="s">
        <v>374</v>
      </c>
      <c r="I11" s="310" t="s">
        <v>855</v>
      </c>
      <c r="J11" s="311" t="s">
        <v>374</v>
      </c>
      <c r="K11" s="310" t="s">
        <v>855</v>
      </c>
      <c r="L11" s="311" t="s">
        <v>374</v>
      </c>
      <c r="M11" s="310" t="s">
        <v>855</v>
      </c>
      <c r="N11" s="311" t="s">
        <v>374</v>
      </c>
      <c r="O11" s="310" t="s">
        <v>855</v>
      </c>
      <c r="P11" s="311" t="s">
        <v>374</v>
      </c>
      <c r="Q11" s="70" t="s">
        <v>367</v>
      </c>
    </row>
    <row r="12" spans="1:17" s="44" customFormat="1" ht="18" customHeight="1">
      <c r="A12" s="53"/>
      <c r="B12" s="72"/>
      <c r="C12" s="73" t="s">
        <v>137</v>
      </c>
      <c r="D12" s="55" t="s">
        <v>856</v>
      </c>
      <c r="E12" s="58" t="s">
        <v>137</v>
      </c>
      <c r="F12" s="58" t="s">
        <v>856</v>
      </c>
      <c r="G12" s="58" t="s">
        <v>137</v>
      </c>
      <c r="H12" s="58" t="s">
        <v>856</v>
      </c>
      <c r="I12" s="58" t="s">
        <v>137</v>
      </c>
      <c r="J12" s="58" t="s">
        <v>856</v>
      </c>
      <c r="K12" s="58" t="s">
        <v>137</v>
      </c>
      <c r="L12" s="58" t="s">
        <v>856</v>
      </c>
      <c r="M12" s="58" t="s">
        <v>137</v>
      </c>
      <c r="N12" s="58" t="s">
        <v>856</v>
      </c>
      <c r="O12" s="58" t="s">
        <v>137</v>
      </c>
      <c r="P12" s="58" t="s">
        <v>856</v>
      </c>
      <c r="Q12" s="58" t="s">
        <v>378</v>
      </c>
    </row>
    <row r="13" spans="1:17" s="327" customFormat="1" ht="20.25" customHeight="1">
      <c r="A13" s="432">
        <v>2010</v>
      </c>
      <c r="B13" s="553"/>
      <c r="C13" s="806">
        <v>1308.6475986779701</v>
      </c>
      <c r="D13" s="806">
        <v>319.16948633355003</v>
      </c>
      <c r="E13" s="806">
        <v>1502.2206117072667</v>
      </c>
      <c r="F13" s="806">
        <v>452.10128815017754</v>
      </c>
      <c r="G13" s="806">
        <v>1323.1707610703602</v>
      </c>
      <c r="H13" s="870">
        <v>125.79063231781998</v>
      </c>
      <c r="I13" s="767">
        <v>2983.4644253722799</v>
      </c>
      <c r="J13" s="806">
        <v>1050.3860903571165</v>
      </c>
      <c r="K13" s="767">
        <f t="shared" ref="K13:K17" si="0">C13+E13+G13+I13</f>
        <v>7117.5033968278767</v>
      </c>
      <c r="L13" s="806">
        <f>D13+F13+H13+J13+0.01</f>
        <v>1947.457497158664</v>
      </c>
      <c r="M13" s="870">
        <v>170.93789419923633</v>
      </c>
      <c r="N13" s="788">
        <v>1524.5882337046817</v>
      </c>
      <c r="O13" s="788">
        <v>7288.441291027113</v>
      </c>
      <c r="P13" s="788">
        <v>3472.0857308633458</v>
      </c>
      <c r="Q13" s="788">
        <v>10760.47702189046</v>
      </c>
    </row>
    <row r="14" spans="1:17" s="435" customFormat="1" ht="14.25" customHeight="1">
      <c r="A14" s="380">
        <v>2011</v>
      </c>
      <c r="B14" s="1378"/>
      <c r="C14" s="1719">
        <v>1556.16884913688</v>
      </c>
      <c r="D14" s="1719">
        <v>226.57153637152999</v>
      </c>
      <c r="E14" s="1719">
        <v>1547.1787541570645</v>
      </c>
      <c r="F14" s="1719">
        <v>687.47750350158356</v>
      </c>
      <c r="G14" s="1719">
        <v>1307.5062747923755</v>
      </c>
      <c r="H14" s="1720">
        <v>106.99917434850003</v>
      </c>
      <c r="I14" s="1721">
        <v>2877.7831237152423</v>
      </c>
      <c r="J14" s="1719">
        <v>1101.9360302555663</v>
      </c>
      <c r="K14" s="1721">
        <f>C14+E14+G14+I14+0.02</f>
        <v>7288.6570018015627</v>
      </c>
      <c r="L14" s="1719">
        <f t="shared" ref="L14:L18" si="1">D14+F14+H14+J14</f>
        <v>2122.9842444771798</v>
      </c>
      <c r="M14" s="1720">
        <v>251.1285281917545</v>
      </c>
      <c r="N14" s="1722">
        <v>2278.8924093473429</v>
      </c>
      <c r="O14" s="1722">
        <v>7539.762529993317</v>
      </c>
      <c r="P14" s="1722">
        <v>4401.8966538245231</v>
      </c>
      <c r="Q14" s="1722">
        <v>11941.659183817839</v>
      </c>
    </row>
    <row r="15" spans="1:17" s="435" customFormat="1" ht="14.25" customHeight="1">
      <c r="A15" s="380">
        <v>2012</v>
      </c>
      <c r="B15" s="1378"/>
      <c r="C15" s="1719">
        <v>1797.9103931323498</v>
      </c>
      <c r="D15" s="1719">
        <v>170.13048565420709</v>
      </c>
      <c r="E15" s="1719">
        <v>1569.1258188786451</v>
      </c>
      <c r="F15" s="1719">
        <v>620.59759568519462</v>
      </c>
      <c r="G15" s="1719">
        <v>1619.6871312909807</v>
      </c>
      <c r="H15" s="1720">
        <v>111.13161018064004</v>
      </c>
      <c r="I15" s="1721">
        <v>2895.3677008455479</v>
      </c>
      <c r="J15" s="1719">
        <v>1164.3354288193968</v>
      </c>
      <c r="K15" s="1721">
        <f t="shared" si="0"/>
        <v>7882.0910441475235</v>
      </c>
      <c r="L15" s="1719">
        <f>D15+F15+H15+J15-0.1</f>
        <v>2066.0951203394384</v>
      </c>
      <c r="M15" s="1720">
        <v>188.64716176377979</v>
      </c>
      <c r="N15" s="1722">
        <v>2816.7542907690417</v>
      </c>
      <c r="O15" s="1722">
        <v>8070.7382059113033</v>
      </c>
      <c r="P15" s="1722">
        <v>4882.8994111084812</v>
      </c>
      <c r="Q15" s="1722">
        <v>12953.637617019785</v>
      </c>
    </row>
    <row r="16" spans="1:17" s="435" customFormat="1" ht="14.25" customHeight="1">
      <c r="A16" s="380">
        <v>2013</v>
      </c>
      <c r="B16" s="1378"/>
      <c r="C16" s="1719">
        <v>1809.7895648220001</v>
      </c>
      <c r="D16" s="1719">
        <v>165.36161861299999</v>
      </c>
      <c r="E16" s="1719">
        <v>1799.7892508809998</v>
      </c>
      <c r="F16" s="1719">
        <v>534.9333996546975</v>
      </c>
      <c r="G16" s="1719">
        <v>1834.7114484029998</v>
      </c>
      <c r="H16" s="1720">
        <v>117.924708376</v>
      </c>
      <c r="I16" s="1721">
        <v>3129.0554168500003</v>
      </c>
      <c r="J16" s="1719">
        <v>1281.5628087520001</v>
      </c>
      <c r="K16" s="1721">
        <f>C16+E16+G16+I16+0.01</f>
        <v>8573.3556809560014</v>
      </c>
      <c r="L16" s="1719">
        <f t="shared" si="1"/>
        <v>2099.7825353956978</v>
      </c>
      <c r="M16" s="1720">
        <v>189.96882283799999</v>
      </c>
      <c r="N16" s="1722">
        <v>4065.5952140363852</v>
      </c>
      <c r="O16" s="1722">
        <v>8763.3645037939987</v>
      </c>
      <c r="P16" s="1722">
        <v>6165.3777494320821</v>
      </c>
      <c r="Q16" s="1722">
        <v>14928.792253226084</v>
      </c>
    </row>
    <row r="17" spans="1:22" s="435" customFormat="1" ht="14.25" customHeight="1">
      <c r="A17" s="380">
        <v>2014</v>
      </c>
      <c r="B17" s="1378"/>
      <c r="C17" s="1719">
        <v>1714.203235429</v>
      </c>
      <c r="D17" s="1719">
        <v>164.92444879741998</v>
      </c>
      <c r="E17" s="1719">
        <v>1975.5588367181581</v>
      </c>
      <c r="F17" s="1719">
        <v>626.30340113396289</v>
      </c>
      <c r="G17" s="1719">
        <v>2095.3980543080897</v>
      </c>
      <c r="H17" s="1720">
        <v>146.06780562385799</v>
      </c>
      <c r="I17" s="1721">
        <v>3253.4236309580001</v>
      </c>
      <c r="J17" s="1719">
        <v>1165.5019795356361</v>
      </c>
      <c r="K17" s="1721">
        <f t="shared" si="0"/>
        <v>9038.5837574132493</v>
      </c>
      <c r="L17" s="1719">
        <f t="shared" si="1"/>
        <v>2102.7976350908771</v>
      </c>
      <c r="M17" s="1720">
        <v>213.49642814516801</v>
      </c>
      <c r="N17" s="1722">
        <v>4243.2459284253646</v>
      </c>
      <c r="O17" s="1722">
        <v>9252.0801855584159</v>
      </c>
      <c r="P17" s="1722">
        <v>6346.0435635162412</v>
      </c>
      <c r="Q17" s="1722">
        <v>15598.123749074657</v>
      </c>
    </row>
    <row r="18" spans="1:22" s="435" customFormat="1" ht="14.25" customHeight="1">
      <c r="A18" s="380">
        <v>2015</v>
      </c>
      <c r="B18" s="1378"/>
      <c r="C18" s="1719">
        <v>1672.281885678</v>
      </c>
      <c r="D18" s="1719">
        <v>179.36352555399998</v>
      </c>
      <c r="E18" s="1719">
        <v>2110.35265351</v>
      </c>
      <c r="F18" s="1719">
        <v>658.80836530932595</v>
      </c>
      <c r="G18" s="1719">
        <v>2355.6805967839755</v>
      </c>
      <c r="H18" s="1720">
        <v>157.191641207</v>
      </c>
      <c r="I18" s="1721">
        <v>2979.7970079750003</v>
      </c>
      <c r="J18" s="1719">
        <v>1255.8425372090001</v>
      </c>
      <c r="K18" s="1721">
        <f>C18+E18+G18+I18+0.05</f>
        <v>9118.1621439469745</v>
      </c>
      <c r="L18" s="1719">
        <f t="shared" si="1"/>
        <v>2251.2060692793257</v>
      </c>
      <c r="M18" s="1720">
        <v>152.737800349</v>
      </c>
      <c r="N18" s="1722">
        <v>4829.9228227470003</v>
      </c>
      <c r="O18" s="1722">
        <v>9270.8799442959753</v>
      </c>
      <c r="P18" s="1722">
        <v>7081.128892026326</v>
      </c>
      <c r="Q18" s="1722">
        <v>16351.978836322302</v>
      </c>
    </row>
    <row r="19" spans="1:22" s="435" customFormat="1" ht="14.25" customHeight="1">
      <c r="A19" s="380">
        <v>2016</v>
      </c>
      <c r="B19" s="1378"/>
      <c r="C19" s="1719">
        <v>1548.9306743479999</v>
      </c>
      <c r="D19" s="1719">
        <v>299.88302245900002</v>
      </c>
      <c r="E19" s="1719">
        <v>2138.2177681282806</v>
      </c>
      <c r="F19" s="1719">
        <v>642.39612286427302</v>
      </c>
      <c r="G19" s="1719">
        <v>2443.1577384605698</v>
      </c>
      <c r="H19" s="1720">
        <v>183.89637760749</v>
      </c>
      <c r="I19" s="1721">
        <v>2815.1366956491897</v>
      </c>
      <c r="J19" s="1719">
        <v>1409.8092395999436</v>
      </c>
      <c r="K19" s="1721">
        <v>8945.4428765860393</v>
      </c>
      <c r="L19" s="1719">
        <v>2535.9847625307066</v>
      </c>
      <c r="M19" s="1720">
        <v>158.0261041832</v>
      </c>
      <c r="N19" s="1722">
        <v>4928.5634138900705</v>
      </c>
      <c r="O19" s="1722">
        <v>9103.4489807692389</v>
      </c>
      <c r="P19" s="1722">
        <v>7464.5681764207766</v>
      </c>
      <c r="Q19" s="1722">
        <v>16568.017157190017</v>
      </c>
    </row>
    <row r="20" spans="1:22" s="435" customFormat="1" ht="14.25" customHeight="1">
      <c r="A20" s="380">
        <v>2017</v>
      </c>
      <c r="B20" s="1378"/>
      <c r="C20" s="1719">
        <v>1658.5401377600001</v>
      </c>
      <c r="D20" s="1719">
        <v>257.598066604</v>
      </c>
      <c r="E20" s="1719">
        <v>2134.9269323283997</v>
      </c>
      <c r="F20" s="1719">
        <v>693.18820968432033</v>
      </c>
      <c r="G20" s="1719">
        <v>2741.7006905260005</v>
      </c>
      <c r="H20" s="1720">
        <v>229.279125158</v>
      </c>
      <c r="I20" s="1721">
        <v>2619.4627705481503</v>
      </c>
      <c r="J20" s="1719">
        <v>1649.1425237341805</v>
      </c>
      <c r="K20" s="1721">
        <v>9154.6305311625511</v>
      </c>
      <c r="L20" s="1719">
        <v>2829.2079251805008</v>
      </c>
      <c r="M20" s="1720">
        <v>172.2957792652</v>
      </c>
      <c r="N20" s="1722">
        <v>4827.4509329550283</v>
      </c>
      <c r="O20" s="1722">
        <v>9326.9063104277502</v>
      </c>
      <c r="P20" s="1722">
        <v>7656.6788581355286</v>
      </c>
      <c r="Q20" s="1722">
        <v>16983.585168563281</v>
      </c>
    </row>
    <row r="21" spans="1:22" s="411" customFormat="1" ht="14.25" customHeight="1">
      <c r="A21" s="905">
        <v>2018</v>
      </c>
      <c r="B21" s="906"/>
      <c r="C21" s="1723">
        <f t="shared" ref="C21:J21" si="2">C25</f>
        <v>1480.339986448</v>
      </c>
      <c r="D21" s="754">
        <f t="shared" si="2"/>
        <v>290.56115872099997</v>
      </c>
      <c r="E21" s="754">
        <f t="shared" si="2"/>
        <v>2134.0426124744909</v>
      </c>
      <c r="F21" s="1724">
        <f t="shared" si="2"/>
        <v>759.88987518958083</v>
      </c>
      <c r="G21" s="754">
        <f t="shared" si="2"/>
        <v>2696.6852895997249</v>
      </c>
      <c r="H21" s="789">
        <f t="shared" si="2"/>
        <v>195.01292367800005</v>
      </c>
      <c r="I21" s="969">
        <f t="shared" si="2"/>
        <v>2688.1539384421294</v>
      </c>
      <c r="J21" s="754">
        <f t="shared" si="2"/>
        <v>1843.3839913000925</v>
      </c>
      <c r="K21" s="969">
        <f t="shared" ref="K21" si="3">C21+E21+G21+I21</f>
        <v>8999.2218269643454</v>
      </c>
      <c r="L21" s="754">
        <f t="shared" ref="L21" si="4">D21+F21+H21+J21</f>
        <v>3088.8479488886733</v>
      </c>
      <c r="M21" s="789">
        <f>M25</f>
        <v>199.76937123637001</v>
      </c>
      <c r="N21" s="764">
        <f>N25</f>
        <v>5565.815441740473</v>
      </c>
      <c r="O21" s="1725">
        <f>O25</f>
        <v>9199.0011982007181</v>
      </c>
      <c r="P21" s="1725">
        <f>P25</f>
        <v>8654.6633906291463</v>
      </c>
      <c r="Q21" s="1725">
        <f>Q25</f>
        <v>17853.664588829866</v>
      </c>
    </row>
    <row r="22" spans="1:22" s="411" customFormat="1" ht="14.25" customHeight="1">
      <c r="A22" s="1193">
        <v>2019</v>
      </c>
      <c r="B22" s="1483"/>
      <c r="C22" s="1726">
        <f t="shared" ref="C22:J22" si="5">C29</f>
        <v>1257.1342190884593</v>
      </c>
      <c r="D22" s="1727">
        <f t="shared" si="5"/>
        <v>358.38801689204217</v>
      </c>
      <c r="E22" s="1727">
        <f t="shared" si="5"/>
        <v>2091.7532694730303</v>
      </c>
      <c r="F22" s="1728">
        <f t="shared" si="5"/>
        <v>886.74787459117942</v>
      </c>
      <c r="G22" s="1727">
        <f t="shared" si="5"/>
        <v>3048.325487999055</v>
      </c>
      <c r="H22" s="1729">
        <f t="shared" si="5"/>
        <v>191.01886261499988</v>
      </c>
      <c r="I22" s="1656">
        <f t="shared" si="5"/>
        <v>3302.7551202315435</v>
      </c>
      <c r="J22" s="1727">
        <f t="shared" si="5"/>
        <v>1996.459685033853</v>
      </c>
      <c r="K22" s="1656">
        <f t="shared" ref="K22" si="6">C22+E22+G22+I22</f>
        <v>9699.9680967920867</v>
      </c>
      <c r="L22" s="1727">
        <f t="shared" ref="L22" si="7">D22+F22+H22+J22</f>
        <v>3432.6144391320745</v>
      </c>
      <c r="M22" s="1729">
        <f>M29</f>
        <v>210.41152702788196</v>
      </c>
      <c r="N22" s="1730">
        <f>N29</f>
        <v>4621.4441194674582</v>
      </c>
      <c r="O22" s="1731">
        <f>O29</f>
        <v>9910.3526238199702</v>
      </c>
      <c r="P22" s="1731">
        <f>P29</f>
        <v>8054.048558599533</v>
      </c>
      <c r="Q22" s="1731">
        <f>Q29</f>
        <v>17964.401182419504</v>
      </c>
    </row>
    <row r="23" spans="1:22" s="411" customFormat="1" ht="20.25" customHeight="1">
      <c r="A23" s="905">
        <v>2018</v>
      </c>
      <c r="B23" s="906" t="s">
        <v>223</v>
      </c>
      <c r="C23" s="1723">
        <v>1535.7103085879999</v>
      </c>
      <c r="D23" s="754">
        <v>227.027955332</v>
      </c>
      <c r="E23" s="754">
        <v>2150.7195114915821</v>
      </c>
      <c r="F23" s="1724">
        <v>647.01360159056549</v>
      </c>
      <c r="G23" s="754">
        <v>2763.5316237579982</v>
      </c>
      <c r="H23" s="789">
        <v>200.69433918499999</v>
      </c>
      <c r="I23" s="969">
        <v>2646.0274031776553</v>
      </c>
      <c r="J23" s="754">
        <v>1635.5617077631127</v>
      </c>
      <c r="K23" s="969">
        <v>9095.9388470152371</v>
      </c>
      <c r="L23" s="754">
        <v>2710.2776038706775</v>
      </c>
      <c r="M23" s="789">
        <v>170.7897235392</v>
      </c>
      <c r="N23" s="764">
        <v>5654.1725162486846</v>
      </c>
      <c r="O23" s="1725">
        <v>9266.748570554435</v>
      </c>
      <c r="P23" s="764">
        <v>8364.4501201193616</v>
      </c>
      <c r="Q23" s="764">
        <v>17631.228690673797</v>
      </c>
    </row>
    <row r="24" spans="1:22" s="411" customFormat="1" ht="14.25" customHeight="1">
      <c r="A24" s="905"/>
      <c r="B24" s="906" t="s">
        <v>224</v>
      </c>
      <c r="C24" s="1723">
        <v>1475.5802309129999</v>
      </c>
      <c r="D24" s="754">
        <v>233.90461142099997</v>
      </c>
      <c r="E24" s="754">
        <v>2130.0832378377017</v>
      </c>
      <c r="F24" s="1724">
        <v>719.33536437256748</v>
      </c>
      <c r="G24" s="754">
        <v>2715.8969848130018</v>
      </c>
      <c r="H24" s="789">
        <v>208.77195777200001</v>
      </c>
      <c r="I24" s="969">
        <v>2673.0417726336991</v>
      </c>
      <c r="J24" s="754">
        <v>1731.7600937685115</v>
      </c>
      <c r="K24" s="969">
        <v>8994.6222261974017</v>
      </c>
      <c r="L24" s="754">
        <v>2893.7920273340787</v>
      </c>
      <c r="M24" s="789">
        <v>206.42793164920002</v>
      </c>
      <c r="N24" s="764">
        <v>5676.3621490663381</v>
      </c>
      <c r="O24" s="1725">
        <v>9201.0401578466008</v>
      </c>
      <c r="P24" s="1725">
        <v>8570.1541764004178</v>
      </c>
      <c r="Q24" s="1725">
        <v>17771.204334247017</v>
      </c>
    </row>
    <row r="25" spans="1:22" s="411" customFormat="1" ht="14.25" customHeight="1">
      <c r="A25" s="905"/>
      <c r="B25" s="906" t="s">
        <v>225</v>
      </c>
      <c r="C25" s="1723">
        <v>1480.339986448</v>
      </c>
      <c r="D25" s="754">
        <v>290.56115872099997</v>
      </c>
      <c r="E25" s="754">
        <v>2134.0426124744909</v>
      </c>
      <c r="F25" s="1724">
        <v>759.88987518958083</v>
      </c>
      <c r="G25" s="754">
        <v>2696.6852895997249</v>
      </c>
      <c r="H25" s="789">
        <v>195.01292367800005</v>
      </c>
      <c r="I25" s="969">
        <v>2688.1539384421294</v>
      </c>
      <c r="J25" s="754">
        <v>1843.3839913000925</v>
      </c>
      <c r="K25" s="969">
        <v>8999.2318269643474</v>
      </c>
      <c r="L25" s="754">
        <v>3088.8579488886735</v>
      </c>
      <c r="M25" s="789">
        <v>199.76937123637001</v>
      </c>
      <c r="N25" s="764">
        <v>5565.815441740473</v>
      </c>
      <c r="O25" s="1725">
        <v>9199.0011982007181</v>
      </c>
      <c r="P25" s="1725">
        <v>8654.6633906291463</v>
      </c>
      <c r="Q25" s="1725">
        <v>17853.664588829866</v>
      </c>
    </row>
    <row r="26" spans="1:22" s="411" customFormat="1" ht="20.25" customHeight="1">
      <c r="A26" s="905">
        <v>2019</v>
      </c>
      <c r="B26" s="906" t="s">
        <v>222</v>
      </c>
      <c r="C26" s="1723">
        <v>1505.31682673</v>
      </c>
      <c r="D26" s="754">
        <v>329.55831707699997</v>
      </c>
      <c r="E26" s="754">
        <v>2191.6959393588172</v>
      </c>
      <c r="F26" s="1724">
        <v>774.48876756242976</v>
      </c>
      <c r="G26" s="754">
        <v>2865.59630897547</v>
      </c>
      <c r="H26" s="789">
        <v>199.12035171700001</v>
      </c>
      <c r="I26" s="969">
        <v>2907.0499317535796</v>
      </c>
      <c r="J26" s="754">
        <v>1832.0294672590408</v>
      </c>
      <c r="K26" s="969">
        <v>9469.629006817866</v>
      </c>
      <c r="L26" s="754">
        <v>3135.1769036154701</v>
      </c>
      <c r="M26" s="789">
        <v>192.39081326920001</v>
      </c>
      <c r="N26" s="764">
        <v>4912.0492615344228</v>
      </c>
      <c r="O26" s="1725">
        <v>9662.0198200870655</v>
      </c>
      <c r="P26" s="1725">
        <v>8047.2261651498929</v>
      </c>
      <c r="Q26" s="764">
        <v>17709.245985236957</v>
      </c>
    </row>
    <row r="27" spans="1:22" s="411" customFormat="1" ht="14.25" customHeight="1">
      <c r="A27" s="905"/>
      <c r="B27" s="906" t="s">
        <v>223</v>
      </c>
      <c r="C27" s="1723">
        <f t="shared" ref="C27:Q27" si="8">C33</f>
        <v>1406.4549262539999</v>
      </c>
      <c r="D27" s="754">
        <f t="shared" si="8"/>
        <v>304.99927540499999</v>
      </c>
      <c r="E27" s="754">
        <f t="shared" si="8"/>
        <v>2131.8032945246287</v>
      </c>
      <c r="F27" s="1724">
        <f t="shared" si="8"/>
        <v>881.79136717473591</v>
      </c>
      <c r="G27" s="754">
        <f t="shared" si="8"/>
        <v>2978.0278233357194</v>
      </c>
      <c r="H27" s="789">
        <f t="shared" si="8"/>
        <v>206.84975293999997</v>
      </c>
      <c r="I27" s="969">
        <f t="shared" si="8"/>
        <v>3185.3606406760391</v>
      </c>
      <c r="J27" s="754">
        <f t="shared" si="8"/>
        <v>1883.1311197538798</v>
      </c>
      <c r="K27" s="969">
        <f t="shared" si="8"/>
        <v>9701.6666847903889</v>
      </c>
      <c r="L27" s="754">
        <f t="shared" si="8"/>
        <v>3276.6715152736156</v>
      </c>
      <c r="M27" s="789">
        <f t="shared" si="8"/>
        <v>192.64919385901999</v>
      </c>
      <c r="N27" s="764">
        <f t="shared" si="8"/>
        <v>4367.1282599852984</v>
      </c>
      <c r="O27" s="1725">
        <f t="shared" si="8"/>
        <v>9894.2658786494103</v>
      </c>
      <c r="P27" s="1725">
        <f t="shared" si="8"/>
        <v>7643.7997752589145</v>
      </c>
      <c r="Q27" s="764">
        <f t="shared" si="8"/>
        <v>17538.065653908325</v>
      </c>
    </row>
    <row r="28" spans="1:22" s="411" customFormat="1" ht="14.25" customHeight="1">
      <c r="A28" s="905"/>
      <c r="B28" s="906" t="s">
        <v>224</v>
      </c>
      <c r="C28" s="1723">
        <f t="shared" ref="C28:Q28" si="9">C36</f>
        <v>1373.1387409429999</v>
      </c>
      <c r="D28" s="754">
        <f t="shared" si="9"/>
        <v>328.07352690300002</v>
      </c>
      <c r="E28" s="754">
        <f t="shared" si="9"/>
        <v>2044.1583306662751</v>
      </c>
      <c r="F28" s="1724">
        <f t="shared" si="9"/>
        <v>819.73682936507066</v>
      </c>
      <c r="G28" s="754">
        <f t="shared" si="9"/>
        <v>2981.1792442206611</v>
      </c>
      <c r="H28" s="789">
        <f t="shared" si="9"/>
        <v>192.5794195819999</v>
      </c>
      <c r="I28" s="969">
        <f t="shared" si="9"/>
        <v>3229.178890258142</v>
      </c>
      <c r="J28" s="754">
        <f t="shared" si="9"/>
        <v>1959.5451466892678</v>
      </c>
      <c r="K28" s="969">
        <f t="shared" si="9"/>
        <v>9627.6848950310796</v>
      </c>
      <c r="L28" s="754">
        <f t="shared" si="9"/>
        <v>3299.9349225393385</v>
      </c>
      <c r="M28" s="789">
        <f t="shared" si="9"/>
        <v>220.83763812413002</v>
      </c>
      <c r="N28" s="764">
        <f t="shared" si="9"/>
        <v>4081.39458833362</v>
      </c>
      <c r="O28" s="1725">
        <f t="shared" si="9"/>
        <v>9848.4725331552108</v>
      </c>
      <c r="P28" s="1725">
        <f t="shared" si="9"/>
        <v>7381.3295108729581</v>
      </c>
      <c r="Q28" s="764">
        <f t="shared" si="9"/>
        <v>17229.802044028169</v>
      </c>
    </row>
    <row r="29" spans="1:22" s="411" customFormat="1" ht="14.25" customHeight="1">
      <c r="A29" s="905"/>
      <c r="B29" s="906" t="s">
        <v>225</v>
      </c>
      <c r="C29" s="1723">
        <f t="shared" ref="C29:Q29" si="10">C39</f>
        <v>1257.1342190884593</v>
      </c>
      <c r="D29" s="754">
        <f t="shared" si="10"/>
        <v>358.38801689204217</v>
      </c>
      <c r="E29" s="754">
        <f t="shared" si="10"/>
        <v>2091.7532694730303</v>
      </c>
      <c r="F29" s="1724">
        <f t="shared" si="10"/>
        <v>886.74787459117942</v>
      </c>
      <c r="G29" s="754">
        <f t="shared" si="10"/>
        <v>3048.325487999055</v>
      </c>
      <c r="H29" s="789">
        <f t="shared" si="10"/>
        <v>191.01886261499988</v>
      </c>
      <c r="I29" s="969">
        <f t="shared" si="10"/>
        <v>3302.7551202315435</v>
      </c>
      <c r="J29" s="754">
        <f t="shared" si="10"/>
        <v>1996.459685033853</v>
      </c>
      <c r="K29" s="969">
        <f t="shared" si="10"/>
        <v>9699.9610967920889</v>
      </c>
      <c r="L29" s="754">
        <f t="shared" si="10"/>
        <v>3432.6044391320747</v>
      </c>
      <c r="M29" s="789">
        <f t="shared" si="10"/>
        <v>210.41152702788196</v>
      </c>
      <c r="N29" s="764">
        <f t="shared" si="10"/>
        <v>4621.4441194674582</v>
      </c>
      <c r="O29" s="1725">
        <f t="shared" si="10"/>
        <v>9910.3526238199702</v>
      </c>
      <c r="P29" s="1725">
        <f t="shared" si="10"/>
        <v>8054.048558599533</v>
      </c>
      <c r="Q29" s="764">
        <f t="shared" si="10"/>
        <v>17964.401182419504</v>
      </c>
    </row>
    <row r="30" spans="1:22" s="411" customFormat="1" ht="21" customHeight="1">
      <c r="A30" s="1193">
        <v>2020</v>
      </c>
      <c r="B30" s="1483" t="s">
        <v>222</v>
      </c>
      <c r="C30" s="1726">
        <f t="shared" ref="C30:Q30" si="11">C42</f>
        <v>1353.8269665009998</v>
      </c>
      <c r="D30" s="1727">
        <f t="shared" si="11"/>
        <v>287.37401800600003</v>
      </c>
      <c r="E30" s="1727">
        <f t="shared" si="11"/>
        <v>2146.0100240905253</v>
      </c>
      <c r="F30" s="1728">
        <f t="shared" si="11"/>
        <v>1006.1355366213854</v>
      </c>
      <c r="G30" s="1727">
        <f t="shared" si="11"/>
        <v>3123.0569687083121</v>
      </c>
      <c r="H30" s="1729">
        <f t="shared" si="11"/>
        <v>225.96731922099988</v>
      </c>
      <c r="I30" s="1656">
        <f t="shared" si="11"/>
        <v>3291.2018987197739</v>
      </c>
      <c r="J30" s="1727">
        <f t="shared" si="11"/>
        <v>1963.6953557720356</v>
      </c>
      <c r="K30" s="1656">
        <f t="shared" si="11"/>
        <v>9914.0858580196109</v>
      </c>
      <c r="L30" s="1727">
        <f t="shared" si="11"/>
        <v>3483.1722296204211</v>
      </c>
      <c r="M30" s="1729">
        <f t="shared" si="11"/>
        <v>209.09446801417997</v>
      </c>
      <c r="N30" s="1730">
        <f t="shared" si="11"/>
        <v>3824.0362147106734</v>
      </c>
      <c r="O30" s="1731">
        <f t="shared" si="11"/>
        <v>10123.180326033791</v>
      </c>
      <c r="P30" s="1731">
        <f t="shared" si="11"/>
        <v>7307.2084443310941</v>
      </c>
      <c r="Q30" s="1730">
        <f t="shared" si="11"/>
        <v>17430.388770364887</v>
      </c>
    </row>
    <row r="31" spans="1:22" s="327" customFormat="1" ht="20.25" customHeight="1">
      <c r="A31" s="432">
        <v>2019</v>
      </c>
      <c r="B31" s="553" t="s">
        <v>399</v>
      </c>
      <c r="C31" s="964">
        <f>SUM('[5]2'!$C$15:$D$15)-0.03</f>
        <v>1553.6392717159999</v>
      </c>
      <c r="D31" s="806">
        <f>SUM('[5]2'!$C$23:$D$23)</f>
        <v>333.21872487799999</v>
      </c>
      <c r="E31" s="806">
        <f>SUM('[5]2'!$E$16:$H$16)</f>
        <v>2158.0080858333004</v>
      </c>
      <c r="F31" s="811">
        <f>SUM('[5]2'!$E$24:$H$24)</f>
        <v>855.85177121772142</v>
      </c>
      <c r="G31" s="806">
        <f>SUM('[5]2'!$E$17:$H$17)</f>
        <v>2922.5696641189988</v>
      </c>
      <c r="H31" s="870">
        <f>SUM('[5]2'!$E$25:$H$25)</f>
        <v>201.1971857339999</v>
      </c>
      <c r="I31" s="767">
        <f>SUM('[5]2'!$E$18:$H$19)</f>
        <v>2965.4964562630803</v>
      </c>
      <c r="J31" s="806">
        <f>SUM('[5]2'!$E$26:$H$27)</f>
        <v>1860.4168820421935</v>
      </c>
      <c r="K31" s="767">
        <f>'[5]2'!$I$15</f>
        <v>9599.7234779313785</v>
      </c>
      <c r="L31" s="806">
        <f>'[5]2'!$I$23</f>
        <v>3250.6845638719142</v>
      </c>
      <c r="M31" s="870">
        <f>'[5]2'!$K$15</f>
        <v>191.26960056902999</v>
      </c>
      <c r="N31" s="788">
        <f>'[5]2'!$K$23</f>
        <v>4485.4256162350739</v>
      </c>
      <c r="O31" s="772">
        <f>'[5]2'!$I$15+'[5]2'!$K$15</f>
        <v>9790.993078500409</v>
      </c>
      <c r="P31" s="772">
        <f>'[5]2'!$I$23+'[5]2'!$K$23</f>
        <v>7736.1101801069881</v>
      </c>
      <c r="Q31" s="788">
        <f>'[5]2'!$I$15+'[5]2'!$K$15+'[5]2'!$I$23+'[5]2'!$K$23</f>
        <v>17527.1032586074</v>
      </c>
      <c r="R31" s="381"/>
      <c r="S31" s="381"/>
      <c r="T31" s="381"/>
      <c r="U31" s="381"/>
      <c r="V31" s="381"/>
    </row>
    <row r="32" spans="1:22" s="327" customFormat="1" ht="14.25" customHeight="1">
      <c r="A32" s="432"/>
      <c r="B32" s="553" t="s">
        <v>400</v>
      </c>
      <c r="C32" s="964">
        <f>SUM('[6]2'!$C$15:$D$15)</f>
        <v>1570.451086472</v>
      </c>
      <c r="D32" s="806">
        <f>SUM('[6]2'!$C$23:$D$23)</f>
        <v>348.95504924399995</v>
      </c>
      <c r="E32" s="806">
        <f>SUM('[6]2'!$E$16:$H$16)</f>
        <v>2076.4138810936165</v>
      </c>
      <c r="F32" s="811">
        <f>SUM('[6]2'!$E$24:$H$24)</f>
        <v>817.24187597044556</v>
      </c>
      <c r="G32" s="806">
        <f>SUM('[6]2'!$E$17:$H$17)</f>
        <v>2962.5910283280405</v>
      </c>
      <c r="H32" s="870">
        <f>SUM('[6]2'!$E$25:$H$25)</f>
        <v>204.5347082534</v>
      </c>
      <c r="I32" s="767">
        <f>SUM('[6]2'!$E$18:$H$19)</f>
        <v>3091.7312960475001</v>
      </c>
      <c r="J32" s="806">
        <f>SUM('[6]2'!$E$26:$H$27)</f>
        <v>1788.7639060134652</v>
      </c>
      <c r="K32" s="767">
        <f>'[6]2'!$I$15</f>
        <v>9701.1572919411574</v>
      </c>
      <c r="L32" s="806">
        <f>'[6]2'!$I$23</f>
        <v>3159.495539481311</v>
      </c>
      <c r="M32" s="870">
        <f>'[6]2'!$K$15-0.03</f>
        <v>178.63503073397001</v>
      </c>
      <c r="N32" s="788">
        <f>'[6]2'!$K$23</f>
        <v>4245.1585442036403</v>
      </c>
      <c r="O32" s="772">
        <f>'[6]2'!$I$15+'[6]2'!$K$15</f>
        <v>9879.822322675127</v>
      </c>
      <c r="P32" s="772">
        <f>'[6]2'!$I$23+'[6]2'!$K$23</f>
        <v>7404.6540836849508</v>
      </c>
      <c r="Q32" s="788">
        <f>'[6]2'!$I$15+'[6]2'!$K$15+'[6]2'!$I$23+'[6]2'!$K$23</f>
        <v>17284.476406360078</v>
      </c>
      <c r="R32" s="381"/>
      <c r="S32" s="381"/>
      <c r="T32" s="381"/>
      <c r="U32" s="381"/>
      <c r="V32" s="381"/>
    </row>
    <row r="33" spans="1:22" s="327" customFormat="1" ht="14.25" customHeight="1">
      <c r="A33" s="432"/>
      <c r="B33" s="553" t="s">
        <v>401</v>
      </c>
      <c r="C33" s="964">
        <f>SUM('[7]2'!$C$15:$D$15)</f>
        <v>1406.4549262539999</v>
      </c>
      <c r="D33" s="806">
        <f>SUM('[7]2'!$C$23:$D$23)+0.05</f>
        <v>304.99927540499999</v>
      </c>
      <c r="E33" s="806">
        <f>SUM('[7]2'!$E$16:$H$16)</f>
        <v>2131.8032945246287</v>
      </c>
      <c r="F33" s="811">
        <f>SUM('[7]2'!$E$24:$H$24)+0.05</f>
        <v>881.79136717473591</v>
      </c>
      <c r="G33" s="806">
        <f>SUM('[7]2'!$E$17:$H$17)</f>
        <v>2978.0278233357194</v>
      </c>
      <c r="H33" s="870">
        <f>SUM('[7]2'!$E$25:$H$25)</f>
        <v>206.84975293999997</v>
      </c>
      <c r="I33" s="767">
        <f>SUM('[7]2'!$E$18:$H$19)</f>
        <v>3185.3606406760391</v>
      </c>
      <c r="J33" s="806">
        <f>SUM('[7]2'!$E$26:$H$27)</f>
        <v>1883.1311197538798</v>
      </c>
      <c r="K33" s="767">
        <f>'[7]2'!$I$15+0.05</f>
        <v>9701.6666847903889</v>
      </c>
      <c r="L33" s="806">
        <f>'[7]2'!$I$23</f>
        <v>3276.6715152736156</v>
      </c>
      <c r="M33" s="870">
        <f>'[7]2'!$K$15</f>
        <v>192.64919385901999</v>
      </c>
      <c r="N33" s="788">
        <f>'[7]2'!$K$23</f>
        <v>4367.1282599852984</v>
      </c>
      <c r="O33" s="772">
        <f>'[7]2'!$I$15+'[7]2'!$K$15</f>
        <v>9894.2658786494103</v>
      </c>
      <c r="P33" s="772">
        <f>'[7]2'!$I$23+'[7]2'!$K$23</f>
        <v>7643.7997752589145</v>
      </c>
      <c r="Q33" s="788">
        <f>'[7]2'!$I$15+'[7]2'!$K$15+'[7]2'!$I$23+'[7]2'!$K$23</f>
        <v>17538.065653908325</v>
      </c>
      <c r="R33" s="381"/>
      <c r="S33" s="381"/>
      <c r="T33" s="381"/>
      <c r="U33" s="381"/>
      <c r="V33" s="381"/>
    </row>
    <row r="34" spans="1:22" s="327" customFormat="1" ht="14.25" customHeight="1">
      <c r="A34" s="432"/>
      <c r="B34" s="553" t="s">
        <v>402</v>
      </c>
      <c r="C34" s="964">
        <f>SUM('[8]2'!$C$15:$D$15)</f>
        <v>1407.156946608</v>
      </c>
      <c r="D34" s="806">
        <f>SUM('[8]2'!$C$23:$D$23)</f>
        <v>338.70781212400004</v>
      </c>
      <c r="E34" s="806">
        <f>SUM('[8]2'!$E$16:$H$16)</f>
        <v>2068.2381106439598</v>
      </c>
      <c r="F34" s="811">
        <f>SUM('[8]2'!$E$24:$H$24)</f>
        <v>874.09859133979739</v>
      </c>
      <c r="G34" s="806">
        <f>SUM('[8]2'!$E$17:$H$17)</f>
        <v>2933.2063595223044</v>
      </c>
      <c r="H34" s="870">
        <f>SUM('[8]2'!$E$25:$H$25)-0.02</f>
        <v>202.23627953499985</v>
      </c>
      <c r="I34" s="767">
        <f>SUM('[8]2'!$E$18:$H$19)</f>
        <v>3164.7854187037492</v>
      </c>
      <c r="J34" s="806">
        <f>SUM('[8]2'!$E$26:$H$27)</f>
        <v>1827.2867052384368</v>
      </c>
      <c r="K34" s="767">
        <f>'[8]2'!$I$15</f>
        <v>9573.3568354780145</v>
      </c>
      <c r="L34" s="806">
        <f>'[8]2'!$I$23</f>
        <v>3242.3493882372341</v>
      </c>
      <c r="M34" s="870">
        <f>'[8]2'!$K$15</f>
        <v>187.85382773202002</v>
      </c>
      <c r="N34" s="788">
        <f>'[8]2'!$K$23</f>
        <v>4226.2987335136741</v>
      </c>
      <c r="O34" s="772">
        <f>'[8]2'!$I$15+'[8]2'!$K$15+0.05</f>
        <v>9761.2606632100342</v>
      </c>
      <c r="P34" s="772">
        <f>'[8]2'!$I$23+'[8]2'!$K$23</f>
        <v>7468.6481217509081</v>
      </c>
      <c r="Q34" s="788">
        <f>'[8]2'!$I$15+'[8]2'!$K$15+'[8]2'!$I$23+'[8]2'!$K$23</f>
        <v>17229.858784960943</v>
      </c>
      <c r="R34" s="381"/>
      <c r="S34" s="381"/>
      <c r="T34" s="381"/>
      <c r="U34" s="381"/>
      <c r="V34" s="381"/>
    </row>
    <row r="35" spans="1:22" s="327" customFormat="1" ht="14.25" customHeight="1">
      <c r="A35" s="432"/>
      <c r="B35" s="553" t="s">
        <v>403</v>
      </c>
      <c r="C35" s="964">
        <f>SUM('[9]2'!$C$15:$D$15)</f>
        <v>1427.6936203989999</v>
      </c>
      <c r="D35" s="806">
        <f>SUM('[9]2'!$C$23:$D$23)</f>
        <v>320.61723120499994</v>
      </c>
      <c r="E35" s="806">
        <f>SUM('[9]2'!$E$16:$H$16)</f>
        <v>2018.2231522874663</v>
      </c>
      <c r="F35" s="811">
        <f>SUM('[9]2'!$E$24:$H$24)</f>
        <v>824.88425893405054</v>
      </c>
      <c r="G35" s="806">
        <f>SUM('[9]2'!$E$17:$H$17)</f>
        <v>3031.6657816190277</v>
      </c>
      <c r="H35" s="870">
        <f>SUM('[9]2'!$E$25:$H$25)</f>
        <v>208.0120647389999</v>
      </c>
      <c r="I35" s="767">
        <f>SUM('[9]2'!$E$18:$H$19)</f>
        <v>3206.1973645241997</v>
      </c>
      <c r="J35" s="806">
        <f>SUM('[9]2'!$E$26:$H$27)</f>
        <v>1951.0304128610021</v>
      </c>
      <c r="K35" s="767">
        <f>'[9]2'!$I$15+0.01</f>
        <v>9683.7599188296936</v>
      </c>
      <c r="L35" s="806">
        <f>'[9]2'!$I$23</f>
        <v>3304.5439677390523</v>
      </c>
      <c r="M35" s="870">
        <f>'[9]2'!$K$15</f>
        <v>196.62598368325001</v>
      </c>
      <c r="N35" s="788">
        <f>'[9]2'!$K$23</f>
        <v>4336.0887238313153</v>
      </c>
      <c r="O35" s="772">
        <f>'[9]2'!$I$15+'[9]2'!$K$15</f>
        <v>9880.3759025129439</v>
      </c>
      <c r="P35" s="772">
        <f>'[9]2'!$I$23+'[9]2'!$K$23</f>
        <v>7640.6326915703676</v>
      </c>
      <c r="Q35" s="788">
        <f>'[9]2'!$I$15+'[9]2'!$K$15+'[9]2'!$I$23+'[9]2'!$K$23</f>
        <v>17521.008594083312</v>
      </c>
      <c r="R35" s="381"/>
      <c r="S35" s="381"/>
      <c r="T35" s="381"/>
      <c r="U35" s="381"/>
      <c r="V35" s="381"/>
    </row>
    <row r="36" spans="1:22" s="327" customFormat="1" ht="14.25" customHeight="1">
      <c r="A36" s="432"/>
      <c r="B36" s="553" t="s">
        <v>404</v>
      </c>
      <c r="C36" s="964">
        <f>SUM('[10]2'!$C$15:$D$15)</f>
        <v>1373.1387409429999</v>
      </c>
      <c r="D36" s="806">
        <f>SUM('[10]2'!$C$23:$D$23)</f>
        <v>328.07352690300002</v>
      </c>
      <c r="E36" s="806">
        <f>SUM('[10]2'!$E$16:$H$16)</f>
        <v>2044.1583306662751</v>
      </c>
      <c r="F36" s="811">
        <f>SUM('[10]2'!$E$24:$H$24)</f>
        <v>819.73682936507066</v>
      </c>
      <c r="G36" s="806">
        <f>SUM('[10]2'!$E$17:$H$17)</f>
        <v>2981.1792442206611</v>
      </c>
      <c r="H36" s="870">
        <f>SUM('[10]2'!$E$25:$H$25)</f>
        <v>192.5794195819999</v>
      </c>
      <c r="I36" s="767">
        <f>SUM('[10]2'!$E$18:$H$19)</f>
        <v>3229.178890258142</v>
      </c>
      <c r="J36" s="806">
        <f>SUM('[10]2'!$E$26:$H$27)</f>
        <v>1959.5451466892678</v>
      </c>
      <c r="K36" s="767">
        <f>'[10]2'!$I$15+0.05</f>
        <v>9627.6848950310796</v>
      </c>
      <c r="L36" s="806">
        <f>'[10]2'!$I$23</f>
        <v>3299.9349225393385</v>
      </c>
      <c r="M36" s="870">
        <f>'[10]2'!$K$15</f>
        <v>220.83763812413002</v>
      </c>
      <c r="N36" s="788">
        <f>'[10]2'!$K$23</f>
        <v>4081.39458833362</v>
      </c>
      <c r="O36" s="772">
        <f>'[10]2'!$I$15+'[10]2'!$K$15</f>
        <v>9848.4725331552108</v>
      </c>
      <c r="P36" s="772">
        <f>'[10]2'!$I$23+'[10]2'!$K$23</f>
        <v>7381.3295108729581</v>
      </c>
      <c r="Q36" s="788">
        <f>'[10]2'!$I$15+'[10]2'!$K$15+'[10]2'!$I$23+'[10]2'!$K$23</f>
        <v>17229.802044028169</v>
      </c>
      <c r="R36" s="381"/>
      <c r="S36" s="381"/>
      <c r="T36" s="381"/>
      <c r="U36" s="381"/>
      <c r="V36" s="381"/>
    </row>
    <row r="37" spans="1:22" s="327" customFormat="1" ht="14.25" customHeight="1">
      <c r="A37" s="432"/>
      <c r="B37" s="553" t="s">
        <v>405</v>
      </c>
      <c r="C37" s="964">
        <f>SUM('[11]2'!$C$15:$D$15)</f>
        <v>1335.1286266690001</v>
      </c>
      <c r="D37" s="806">
        <f>SUM('[11]2'!$C$23:$D$23)</f>
        <v>354.860770307</v>
      </c>
      <c r="E37" s="806">
        <f>SUM('[11]2'!$E$16:$H$16)</f>
        <v>2036.2196459386323</v>
      </c>
      <c r="F37" s="811">
        <f>SUM('[11]2'!$E$24:$H$24)</f>
        <v>846.87386865873259</v>
      </c>
      <c r="G37" s="806">
        <f>SUM('[11]2'!$E$17:$H$17)</f>
        <v>2959.065564195037</v>
      </c>
      <c r="H37" s="870">
        <f>SUM('[11]2'!$E$25:$H$25)</f>
        <v>193.40594356700001</v>
      </c>
      <c r="I37" s="767">
        <f>SUM('[11]2'!$E$18:$H$19)-0.02</f>
        <v>3291.4386467585077</v>
      </c>
      <c r="J37" s="806">
        <f>SUM('[11]2'!$E$26:$H$27)</f>
        <v>2076.6191576488864</v>
      </c>
      <c r="K37" s="767">
        <f>'[11]2'!$I$15</f>
        <v>9621.8424835611786</v>
      </c>
      <c r="L37" s="806">
        <f>'[11]2'!$I$23</f>
        <v>3471.7597401816192</v>
      </c>
      <c r="M37" s="870">
        <f>'[11]2'!$K$15</f>
        <v>213.69303836751999</v>
      </c>
      <c r="N37" s="788">
        <f>'[11]2'!$K$23</f>
        <v>4460.3599080231961</v>
      </c>
      <c r="O37" s="772">
        <f>'[11]2'!$I$15+'[11]2'!$K$15</f>
        <v>9835.5355219286994</v>
      </c>
      <c r="P37" s="772">
        <f>'[11]2'!$I$23+'[11]2'!$K$23+0.05</f>
        <v>7932.1696482048155</v>
      </c>
      <c r="Q37" s="788">
        <f>'[11]2'!$I$15+'[11]2'!$K$15+'[11]2'!$I$23+'[11]2'!$K$23</f>
        <v>17767.655170133512</v>
      </c>
      <c r="R37" s="381"/>
      <c r="S37" s="381"/>
      <c r="T37" s="381"/>
      <c r="U37" s="381"/>
      <c r="V37" s="381"/>
    </row>
    <row r="38" spans="1:22" s="327" customFormat="1" ht="14.25" customHeight="1">
      <c r="A38" s="432"/>
      <c r="B38" s="553" t="s">
        <v>406</v>
      </c>
      <c r="C38" s="964">
        <f>SUM('[12]2'!$C$15:$D$15)</f>
        <v>1298.2628199330002</v>
      </c>
      <c r="D38" s="806">
        <f>SUM('[12]2'!$C$23:$D$23)</f>
        <v>354.66300165600001</v>
      </c>
      <c r="E38" s="806">
        <f>SUM('[12]2'!$E$16:$H$16)</f>
        <v>2094.9860382429742</v>
      </c>
      <c r="F38" s="811">
        <f>SUM('[12]2'!$E$24:$H$24)</f>
        <v>879.16099414207633</v>
      </c>
      <c r="G38" s="806">
        <f>SUM('[12]2'!$E$17:$H$17)</f>
        <v>2962.8421160873008</v>
      </c>
      <c r="H38" s="870">
        <f>SUM('[12]2'!$E$25:$H$25)</f>
        <v>184.30172439899994</v>
      </c>
      <c r="I38" s="767">
        <f>SUM('[12]2'!$E$18:$H$19)</f>
        <v>3276.7975394327686</v>
      </c>
      <c r="J38" s="806">
        <f>SUM('[12]2'!$E$26:$H$27)-0.02</f>
        <v>2032.6406440676756</v>
      </c>
      <c r="K38" s="767">
        <f>'[12]2'!$I$15</f>
        <v>9632.8585136960428</v>
      </c>
      <c r="L38" s="806">
        <f>'[12]2'!$I$23</f>
        <v>3450.7863642647517</v>
      </c>
      <c r="M38" s="870">
        <f>'[12]2'!$K$15</f>
        <v>213.57918026201</v>
      </c>
      <c r="N38" s="788">
        <f>'[12]2'!$K$23</f>
        <v>4943.3351444069203</v>
      </c>
      <c r="O38" s="772">
        <f>'[12]2'!$I$15+'[12]2'!$K$15+0.02</f>
        <v>9846.4576939580529</v>
      </c>
      <c r="P38" s="772">
        <f>'[12]2'!$I$23+'[12]2'!$K$23</f>
        <v>8394.1215086716729</v>
      </c>
      <c r="Q38" s="788">
        <f>'[12]2'!$I$15+'[12]2'!$K$15+'[12]2'!$I$23+'[12]2'!$K$23</f>
        <v>18240.559202629724</v>
      </c>
      <c r="R38" s="381"/>
      <c r="S38" s="381"/>
      <c r="T38" s="381"/>
      <c r="U38" s="381"/>
      <c r="V38" s="381"/>
    </row>
    <row r="39" spans="1:22" s="327" customFormat="1" ht="14.25" customHeight="1">
      <c r="A39" s="432"/>
      <c r="B39" s="553" t="s">
        <v>407</v>
      </c>
      <c r="C39" s="964">
        <f>SUM('[13]2'!$C$15:$D$15)</f>
        <v>1257.1342190884593</v>
      </c>
      <c r="D39" s="806">
        <f>SUM('[13]2'!$C$23:$D$23)</f>
        <v>358.38801689204217</v>
      </c>
      <c r="E39" s="806">
        <f>SUM('[13]2'!$E$16:$H$16)</f>
        <v>2091.7532694730303</v>
      </c>
      <c r="F39" s="811">
        <f>SUM('[13]2'!$E$24:$H$24)</f>
        <v>886.74787459117942</v>
      </c>
      <c r="G39" s="806">
        <f>SUM('[13]2'!$E$17:$H$17)</f>
        <v>3048.325487999055</v>
      </c>
      <c r="H39" s="870">
        <f>SUM('[13]2'!$E$25:$H$25)</f>
        <v>191.01886261499988</v>
      </c>
      <c r="I39" s="767">
        <f>SUM('[13]2'!$E$18:$H$19)</f>
        <v>3302.7551202315435</v>
      </c>
      <c r="J39" s="806">
        <f>SUM('[13]2'!$E$26:$H$27)+0.01</f>
        <v>1996.459685033853</v>
      </c>
      <c r="K39" s="767">
        <f>'[13]2'!$I$15+0.02</f>
        <v>9699.9610967920889</v>
      </c>
      <c r="L39" s="806">
        <f>'[13]2'!$I$23</f>
        <v>3432.6044391320747</v>
      </c>
      <c r="M39" s="870">
        <f>'[13]2'!$K$15</f>
        <v>210.41152702788196</v>
      </c>
      <c r="N39" s="788">
        <f>'[13]2'!$K$23</f>
        <v>4621.4441194674582</v>
      </c>
      <c r="O39" s="772">
        <f>'[13]2'!$I$15+'[13]2'!$K$15</f>
        <v>9910.3526238199702</v>
      </c>
      <c r="P39" s="772">
        <f>'[13]2'!$I$23+'[13]2'!$K$23</f>
        <v>8054.048558599533</v>
      </c>
      <c r="Q39" s="788">
        <f>'[13]2'!$I$15+'[13]2'!$K$15+'[13]2'!$I$23+'[13]2'!$K$23</f>
        <v>17964.401182419504</v>
      </c>
      <c r="R39" s="381"/>
      <c r="S39" s="381"/>
      <c r="T39" s="381"/>
      <c r="U39" s="381"/>
      <c r="V39" s="381"/>
    </row>
    <row r="40" spans="1:22" s="327" customFormat="1" ht="20.25" customHeight="1">
      <c r="A40" s="432">
        <v>2020</v>
      </c>
      <c r="B40" s="553" t="s">
        <v>408</v>
      </c>
      <c r="C40" s="964">
        <f>SUM('[14]2'!$C$15:$D$15)</f>
        <v>1361.0206742223768</v>
      </c>
      <c r="D40" s="806">
        <f>SUM('[14]2'!$C$23:$D$23)</f>
        <v>389.72701188161551</v>
      </c>
      <c r="E40" s="806">
        <f>SUM('[14]2'!$E$16:$H$16)</f>
        <v>2069.7752011310899</v>
      </c>
      <c r="F40" s="811">
        <f>SUM('[14]2'!$E$24:$H$24)-0.02</f>
        <v>910.9369000962929</v>
      </c>
      <c r="G40" s="806">
        <f>SUM('[14]2'!$E$17:$H$17)</f>
        <v>3157.2792060791871</v>
      </c>
      <c r="H40" s="870">
        <f>SUM('[14]2'!$E$25:$H$25)</f>
        <v>202.58293593799993</v>
      </c>
      <c r="I40" s="767">
        <f>SUM('[14]2'!$E$18:$H$19)-0.02</f>
        <v>3305.6367686992567</v>
      </c>
      <c r="J40" s="806">
        <f>SUM('[14]2'!$E$26:$H$27)</f>
        <v>2081.6604379521414</v>
      </c>
      <c r="K40" s="767">
        <f>'[14]2'!$I$15</f>
        <v>9893.7018501319108</v>
      </c>
      <c r="L40" s="806">
        <f>'[14]2'!$I$23</f>
        <v>3584.9272858680497</v>
      </c>
      <c r="M40" s="870">
        <f>'[14]2'!$K$15</f>
        <v>200.48468355050994</v>
      </c>
      <c r="N40" s="788">
        <f>'[14]2'!$K$23</f>
        <v>3889.4980772311424</v>
      </c>
      <c r="O40" s="772">
        <f>'[14]2'!$I$15+'[14]2'!$K$15</f>
        <v>10094.186533682421</v>
      </c>
      <c r="P40" s="772">
        <f>'[14]2'!$I$23+'[14]2'!$K$23</f>
        <v>7474.4253630991916</v>
      </c>
      <c r="Q40" s="788">
        <f>'[14]2'!$I$15+'[14]2'!$K$15+'[14]2'!$I$23+'[14]2'!$K$23</f>
        <v>17568.611896781615</v>
      </c>
      <c r="R40" s="381"/>
      <c r="S40" s="381"/>
      <c r="T40" s="381"/>
      <c r="U40" s="381"/>
      <c r="V40" s="381"/>
    </row>
    <row r="41" spans="1:22" s="327" customFormat="1" ht="14.25" customHeight="1">
      <c r="A41" s="1085"/>
      <c r="B41" s="821" t="s">
        <v>409</v>
      </c>
      <c r="C41" s="964">
        <f>SUM('[15]2'!$C$15:$D$15)</f>
        <v>1255.9320625080002</v>
      </c>
      <c r="D41" s="806">
        <f>SUM('[15]2'!$C$23:$D$23)</f>
        <v>305.31587190599998</v>
      </c>
      <c r="E41" s="806">
        <f>SUM('[15]2'!$E$16:$H$16)</f>
        <v>2135.6785232215302</v>
      </c>
      <c r="F41" s="811">
        <f>SUM('[15]2'!$E$24:$H$24)</f>
        <v>828.88733491836012</v>
      </c>
      <c r="G41" s="806">
        <f>SUM('[15]2'!$E$17:$H$17)</f>
        <v>3110.0558173842933</v>
      </c>
      <c r="H41" s="870">
        <f>SUM('[15]2'!$E$25:$H$25)</f>
        <v>211.46165607900002</v>
      </c>
      <c r="I41" s="767">
        <f>SUM('[15]2'!$E$18:$H$19)</f>
        <v>3393.7125697115443</v>
      </c>
      <c r="J41" s="806">
        <f>SUM('[15]2'!$E$26:$H$27)</f>
        <v>1988.4029411829665</v>
      </c>
      <c r="K41" s="767">
        <f>'[15]2'!$I$15</f>
        <v>9895.3789728253687</v>
      </c>
      <c r="L41" s="806">
        <f>'[15]2'!$I$23</f>
        <v>3334.0678040863272</v>
      </c>
      <c r="M41" s="870">
        <f>'[15]2'!$K$15</f>
        <v>204.49426857850997</v>
      </c>
      <c r="N41" s="788">
        <f>'[15]2'!$K$23</f>
        <v>3821.2194807922174</v>
      </c>
      <c r="O41" s="772">
        <f>'[15]2'!$I$15+'[15]2'!$K$15</f>
        <v>10099.873241403879</v>
      </c>
      <c r="P41" s="772">
        <f>'[15]2'!$I$23+'[15]2'!$K$23</f>
        <v>7155.2872848785446</v>
      </c>
      <c r="Q41" s="788">
        <f>'[15]2'!$I$15+'[15]2'!$K$15+'[15]2'!$I$23+'[15]2'!$K$23</f>
        <v>17255.160526282423</v>
      </c>
      <c r="R41" s="381"/>
      <c r="S41" s="381"/>
      <c r="T41" s="381"/>
      <c r="U41" s="381"/>
      <c r="V41" s="381"/>
    </row>
    <row r="42" spans="1:22" s="327" customFormat="1" ht="14.25" customHeight="1">
      <c r="A42" s="1085"/>
      <c r="B42" s="821" t="s">
        <v>398</v>
      </c>
      <c r="C42" s="964">
        <f>SUM('[16]2'!$C$15:$D$15)</f>
        <v>1353.8269665009998</v>
      </c>
      <c r="D42" s="806">
        <f>SUM('[16]2'!$C$23:$D$23)</f>
        <v>287.37401800600003</v>
      </c>
      <c r="E42" s="806">
        <f>SUM('[16]2'!$E$16:$H$16)</f>
        <v>2146.0100240905253</v>
      </c>
      <c r="F42" s="811">
        <f>SUM('[16]2'!$E$24:$H$24)</f>
        <v>1006.1355366213854</v>
      </c>
      <c r="G42" s="806">
        <f>SUM('[16]2'!$E$17:$H$17)+0.01</f>
        <v>3123.0569687083121</v>
      </c>
      <c r="H42" s="870">
        <f>SUM('[16]2'!$E$25:$H$25)</f>
        <v>225.96731922099988</v>
      </c>
      <c r="I42" s="767">
        <f>SUM('[16]2'!$E$18:$H$19)</f>
        <v>3291.2018987197739</v>
      </c>
      <c r="J42" s="806">
        <f>SUM('[16]2'!$E$26:$H$27)</f>
        <v>1963.6953557720356</v>
      </c>
      <c r="K42" s="767">
        <f>'[16]2'!$I$15</f>
        <v>9914.0858580196109</v>
      </c>
      <c r="L42" s="806">
        <f>'[16]2'!$I$23</f>
        <v>3483.1722296204211</v>
      </c>
      <c r="M42" s="870">
        <f>'[16]2'!$K$15</f>
        <v>209.09446801417997</v>
      </c>
      <c r="N42" s="788">
        <f>'[16]2'!$K$23</f>
        <v>3824.0362147106734</v>
      </c>
      <c r="O42" s="772">
        <f>'[16]2'!$I$15+'[16]2'!$K$15</f>
        <v>10123.180326033791</v>
      </c>
      <c r="P42" s="772">
        <f>'[16]2'!$I$23+'[16]2'!$K$23</f>
        <v>7307.2084443310941</v>
      </c>
      <c r="Q42" s="788">
        <f>'[16]2'!$I$15+'[16]2'!$K$15+'[16]2'!$I$23+'[16]2'!$K$23</f>
        <v>17430.388770364887</v>
      </c>
      <c r="R42" s="381"/>
      <c r="S42" s="381"/>
      <c r="T42" s="381"/>
      <c r="U42" s="381"/>
      <c r="V42" s="381"/>
    </row>
    <row r="43" spans="1:22" s="327" customFormat="1" ht="14.25" customHeight="1">
      <c r="A43" s="1085"/>
      <c r="B43" s="821" t="s">
        <v>399</v>
      </c>
      <c r="C43" s="964">
        <f>SUM('[17]2'!$C$15:$D$15)</f>
        <v>1207.5497863820001</v>
      </c>
      <c r="D43" s="806">
        <f>SUM('[17]2'!$C$23:$D$23)</f>
        <v>268.50185671700001</v>
      </c>
      <c r="E43" s="806">
        <f>SUM('[17]2'!$E$16:$H$16)</f>
        <v>2180.6099647039268</v>
      </c>
      <c r="F43" s="811">
        <f>SUM('[17]2'!$E$24:$H$24)</f>
        <v>942.26664058643996</v>
      </c>
      <c r="G43" s="806">
        <f>SUM('[17]2'!$E$17:$H$17)</f>
        <v>3232.4788052789136</v>
      </c>
      <c r="H43" s="870">
        <f>SUM('[17]2'!$E$25:$H$25)</f>
        <v>226.97357244899999</v>
      </c>
      <c r="I43" s="767">
        <f>SUM('[17]2'!$E$18:$H$19)</f>
        <v>3293.0332363551461</v>
      </c>
      <c r="J43" s="806">
        <f>SUM('[17]2'!$E$26:$H$27)</f>
        <v>2091.639104117532</v>
      </c>
      <c r="K43" s="767">
        <f>'[17]2'!$I$15-0.03</f>
        <v>9913.6417927199855</v>
      </c>
      <c r="L43" s="806">
        <f>'[17]2'!$I$23</f>
        <v>3529.3811738699719</v>
      </c>
      <c r="M43" s="870">
        <f>'[17]2'!$K$15</f>
        <v>207.57473995298994</v>
      </c>
      <c r="N43" s="788">
        <f>'[17]2'!$K$23</f>
        <v>4171.3605849366995</v>
      </c>
      <c r="O43" s="772">
        <f>'[17]2'!$I$15+'[17]2'!$K$15</f>
        <v>10121.246532672976</v>
      </c>
      <c r="P43" s="772">
        <f>'[17]2'!$I$23+'[17]2'!$K$23+0.02</f>
        <v>7700.7617588066714</v>
      </c>
      <c r="Q43" s="788">
        <f>'[17]2'!$I$15+'[17]2'!$K$15+'[17]2'!$I$23+'[17]2'!$K$23</f>
        <v>17821.988291479647</v>
      </c>
      <c r="R43" s="381"/>
      <c r="S43" s="381"/>
      <c r="T43" s="381"/>
      <c r="U43" s="381"/>
      <c r="V43" s="381"/>
    </row>
    <row r="44" spans="1:22" ht="20.25" customHeight="1">
      <c r="A44" s="231" t="s">
        <v>871</v>
      </c>
      <c r="B44" s="233"/>
      <c r="C44" s="231"/>
      <c r="D44" s="231"/>
      <c r="E44" s="231"/>
      <c r="F44" s="271"/>
      <c r="G44" s="312"/>
      <c r="H44" s="231"/>
      <c r="I44" s="231"/>
      <c r="J44" s="231"/>
      <c r="K44" s="231"/>
      <c r="L44" s="231"/>
      <c r="M44" s="231"/>
      <c r="N44" s="231"/>
      <c r="O44" s="234"/>
      <c r="P44" s="313"/>
      <c r="Q44" s="314" t="s">
        <v>872</v>
      </c>
    </row>
    <row r="45" spans="1:22">
      <c r="B45" s="186"/>
      <c r="C45" s="761"/>
      <c r="D45" s="761"/>
      <c r="E45" s="762"/>
      <c r="F45" s="762"/>
      <c r="G45" s="762"/>
      <c r="H45" s="762"/>
      <c r="I45" s="762"/>
      <c r="J45" s="762"/>
      <c r="K45" s="762"/>
      <c r="L45" s="762"/>
      <c r="M45" s="762"/>
      <c r="N45" s="762"/>
      <c r="O45" s="762"/>
      <c r="P45" s="762"/>
      <c r="Q45" s="762"/>
    </row>
    <row r="46" spans="1:22">
      <c r="B46" s="157"/>
      <c r="C46" s="762"/>
      <c r="D46" s="762"/>
      <c r="E46" s="762"/>
      <c r="F46" s="762"/>
      <c r="G46" s="762"/>
      <c r="H46" s="762"/>
      <c r="I46" s="762"/>
      <c r="J46" s="762"/>
      <c r="K46" s="762"/>
      <c r="L46" s="762"/>
      <c r="M46" s="762"/>
      <c r="N46" s="762"/>
      <c r="O46" s="762"/>
      <c r="P46" s="762"/>
      <c r="Q46" s="762"/>
    </row>
    <row r="47" spans="1:22" s="43" customFormat="1" ht="14.25">
      <c r="A47" s="339" t="s">
        <v>873</v>
      </c>
      <c r="B47" s="339"/>
      <c r="C47" s="339"/>
      <c r="D47" s="339"/>
      <c r="E47" s="339"/>
      <c r="F47" s="339"/>
      <c r="G47" s="339"/>
      <c r="H47" s="339"/>
      <c r="I47" s="339"/>
      <c r="J47" s="339"/>
      <c r="K47" s="339"/>
      <c r="L47" s="339"/>
      <c r="M47" s="339"/>
      <c r="N47" s="339"/>
      <c r="O47" s="339"/>
      <c r="P47" s="339"/>
      <c r="Q47" s="339"/>
    </row>
    <row r="48" spans="1:22">
      <c r="I48" s="686"/>
      <c r="J48" s="686"/>
      <c r="K48" s="686"/>
      <c r="L48" s="686"/>
    </row>
    <row r="49" spans="1:12">
      <c r="A49" s="20"/>
      <c r="I49" s="686"/>
      <c r="J49" s="686"/>
      <c r="K49" s="686"/>
      <c r="L49" s="686"/>
    </row>
    <row r="50" spans="1:12">
      <c r="A50" s="10"/>
      <c r="B50" s="8"/>
      <c r="C50" s="8"/>
      <c r="I50" s="686"/>
      <c r="J50" s="686"/>
      <c r="K50" s="686"/>
      <c r="L50" s="686"/>
    </row>
    <row r="51" spans="1:12">
      <c r="I51" s="686"/>
      <c r="J51" s="686"/>
      <c r="K51" s="686"/>
      <c r="L51" s="686"/>
    </row>
    <row r="52" spans="1:12">
      <c r="I52" s="686"/>
      <c r="J52" s="686"/>
      <c r="K52" s="686"/>
      <c r="L52" s="686"/>
    </row>
    <row r="53" spans="1:12">
      <c r="I53" s="686"/>
      <c r="J53" s="686"/>
      <c r="K53" s="686"/>
      <c r="L53" s="686"/>
    </row>
    <row r="54" spans="1:12">
      <c r="I54" s="686"/>
      <c r="J54" s="686"/>
      <c r="K54" s="686"/>
      <c r="L54" s="686"/>
    </row>
    <row r="55" spans="1:12">
      <c r="I55" s="686"/>
      <c r="J55" s="686"/>
      <c r="K55" s="686"/>
      <c r="L55" s="686"/>
    </row>
    <row r="56" spans="1:12">
      <c r="I56" s="686"/>
      <c r="J56" s="686"/>
      <c r="K56" s="686"/>
      <c r="L56" s="686"/>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5"/>
  <dimension ref="A1:AH53"/>
  <sheetViews>
    <sheetView topLeftCell="A2" zoomScale="75" zoomScaleNormal="75" workbookViewId="0">
      <pane ySplit="11" topLeftCell="A41" activePane="bottomLeft" state="frozen"/>
      <selection activeCell="A49" sqref="A1:XFD1048576"/>
      <selection pane="bottomLeft" activeCell="A49" sqref="A1:XFD1048576"/>
    </sheetView>
  </sheetViews>
  <sheetFormatPr defaultColWidth="9.140625" defaultRowHeight="15"/>
  <cols>
    <col min="1" max="1" width="8.5703125" style="159" customWidth="1"/>
    <col min="2" max="2" width="7.28515625" style="159" customWidth="1"/>
    <col min="3" max="3" width="12.42578125" style="159" customWidth="1"/>
    <col min="4" max="4" width="11.5703125" style="159" customWidth="1"/>
    <col min="5" max="5" width="12.7109375" style="159" customWidth="1"/>
    <col min="6" max="6" width="15.140625" style="159" customWidth="1"/>
    <col min="7" max="7" width="10" style="159" customWidth="1"/>
    <col min="8" max="8" width="10.85546875" style="159" customWidth="1"/>
    <col min="9" max="9" width="9.5703125" style="159" customWidth="1"/>
    <col min="10" max="10" width="11.28515625" style="159" customWidth="1"/>
    <col min="11" max="11" width="9.28515625" style="159" customWidth="1"/>
    <col min="12" max="12" width="10" style="159" customWidth="1"/>
    <col min="13" max="13" width="12" style="159" customWidth="1"/>
    <col min="14" max="14" width="12.7109375" style="159" customWidth="1"/>
    <col min="15" max="15" width="9.7109375" style="159" customWidth="1"/>
    <col min="16" max="16" width="10.7109375" style="159" customWidth="1"/>
    <col min="17" max="17" width="13.5703125" style="159" customWidth="1"/>
    <col min="18" max="18" width="13.85546875" style="159" customWidth="1"/>
    <col min="19" max="19" width="8.5703125" style="159" customWidth="1"/>
    <col min="20" max="20" width="9.5703125" style="159" customWidth="1"/>
    <col min="21" max="21" width="11.28515625" style="620" customWidth="1"/>
    <col min="22" max="22" width="9.140625" style="159"/>
    <col min="23" max="23" width="11" style="159" bestFit="1" customWidth="1"/>
    <col min="24" max="24" width="9.28515625" style="159" bestFit="1" customWidth="1"/>
    <col min="25" max="16384" width="9.140625" style="159"/>
  </cols>
  <sheetData>
    <row r="1" spans="1:22" s="443" customFormat="1" ht="18">
      <c r="A1" s="297" t="s">
        <v>1619</v>
      </c>
      <c r="B1" s="297"/>
      <c r="C1" s="442"/>
      <c r="D1" s="442"/>
      <c r="E1" s="442"/>
      <c r="F1" s="442"/>
      <c r="G1" s="442"/>
      <c r="H1" s="442"/>
      <c r="I1" s="442"/>
      <c r="J1" s="442"/>
      <c r="K1" s="442"/>
      <c r="L1" s="442"/>
      <c r="M1" s="442"/>
      <c r="N1" s="442"/>
      <c r="O1" s="442"/>
      <c r="P1" s="442"/>
      <c r="Q1" s="442"/>
      <c r="R1" s="442"/>
      <c r="S1" s="442"/>
      <c r="T1" s="442"/>
      <c r="U1" s="636"/>
    </row>
    <row r="2" spans="1:22" s="406" customFormat="1" ht="21.2" customHeight="1">
      <c r="A2" s="1423" t="s">
        <v>797</v>
      </c>
      <c r="B2" s="1455"/>
      <c r="C2" s="1455"/>
      <c r="D2" s="1455"/>
      <c r="E2" s="1455"/>
      <c r="F2" s="1455"/>
      <c r="G2" s="1455"/>
      <c r="H2" s="1455"/>
      <c r="I2" s="1455"/>
      <c r="J2" s="1455"/>
      <c r="K2" s="1455"/>
      <c r="L2" s="1455"/>
      <c r="M2" s="1455"/>
      <c r="N2" s="1455"/>
      <c r="O2" s="1455"/>
      <c r="P2" s="1455"/>
      <c r="Q2" s="1455"/>
      <c r="R2" s="1455"/>
      <c r="S2" s="1455"/>
      <c r="T2" s="1455"/>
      <c r="U2" s="636"/>
    </row>
    <row r="3" spans="1:22" s="406" customFormat="1" ht="21.2" customHeight="1">
      <c r="A3" s="297" t="s">
        <v>798</v>
      </c>
      <c r="B3" s="1455"/>
      <c r="C3" s="1455"/>
      <c r="D3" s="1455"/>
      <c r="E3" s="1455"/>
      <c r="F3" s="1455"/>
      <c r="G3" s="1455"/>
      <c r="H3" s="1455"/>
      <c r="I3" s="1455"/>
      <c r="J3" s="1455"/>
      <c r="K3" s="1455"/>
      <c r="L3" s="1455"/>
      <c r="M3" s="1455"/>
      <c r="N3" s="1455"/>
      <c r="O3" s="1455"/>
      <c r="P3" s="1455"/>
      <c r="Q3" s="1455"/>
      <c r="R3" s="1455"/>
      <c r="S3" s="1455"/>
      <c r="T3" s="1455"/>
      <c r="U3" s="636"/>
    </row>
    <row r="4" spans="1:22" s="406" customFormat="1" ht="21.2" customHeight="1">
      <c r="A4" s="1423" t="s">
        <v>874</v>
      </c>
      <c r="B4" s="1455"/>
      <c r="C4" s="1455"/>
      <c r="D4" s="1455"/>
      <c r="E4" s="1455"/>
      <c r="F4" s="1455"/>
      <c r="G4" s="1455"/>
      <c r="H4" s="1455"/>
      <c r="I4" s="1455"/>
      <c r="J4" s="1455"/>
      <c r="K4" s="1455"/>
      <c r="L4" s="1455"/>
      <c r="M4" s="1455"/>
      <c r="N4" s="1455"/>
      <c r="O4" s="1455"/>
      <c r="P4" s="1455"/>
      <c r="Q4" s="1455"/>
      <c r="R4" s="1455"/>
      <c r="S4" s="1455"/>
      <c r="T4" s="1455"/>
      <c r="U4" s="636"/>
    </row>
    <row r="5" spans="1:22" s="406" customFormat="1" ht="18">
      <c r="A5" s="297" t="s">
        <v>875</v>
      </c>
      <c r="B5" s="1455"/>
      <c r="C5" s="1455"/>
      <c r="D5" s="1455"/>
      <c r="E5" s="1455"/>
      <c r="F5" s="1455"/>
      <c r="G5" s="1455"/>
      <c r="H5" s="1455"/>
      <c r="I5" s="1455"/>
      <c r="J5" s="1455"/>
      <c r="K5" s="1455"/>
      <c r="L5" s="1455"/>
      <c r="M5" s="1455"/>
      <c r="N5" s="1455"/>
      <c r="O5" s="1455"/>
      <c r="P5" s="1455"/>
      <c r="Q5" s="1455"/>
      <c r="R5" s="1455"/>
      <c r="S5" s="1455"/>
      <c r="T5" s="1455"/>
      <c r="U5" s="636"/>
    </row>
    <row r="6" spans="1:22" s="443" customFormat="1" ht="18" hidden="1">
      <c r="A6" s="297"/>
      <c r="B6" s="297"/>
      <c r="C6" s="442"/>
      <c r="D6" s="442"/>
      <c r="E6" s="442"/>
      <c r="F6" s="442"/>
      <c r="G6" s="442"/>
      <c r="H6" s="442"/>
      <c r="I6" s="442"/>
      <c r="J6" s="442"/>
      <c r="K6" s="442"/>
      <c r="L6" s="442"/>
      <c r="M6" s="442"/>
      <c r="N6" s="442"/>
      <c r="O6" s="442"/>
      <c r="P6" s="442"/>
      <c r="Q6" s="442"/>
      <c r="R6" s="442"/>
      <c r="S6" s="442"/>
      <c r="T6" s="442"/>
      <c r="U6" s="620"/>
    </row>
    <row r="7" spans="1:22" s="443" customFormat="1" ht="18" hidden="1">
      <c r="A7" s="297"/>
      <c r="B7" s="297"/>
      <c r="C7" s="442"/>
      <c r="D7" s="442"/>
      <c r="E7" s="442"/>
      <c r="F7" s="442"/>
      <c r="G7" s="442"/>
      <c r="H7" s="442"/>
      <c r="I7" s="442"/>
      <c r="J7" s="442"/>
      <c r="K7" s="442"/>
      <c r="L7" s="442"/>
      <c r="M7" s="442"/>
      <c r="N7" s="442"/>
      <c r="O7" s="442"/>
      <c r="P7" s="442"/>
      <c r="Q7" s="442"/>
      <c r="R7" s="442"/>
      <c r="S7" s="442"/>
      <c r="T7" s="442"/>
      <c r="U7" s="699" t="s">
        <v>355</v>
      </c>
    </row>
    <row r="8" spans="1:22" s="443" customFormat="1">
      <c r="A8" s="444" t="s">
        <v>354</v>
      </c>
      <c r="B8" s="445"/>
      <c r="C8" s="442"/>
      <c r="D8" s="442"/>
      <c r="E8" s="442"/>
      <c r="F8" s="442"/>
      <c r="G8" s="442"/>
      <c r="H8" s="442"/>
      <c r="I8" s="442"/>
      <c r="J8" s="442"/>
      <c r="K8" s="442"/>
      <c r="L8" s="442"/>
      <c r="M8" s="442"/>
      <c r="T8" s="446"/>
      <c r="U8" s="264" t="s">
        <v>355</v>
      </c>
    </row>
    <row r="9" spans="1:22" s="172" customFormat="1" ht="23.85" customHeight="1">
      <c r="A9" s="2101" t="s">
        <v>364</v>
      </c>
      <c r="B9" s="2102"/>
      <c r="C9" s="449" t="s">
        <v>876</v>
      </c>
      <c r="D9" s="171"/>
      <c r="E9" s="450"/>
      <c r="F9" s="450"/>
      <c r="G9" s="450"/>
      <c r="H9" s="450"/>
      <c r="I9" s="450"/>
      <c r="J9" s="450"/>
      <c r="K9" s="450"/>
      <c r="L9" s="692" t="s">
        <v>877</v>
      </c>
      <c r="M9" s="858"/>
      <c r="N9" s="447" t="s">
        <v>878</v>
      </c>
      <c r="O9" s="452"/>
      <c r="P9" s="452"/>
      <c r="Q9" s="188"/>
      <c r="R9" s="453"/>
      <c r="S9" s="453"/>
      <c r="T9" s="451" t="s">
        <v>879</v>
      </c>
      <c r="U9" s="1105"/>
    </row>
    <row r="10" spans="1:22" s="431" customFormat="1" ht="20.25" customHeight="1">
      <c r="A10" s="2103"/>
      <c r="B10" s="2104"/>
      <c r="C10" s="457"/>
      <c r="D10" s="458"/>
      <c r="E10" s="458"/>
      <c r="F10" s="458"/>
      <c r="G10" s="173"/>
      <c r="H10" s="197"/>
      <c r="I10" s="197"/>
      <c r="J10" s="860" t="s">
        <v>880</v>
      </c>
      <c r="K10" s="859" t="s">
        <v>881</v>
      </c>
      <c r="L10" s="197"/>
      <c r="M10" s="855"/>
      <c r="N10" s="447" t="s">
        <v>545</v>
      </c>
      <c r="O10" s="196"/>
      <c r="Q10" s="692" t="s">
        <v>546</v>
      </c>
      <c r="R10" s="694"/>
      <c r="T10" s="460"/>
      <c r="U10" s="724"/>
    </row>
    <row r="11" spans="1:22" s="431" customFormat="1" ht="47.25">
      <c r="A11" s="2103"/>
      <c r="B11" s="2104"/>
      <c r="C11" s="463" t="s">
        <v>551</v>
      </c>
      <c r="D11" s="463" t="s">
        <v>882</v>
      </c>
      <c r="E11" s="463" t="s">
        <v>883</v>
      </c>
      <c r="F11" s="463" t="s">
        <v>550</v>
      </c>
      <c r="G11" s="638" t="s">
        <v>552</v>
      </c>
      <c r="H11" s="856" t="s">
        <v>884</v>
      </c>
      <c r="I11" s="856" t="s">
        <v>885</v>
      </c>
      <c r="J11" s="856" t="s">
        <v>886</v>
      </c>
      <c r="K11" s="856" t="s">
        <v>887</v>
      </c>
      <c r="L11" s="856" t="s">
        <v>367</v>
      </c>
      <c r="M11" s="855" t="s">
        <v>888</v>
      </c>
      <c r="N11" s="454" t="s">
        <v>555</v>
      </c>
      <c r="O11" s="463" t="s">
        <v>556</v>
      </c>
      <c r="P11" s="693" t="s">
        <v>557</v>
      </c>
      <c r="Q11" s="463" t="s">
        <v>558</v>
      </c>
      <c r="R11" s="463" t="s">
        <v>559</v>
      </c>
      <c r="S11" s="463" t="s">
        <v>377</v>
      </c>
      <c r="T11" s="463" t="s">
        <v>367</v>
      </c>
      <c r="U11" s="724" t="s">
        <v>367</v>
      </c>
    </row>
    <row r="12" spans="1:22" s="431" customFormat="1" ht="63">
      <c r="A12" s="194" t="s">
        <v>372</v>
      </c>
      <c r="B12" s="464"/>
      <c r="C12" s="429" t="s">
        <v>889</v>
      </c>
      <c r="D12" s="429" t="s">
        <v>890</v>
      </c>
      <c r="E12" s="429" t="s">
        <v>891</v>
      </c>
      <c r="F12" s="429" t="s">
        <v>892</v>
      </c>
      <c r="G12" s="639" t="s">
        <v>564</v>
      </c>
      <c r="H12" s="857" t="s">
        <v>893</v>
      </c>
      <c r="I12" s="857" t="s">
        <v>894</v>
      </c>
      <c r="J12" s="857" t="s">
        <v>895</v>
      </c>
      <c r="K12" s="857" t="s">
        <v>896</v>
      </c>
      <c r="L12" s="857" t="s">
        <v>378</v>
      </c>
      <c r="M12" s="429" t="s">
        <v>897</v>
      </c>
      <c r="N12" s="430" t="s">
        <v>568</v>
      </c>
      <c r="O12" s="429" t="s">
        <v>569</v>
      </c>
      <c r="P12" s="429" t="s">
        <v>570</v>
      </c>
      <c r="Q12" s="429" t="s">
        <v>571</v>
      </c>
      <c r="R12" s="429" t="s">
        <v>898</v>
      </c>
      <c r="S12" s="429" t="s">
        <v>385</v>
      </c>
      <c r="T12" s="429" t="s">
        <v>378</v>
      </c>
      <c r="U12" s="429" t="s">
        <v>759</v>
      </c>
    </row>
    <row r="13" spans="1:22" ht="23.85" customHeight="1">
      <c r="A13" s="861">
        <v>2010</v>
      </c>
      <c r="B13" s="864"/>
      <c r="C13" s="796">
        <v>407.45346822547998</v>
      </c>
      <c r="D13" s="796">
        <v>9.9</v>
      </c>
      <c r="E13" s="796">
        <v>5.2579999999999991</v>
      </c>
      <c r="F13" s="796">
        <v>1740.6445844377602</v>
      </c>
      <c r="G13" s="796">
        <v>772.91853499579997</v>
      </c>
      <c r="H13" s="796">
        <v>235.110992912</v>
      </c>
      <c r="I13" s="796">
        <v>492.40760796301998</v>
      </c>
      <c r="J13" s="796">
        <v>100.15226809600999</v>
      </c>
      <c r="K13" s="796">
        <v>88.733765598959991</v>
      </c>
      <c r="L13" s="866">
        <v>3663.6831885340598</v>
      </c>
      <c r="M13" s="866">
        <v>261.54181086144001</v>
      </c>
      <c r="N13" s="796">
        <v>339.66655285699994</v>
      </c>
      <c r="O13" s="796">
        <v>106.68657323551</v>
      </c>
      <c r="P13" s="796">
        <v>22.921667913579995</v>
      </c>
      <c r="Q13" s="796">
        <v>886.14318475000005</v>
      </c>
      <c r="R13" s="796">
        <v>51.481775042470005</v>
      </c>
      <c r="S13" s="796">
        <v>344.47645624638</v>
      </c>
      <c r="T13" s="866">
        <v>1751.3762100449399</v>
      </c>
      <c r="U13" s="897">
        <v>5676.5602094404403</v>
      </c>
      <c r="V13" s="965">
        <f t="shared" ref="V13:V18" si="0">ROUND(U13,1)-ROUND(T13,1)-ROUND(M13,1)-ROUND(L13,1)</f>
        <v>0</v>
      </c>
    </row>
    <row r="14" spans="1:22" ht="17.45" customHeight="1">
      <c r="A14" s="862">
        <v>2011</v>
      </c>
      <c r="B14" s="821"/>
      <c r="C14" s="796">
        <v>556.97932290112419</v>
      </c>
      <c r="D14" s="796">
        <v>11.207000000000001</v>
      </c>
      <c r="E14" s="796">
        <v>8.8000000000000007</v>
      </c>
      <c r="F14" s="796">
        <v>1684.5564870711232</v>
      </c>
      <c r="G14" s="796">
        <v>852.02864014858892</v>
      </c>
      <c r="H14" s="796">
        <v>249.44821278823684</v>
      </c>
      <c r="I14" s="796">
        <v>693.75192175558323</v>
      </c>
      <c r="J14" s="796">
        <v>170.69576065705135</v>
      </c>
      <c r="K14" s="796">
        <v>143.23656253442934</v>
      </c>
      <c r="L14" s="866">
        <v>4056.7715846646565</v>
      </c>
      <c r="M14" s="866">
        <v>225.49991366711001</v>
      </c>
      <c r="N14" s="796">
        <v>679.80372489199999</v>
      </c>
      <c r="O14" s="796">
        <v>86.539291857329999</v>
      </c>
      <c r="P14" s="796">
        <v>27.461085699669997</v>
      </c>
      <c r="Q14" s="796">
        <v>934.15942245671999</v>
      </c>
      <c r="R14" s="796">
        <v>56.298135308490004</v>
      </c>
      <c r="S14" s="796">
        <v>377.88540244742001</v>
      </c>
      <c r="T14" s="866">
        <v>2162.1470626616301</v>
      </c>
      <c r="U14" s="897">
        <v>6444.4135609933965</v>
      </c>
      <c r="V14" s="965">
        <f t="shared" si="0"/>
        <v>0</v>
      </c>
    </row>
    <row r="15" spans="1:22" ht="17.45" customHeight="1">
      <c r="A15" s="862">
        <v>2012</v>
      </c>
      <c r="B15" s="821"/>
      <c r="C15" s="796">
        <v>537.49746363850431</v>
      </c>
      <c r="D15" s="796">
        <v>8.8819999999999997</v>
      </c>
      <c r="E15" s="796">
        <v>11.518999999999998</v>
      </c>
      <c r="F15" s="796">
        <v>1641.6943949904528</v>
      </c>
      <c r="G15" s="796">
        <v>960.036760106717</v>
      </c>
      <c r="H15" s="796">
        <v>327.86775068054402</v>
      </c>
      <c r="I15" s="796">
        <v>795.163533889664</v>
      </c>
      <c r="J15" s="796">
        <v>248.65012528289932</v>
      </c>
      <c r="K15" s="796">
        <v>143.78723530172923</v>
      </c>
      <c r="L15" s="866">
        <v>4282.6809033058826</v>
      </c>
      <c r="M15" s="866">
        <v>197.93556781799998</v>
      </c>
      <c r="N15" s="796">
        <v>713.12315628800002</v>
      </c>
      <c r="O15" s="796">
        <v>98.243774205425751</v>
      </c>
      <c r="P15" s="796">
        <v>25.777446946210002</v>
      </c>
      <c r="Q15" s="796">
        <v>1028.1550114543361</v>
      </c>
      <c r="R15" s="796">
        <v>73.77370599521285</v>
      </c>
      <c r="S15" s="796">
        <v>428.98696926931819</v>
      </c>
      <c r="T15" s="866">
        <v>2368.0700641585031</v>
      </c>
      <c r="U15" s="897">
        <v>6848.7065352823847</v>
      </c>
      <c r="V15" s="965">
        <f t="shared" si="0"/>
        <v>0</v>
      </c>
    </row>
    <row r="16" spans="1:22" ht="17.45" customHeight="1">
      <c r="A16" s="862">
        <v>2013</v>
      </c>
      <c r="B16" s="821"/>
      <c r="C16" s="796">
        <v>631.05695350890414</v>
      </c>
      <c r="D16" s="796">
        <v>8.4021083673862016</v>
      </c>
      <c r="E16" s="796">
        <v>10.42761543198584</v>
      </c>
      <c r="F16" s="796">
        <v>1566.1051671795917</v>
      </c>
      <c r="G16" s="796">
        <v>1144.392422251866</v>
      </c>
      <c r="H16" s="796">
        <v>180.39564304673212</v>
      </c>
      <c r="I16" s="796">
        <v>761.12650600539075</v>
      </c>
      <c r="J16" s="796">
        <v>219.94853092507864</v>
      </c>
      <c r="K16" s="796">
        <v>132.27670816998008</v>
      </c>
      <c r="L16" s="866">
        <v>4301.8964157918563</v>
      </c>
      <c r="M16" s="866">
        <v>174.791291347</v>
      </c>
      <c r="N16" s="796">
        <v>867.89515455678224</v>
      </c>
      <c r="O16" s="796">
        <v>107.9528415530016</v>
      </c>
      <c r="P16" s="796">
        <v>68.640081323200462</v>
      </c>
      <c r="Q16" s="796">
        <v>1034.4636090752711</v>
      </c>
      <c r="R16" s="796">
        <v>61.641088408986576</v>
      </c>
      <c r="S16" s="796">
        <v>553.18575665838102</v>
      </c>
      <c r="T16" s="866">
        <v>2693.7585315756228</v>
      </c>
      <c r="U16" s="897">
        <v>7170.4562883734798</v>
      </c>
      <c r="V16" s="965">
        <f t="shared" si="0"/>
        <v>0</v>
      </c>
    </row>
    <row r="17" spans="1:34" ht="17.45" customHeight="1">
      <c r="A17" s="862">
        <v>2014</v>
      </c>
      <c r="B17" s="821"/>
      <c r="C17" s="796">
        <v>529.44868692387467</v>
      </c>
      <c r="D17" s="796">
        <v>11.372903963147923</v>
      </c>
      <c r="E17" s="796">
        <v>10.971189225764135</v>
      </c>
      <c r="F17" s="796">
        <v>1363.6802681468682</v>
      </c>
      <c r="G17" s="796">
        <v>1001.0088217859924</v>
      </c>
      <c r="H17" s="796">
        <v>271.8589692174757</v>
      </c>
      <c r="I17" s="796">
        <v>781.42499502239548</v>
      </c>
      <c r="J17" s="796">
        <v>210.7726765055186</v>
      </c>
      <c r="K17" s="796">
        <v>128.28322650399463</v>
      </c>
      <c r="L17" s="866">
        <v>3969.7658342855193</v>
      </c>
      <c r="M17" s="866">
        <v>185.07298693100003</v>
      </c>
      <c r="N17" s="796">
        <v>982.01859372183253</v>
      </c>
      <c r="O17" s="796">
        <v>119.38414428519677</v>
      </c>
      <c r="P17" s="796">
        <v>68.229043078660766</v>
      </c>
      <c r="Q17" s="796">
        <v>1117.927891091105</v>
      </c>
      <c r="R17" s="796">
        <v>67.862641523617313</v>
      </c>
      <c r="S17" s="796">
        <v>606.05856928646756</v>
      </c>
      <c r="T17" s="866">
        <v>2961.4708829868796</v>
      </c>
      <c r="U17" s="897">
        <v>7116.3596957363989</v>
      </c>
      <c r="V17" s="965">
        <f t="shared" si="0"/>
        <v>0</v>
      </c>
      <c r="W17" s="1712"/>
      <c r="X17" s="1712"/>
    </row>
    <row r="18" spans="1:34" ht="17.45" customHeight="1">
      <c r="A18" s="862">
        <v>2015</v>
      </c>
      <c r="B18" s="821"/>
      <c r="C18" s="796">
        <v>630.4</v>
      </c>
      <c r="D18" s="796">
        <v>4.2</v>
      </c>
      <c r="E18" s="796">
        <v>6.4</v>
      </c>
      <c r="F18" s="796">
        <v>1343.7</v>
      </c>
      <c r="G18" s="796">
        <v>1114.3</v>
      </c>
      <c r="H18" s="796">
        <v>274.3</v>
      </c>
      <c r="I18" s="796">
        <v>786.1</v>
      </c>
      <c r="J18" s="796">
        <v>195.3</v>
      </c>
      <c r="K18" s="796">
        <v>138.9</v>
      </c>
      <c r="L18" s="866">
        <v>4159.3999999999996</v>
      </c>
      <c r="M18" s="866">
        <v>297.10000000000002</v>
      </c>
      <c r="N18" s="796">
        <v>1058.3</v>
      </c>
      <c r="O18" s="796">
        <v>124.4</v>
      </c>
      <c r="P18" s="796">
        <v>54</v>
      </c>
      <c r="Q18" s="796">
        <v>1230.4000000000001</v>
      </c>
      <c r="R18" s="796">
        <v>69</v>
      </c>
      <c r="S18" s="796">
        <v>853.1</v>
      </c>
      <c r="T18" s="866">
        <v>3389.2</v>
      </c>
      <c r="U18" s="897">
        <v>7845.7</v>
      </c>
      <c r="V18" s="965">
        <f t="shared" si="0"/>
        <v>0</v>
      </c>
      <c r="W18" s="1712"/>
      <c r="X18" s="1712"/>
    </row>
    <row r="19" spans="1:34" ht="17.45" customHeight="1">
      <c r="A19" s="862">
        <v>2016</v>
      </c>
      <c r="B19" s="821"/>
      <c r="C19" s="796">
        <v>553.3362003078139</v>
      </c>
      <c r="D19" s="796">
        <v>13.234671000000001</v>
      </c>
      <c r="E19" s="796">
        <v>6.086932553656748</v>
      </c>
      <c r="F19" s="796">
        <v>1372.9138606293786</v>
      </c>
      <c r="G19" s="796">
        <v>1106.2832513289093</v>
      </c>
      <c r="H19" s="796">
        <v>309.6727846227048</v>
      </c>
      <c r="I19" s="796">
        <v>800.05678531448177</v>
      </c>
      <c r="J19" s="796">
        <v>178.50046529932339</v>
      </c>
      <c r="K19" s="796">
        <v>163.77643491793722</v>
      </c>
      <c r="L19" s="866">
        <v>4161.5844857569446</v>
      </c>
      <c r="M19" s="866">
        <v>293.393422171</v>
      </c>
      <c r="N19" s="796">
        <v>1512.4267565786529</v>
      </c>
      <c r="O19" s="796">
        <v>124.91570434644558</v>
      </c>
      <c r="P19" s="796">
        <v>47.456477877223094</v>
      </c>
      <c r="Q19" s="796">
        <v>1211.603801150909</v>
      </c>
      <c r="R19" s="796">
        <v>80.624415123407729</v>
      </c>
      <c r="S19" s="796">
        <v>630.70100148055405</v>
      </c>
      <c r="T19" s="866">
        <v>3607.708156557193</v>
      </c>
      <c r="U19" s="897">
        <v>8062.6885616301388</v>
      </c>
      <c r="V19" s="965">
        <v>0</v>
      </c>
      <c r="W19" s="1712"/>
      <c r="X19" s="1712"/>
    </row>
    <row r="20" spans="1:34" ht="17.45" customHeight="1">
      <c r="A20" s="862">
        <v>2017</v>
      </c>
      <c r="B20" s="821"/>
      <c r="C20" s="796">
        <v>717.80999905115277</v>
      </c>
      <c r="D20" s="796">
        <v>59.735411568983594</v>
      </c>
      <c r="E20" s="796">
        <v>8.0916921406972104</v>
      </c>
      <c r="F20" s="796">
        <v>1698.2534697086758</v>
      </c>
      <c r="G20" s="796">
        <v>1125.3859333814394</v>
      </c>
      <c r="H20" s="796">
        <v>222.24686009454524</v>
      </c>
      <c r="I20" s="796">
        <v>799.09472600375341</v>
      </c>
      <c r="J20" s="796">
        <v>97.2453638540523</v>
      </c>
      <c r="K20" s="796">
        <v>172.37525030041425</v>
      </c>
      <c r="L20" s="866">
        <v>4630.6180919492481</v>
      </c>
      <c r="M20" s="866">
        <v>333.20340702185467</v>
      </c>
      <c r="N20" s="796">
        <v>1613.5704755808929</v>
      </c>
      <c r="O20" s="796">
        <v>114.92558106559665</v>
      </c>
      <c r="P20" s="796">
        <v>52.880254186261901</v>
      </c>
      <c r="Q20" s="796">
        <v>1278.2919015809598</v>
      </c>
      <c r="R20" s="796">
        <v>86.088649882896917</v>
      </c>
      <c r="S20" s="796">
        <v>589.5464118674613</v>
      </c>
      <c r="T20" s="866">
        <v>3735.3002741640694</v>
      </c>
      <c r="U20" s="897">
        <v>8699.1442794191717</v>
      </c>
      <c r="V20" s="965">
        <v>0</v>
      </c>
      <c r="W20" s="1712"/>
      <c r="X20" s="1712"/>
    </row>
    <row r="21" spans="1:34" ht="17.25" customHeight="1">
      <c r="A21" s="862">
        <v>2018</v>
      </c>
      <c r="B21" s="821"/>
      <c r="C21" s="796">
        <f t="shared" ref="C21:U21" si="1">C25</f>
        <v>916.27964070843836</v>
      </c>
      <c r="D21" s="796">
        <f t="shared" si="1"/>
        <v>96.512545895725566</v>
      </c>
      <c r="E21" s="796">
        <f t="shared" si="1"/>
        <v>2.29520964552934</v>
      </c>
      <c r="F21" s="796">
        <f t="shared" si="1"/>
        <v>1866.8099685728573</v>
      </c>
      <c r="G21" s="796">
        <f t="shared" si="1"/>
        <v>1132.1155931347184</v>
      </c>
      <c r="H21" s="796">
        <f t="shared" si="1"/>
        <v>228.12806595932562</v>
      </c>
      <c r="I21" s="796">
        <f t="shared" si="1"/>
        <v>854.2589702505868</v>
      </c>
      <c r="J21" s="796">
        <f t="shared" si="1"/>
        <v>143.44401924099665</v>
      </c>
      <c r="K21" s="796">
        <f t="shared" si="1"/>
        <v>177.34437174148391</v>
      </c>
      <c r="L21" s="866">
        <f t="shared" si="1"/>
        <v>5096.3999941671809</v>
      </c>
      <c r="M21" s="866">
        <f t="shared" si="1"/>
        <v>261.14266266389723</v>
      </c>
      <c r="N21" s="796">
        <f t="shared" si="1"/>
        <v>1796.6556200730508</v>
      </c>
      <c r="O21" s="796">
        <f t="shared" si="1"/>
        <v>103.01312042745215</v>
      </c>
      <c r="P21" s="796">
        <f t="shared" si="1"/>
        <v>134.13652000812272</v>
      </c>
      <c r="Q21" s="796">
        <f t="shared" si="1"/>
        <v>1325.0552413339694</v>
      </c>
      <c r="R21" s="796">
        <f t="shared" si="1"/>
        <v>72.527739006359454</v>
      </c>
      <c r="S21" s="796">
        <f t="shared" si="1"/>
        <v>730.96027452571207</v>
      </c>
      <c r="T21" s="796">
        <f t="shared" si="1"/>
        <v>4162.3585153746671</v>
      </c>
      <c r="U21" s="897">
        <f t="shared" si="1"/>
        <v>9519.8911722057455</v>
      </c>
      <c r="V21" s="965">
        <f t="shared" ref="V21" si="2">ROUND(U21,1)-ROUND(T21,1)-ROUND(M21,1)-ROUND(L21,1)</f>
        <v>0</v>
      </c>
      <c r="W21" s="1712"/>
      <c r="X21" s="1712"/>
    </row>
    <row r="22" spans="1:34" ht="17.25" customHeight="1">
      <c r="A22" s="972">
        <v>2019</v>
      </c>
      <c r="B22" s="973"/>
      <c r="C22" s="863">
        <f t="shared" ref="C22:U22" si="3">C29</f>
        <v>1068.064328588388</v>
      </c>
      <c r="D22" s="863">
        <f t="shared" si="3"/>
        <v>86.739885320625149</v>
      </c>
      <c r="E22" s="863">
        <f t="shared" si="3"/>
        <v>6.7235906787951718</v>
      </c>
      <c r="F22" s="863">
        <f t="shared" si="3"/>
        <v>1841.4148149535815</v>
      </c>
      <c r="G22" s="863">
        <f t="shared" si="3"/>
        <v>1070.969790304217</v>
      </c>
      <c r="H22" s="863">
        <f t="shared" si="3"/>
        <v>251.77125501109865</v>
      </c>
      <c r="I22" s="863">
        <f t="shared" si="3"/>
        <v>812.91814891595709</v>
      </c>
      <c r="J22" s="863">
        <f t="shared" si="3"/>
        <v>127.20132631537298</v>
      </c>
      <c r="K22" s="863">
        <f t="shared" si="3"/>
        <v>151.60078867119611</v>
      </c>
      <c r="L22" s="867">
        <f t="shared" si="3"/>
        <v>5138.6018137726624</v>
      </c>
      <c r="M22" s="867">
        <f t="shared" si="3"/>
        <v>301.55149023442948</v>
      </c>
      <c r="N22" s="863">
        <f t="shared" si="3"/>
        <v>1950.5386812877844</v>
      </c>
      <c r="O22" s="863">
        <f t="shared" si="3"/>
        <v>85.162818219965175</v>
      </c>
      <c r="P22" s="863">
        <f t="shared" si="3"/>
        <v>108.70478611362125</v>
      </c>
      <c r="Q22" s="863">
        <f t="shared" si="3"/>
        <v>1540.7472417995232</v>
      </c>
      <c r="R22" s="863">
        <f t="shared" si="3"/>
        <v>104.03196525536923</v>
      </c>
      <c r="S22" s="863">
        <f t="shared" si="3"/>
        <v>507.0103124122287</v>
      </c>
      <c r="T22" s="863">
        <f t="shared" si="3"/>
        <v>4296.1458050884921</v>
      </c>
      <c r="U22" s="1713">
        <f t="shared" si="3"/>
        <v>9736.3491090955849</v>
      </c>
      <c r="V22" s="965">
        <f t="shared" ref="V22" si="4">ROUND(U22,1)-ROUND(T22,1)-ROUND(M22,1)-ROUND(L22,1)</f>
        <v>0</v>
      </c>
    </row>
    <row r="23" spans="1:34" ht="20.25" customHeight="1">
      <c r="A23" s="862">
        <v>2018</v>
      </c>
      <c r="B23" s="821" t="s">
        <v>223</v>
      </c>
      <c r="C23" s="796">
        <v>790.10816385190344</v>
      </c>
      <c r="D23" s="796">
        <v>85.288981391488974</v>
      </c>
      <c r="E23" s="796">
        <v>5.33785557850379</v>
      </c>
      <c r="F23" s="796">
        <v>1777.0114746609934</v>
      </c>
      <c r="G23" s="796">
        <v>1148.06565779999</v>
      </c>
      <c r="H23" s="796">
        <v>241.21622246055011</v>
      </c>
      <c r="I23" s="796">
        <v>864.81903875569492</v>
      </c>
      <c r="J23" s="796">
        <v>103.35490441662216</v>
      </c>
      <c r="K23" s="796">
        <v>167.80442509303307</v>
      </c>
      <c r="L23" s="866">
        <v>4911.8473944991247</v>
      </c>
      <c r="M23" s="866">
        <v>357.73119223820993</v>
      </c>
      <c r="N23" s="796">
        <v>1764.9483199022295</v>
      </c>
      <c r="O23" s="796">
        <v>105.72166778208793</v>
      </c>
      <c r="P23" s="796">
        <v>54.483094612777407</v>
      </c>
      <c r="Q23" s="796">
        <v>1295.5895118648994</v>
      </c>
      <c r="R23" s="796">
        <v>67.760838849511984</v>
      </c>
      <c r="S23" s="796">
        <v>644.31635859481594</v>
      </c>
      <c r="T23" s="866">
        <v>3932.8305273033211</v>
      </c>
      <c r="U23" s="897">
        <v>9202.3386112149165</v>
      </c>
      <c r="V23" s="965">
        <f t="shared" ref="V23" si="5">ROUND(U23,1)-ROUND(T23,1)-ROUND(M23,1)-ROUND(L23,1)</f>
        <v>0</v>
      </c>
    </row>
    <row r="24" spans="1:34" ht="17.25" customHeight="1">
      <c r="A24" s="862"/>
      <c r="B24" s="821" t="s">
        <v>224</v>
      </c>
      <c r="C24" s="796">
        <v>870.15129962991546</v>
      </c>
      <c r="D24" s="796">
        <v>84.114568061626144</v>
      </c>
      <c r="E24" s="796">
        <v>2.1141527176287438</v>
      </c>
      <c r="F24" s="796">
        <v>1814.1778245978994</v>
      </c>
      <c r="G24" s="796">
        <v>1144.4867295642562</v>
      </c>
      <c r="H24" s="796">
        <v>214.24559770197956</v>
      </c>
      <c r="I24" s="796">
        <v>813.92469826901402</v>
      </c>
      <c r="J24" s="796">
        <v>104.2427495519434</v>
      </c>
      <c r="K24" s="796">
        <v>186.37553156929275</v>
      </c>
      <c r="L24" s="866">
        <v>4943.2148705421041</v>
      </c>
      <c r="M24" s="866">
        <v>266.45624395591318</v>
      </c>
      <c r="N24" s="796">
        <v>1792.0945841914099</v>
      </c>
      <c r="O24" s="796">
        <v>103.80186353319105</v>
      </c>
      <c r="P24" s="796">
        <v>70.210185705174482</v>
      </c>
      <c r="Q24" s="796">
        <v>1316.5208310740074</v>
      </c>
      <c r="R24" s="796">
        <v>68.617349761827768</v>
      </c>
      <c r="S24" s="796">
        <v>706.87458890497032</v>
      </c>
      <c r="T24" s="796">
        <v>4058.1194031705813</v>
      </c>
      <c r="U24" s="897">
        <v>9267.7575130201512</v>
      </c>
      <c r="V24" s="965">
        <v>0</v>
      </c>
      <c r="W24" s="469"/>
    </row>
    <row r="25" spans="1:34" ht="17.25" customHeight="1">
      <c r="A25" s="862"/>
      <c r="B25" s="821" t="s">
        <v>225</v>
      </c>
      <c r="C25" s="796">
        <v>916.27964070843836</v>
      </c>
      <c r="D25" s="796">
        <v>96.512545895725566</v>
      </c>
      <c r="E25" s="796">
        <v>2.29520964552934</v>
      </c>
      <c r="F25" s="796">
        <v>1866.8099685728573</v>
      </c>
      <c r="G25" s="796">
        <v>1132.1155931347184</v>
      </c>
      <c r="H25" s="796">
        <v>228.12806595932562</v>
      </c>
      <c r="I25" s="796">
        <v>854.2589702505868</v>
      </c>
      <c r="J25" s="796">
        <v>143.44401924099665</v>
      </c>
      <c r="K25" s="796">
        <v>177.34437174148391</v>
      </c>
      <c r="L25" s="866">
        <v>5096.3999941671809</v>
      </c>
      <c r="M25" s="866">
        <v>261.14266266389723</v>
      </c>
      <c r="N25" s="796">
        <v>1796.6556200730508</v>
      </c>
      <c r="O25" s="796">
        <v>103.01312042745215</v>
      </c>
      <c r="P25" s="796">
        <v>134.13652000812272</v>
      </c>
      <c r="Q25" s="796">
        <v>1325.0552413339694</v>
      </c>
      <c r="R25" s="796">
        <v>72.527739006359454</v>
      </c>
      <c r="S25" s="796">
        <v>730.96027452571207</v>
      </c>
      <c r="T25" s="796">
        <v>4162.3585153746671</v>
      </c>
      <c r="U25" s="897">
        <v>9519.8911722057455</v>
      </c>
      <c r="V25" s="965">
        <v>0</v>
      </c>
    </row>
    <row r="26" spans="1:34" ht="23.85" customHeight="1">
      <c r="A26" s="862">
        <v>2019</v>
      </c>
      <c r="B26" s="821" t="s">
        <v>222</v>
      </c>
      <c r="C26" s="796">
        <v>972.70813893647926</v>
      </c>
      <c r="D26" s="796">
        <v>96.296531280596511</v>
      </c>
      <c r="E26" s="796">
        <v>2.9847766182866713</v>
      </c>
      <c r="F26" s="796">
        <v>1827.2554003040411</v>
      </c>
      <c r="G26" s="796">
        <v>1146.0120228287562</v>
      </c>
      <c r="H26" s="796">
        <v>210.23886168458554</v>
      </c>
      <c r="I26" s="796">
        <v>837.28482164650802</v>
      </c>
      <c r="J26" s="796">
        <v>108.75627649234988</v>
      </c>
      <c r="K26" s="796">
        <v>166.08429475930524</v>
      </c>
      <c r="L26" s="866">
        <v>5092.7715532992534</v>
      </c>
      <c r="M26" s="866">
        <v>307.31593699448734</v>
      </c>
      <c r="N26" s="796">
        <v>1845.5840280829452</v>
      </c>
      <c r="O26" s="796">
        <v>100.7410892694959</v>
      </c>
      <c r="P26" s="796">
        <v>153.09540485443807</v>
      </c>
      <c r="Q26" s="796">
        <v>1320.0772080052393</v>
      </c>
      <c r="R26" s="796">
        <v>69.467883446719966</v>
      </c>
      <c r="S26" s="796">
        <v>734.11188673400193</v>
      </c>
      <c r="T26" s="866">
        <v>4223.0875003928404</v>
      </c>
      <c r="U26" s="897">
        <v>9623.1739906865823</v>
      </c>
      <c r="V26" s="965">
        <v>0</v>
      </c>
    </row>
    <row r="27" spans="1:34" ht="17.25" customHeight="1">
      <c r="A27" s="862"/>
      <c r="B27" s="821" t="s">
        <v>223</v>
      </c>
      <c r="C27" s="796">
        <f t="shared" ref="C27:U27" si="6">C33</f>
        <v>1043.1346844288389</v>
      </c>
      <c r="D27" s="796">
        <f t="shared" si="6"/>
        <v>124.69073616559639</v>
      </c>
      <c r="E27" s="796">
        <f t="shared" si="6"/>
        <v>4.6569558475642383</v>
      </c>
      <c r="F27" s="796">
        <f t="shared" si="6"/>
        <v>1872.8997378422098</v>
      </c>
      <c r="G27" s="796">
        <f t="shared" si="6"/>
        <v>1120.3326992281395</v>
      </c>
      <c r="H27" s="796">
        <f t="shared" si="6"/>
        <v>239.14400963728792</v>
      </c>
      <c r="I27" s="796">
        <f t="shared" si="6"/>
        <v>837.0051502034039</v>
      </c>
      <c r="J27" s="796">
        <f t="shared" si="6"/>
        <v>125.02674564106846</v>
      </c>
      <c r="K27" s="796">
        <f t="shared" si="6"/>
        <v>141.93598492645719</v>
      </c>
      <c r="L27" s="866">
        <f t="shared" si="6"/>
        <v>5241.8139733530415</v>
      </c>
      <c r="M27" s="866">
        <f t="shared" si="6"/>
        <v>342.21842877499552</v>
      </c>
      <c r="N27" s="796">
        <f t="shared" si="6"/>
        <v>1863.894708368801</v>
      </c>
      <c r="O27" s="796">
        <f t="shared" si="6"/>
        <v>96.563893614578205</v>
      </c>
      <c r="P27" s="796">
        <f t="shared" si="6"/>
        <v>175.25505795899548</v>
      </c>
      <c r="Q27" s="796">
        <f t="shared" si="6"/>
        <v>1343.1416636896993</v>
      </c>
      <c r="R27" s="796">
        <f t="shared" si="6"/>
        <v>76.791424634111621</v>
      </c>
      <c r="S27" s="796">
        <f t="shared" si="6"/>
        <v>747.60407402549811</v>
      </c>
      <c r="T27" s="927">
        <f t="shared" si="6"/>
        <v>4303.3008222916842</v>
      </c>
      <c r="U27" s="897">
        <f t="shared" si="6"/>
        <v>9887.3332244197209</v>
      </c>
      <c r="V27" s="965">
        <f t="shared" ref="V27" si="7">ROUND(U27,1)-ROUND(T27,1)-ROUND(M27,1)-ROUND(L27,1)</f>
        <v>0</v>
      </c>
      <c r="W27" s="469"/>
      <c r="X27" s="469"/>
      <c r="Y27" s="469"/>
      <c r="Z27" s="469"/>
      <c r="AA27" s="469"/>
      <c r="AB27" s="469"/>
      <c r="AC27" s="469"/>
      <c r="AD27" s="469"/>
      <c r="AE27" s="469"/>
      <c r="AF27" s="469"/>
      <c r="AG27" s="469"/>
      <c r="AH27" s="469"/>
    </row>
    <row r="28" spans="1:34" ht="17.25" customHeight="1">
      <c r="A28" s="862"/>
      <c r="B28" s="821" t="s">
        <v>224</v>
      </c>
      <c r="C28" s="796">
        <f t="shared" ref="C28:U28" si="8">C36</f>
        <v>1074.9770848005799</v>
      </c>
      <c r="D28" s="796">
        <f t="shared" si="8"/>
        <v>67.800158170000003</v>
      </c>
      <c r="E28" s="796">
        <f t="shared" si="8"/>
        <v>6.1426856644801511</v>
      </c>
      <c r="F28" s="796">
        <f t="shared" si="8"/>
        <v>1867.9890257915413</v>
      </c>
      <c r="G28" s="796">
        <f t="shared" si="8"/>
        <v>1090.6673765737164</v>
      </c>
      <c r="H28" s="796">
        <f t="shared" si="8"/>
        <v>240.83754555950154</v>
      </c>
      <c r="I28" s="796">
        <f t="shared" si="8"/>
        <v>822.01219365693919</v>
      </c>
      <c r="J28" s="796">
        <f t="shared" si="8"/>
        <v>124.67589648455485</v>
      </c>
      <c r="K28" s="796">
        <f t="shared" si="8"/>
        <v>142.89844331115361</v>
      </c>
      <c r="L28" s="866">
        <f t="shared" si="8"/>
        <v>5170.4260702167576</v>
      </c>
      <c r="M28" s="866">
        <f t="shared" si="8"/>
        <v>270.63688572467549</v>
      </c>
      <c r="N28" s="796">
        <f t="shared" si="8"/>
        <v>1904.0713156598656</v>
      </c>
      <c r="O28" s="796">
        <f t="shared" si="8"/>
        <v>90.61669383540017</v>
      </c>
      <c r="P28" s="796">
        <f t="shared" si="8"/>
        <v>162.73933395095554</v>
      </c>
      <c r="Q28" s="796">
        <f t="shared" si="8"/>
        <v>1535.6708275006717</v>
      </c>
      <c r="R28" s="796">
        <f t="shared" si="8"/>
        <v>99.971324180146581</v>
      </c>
      <c r="S28" s="796">
        <f t="shared" si="8"/>
        <v>549.56716193225043</v>
      </c>
      <c r="T28" s="927">
        <f t="shared" si="8"/>
        <v>4342.6566570592904</v>
      </c>
      <c r="U28" s="897">
        <f t="shared" si="8"/>
        <v>9783.7296130007235</v>
      </c>
      <c r="V28" s="965">
        <f t="shared" ref="V28" si="9">ROUND(U28,1)-ROUND(T28,1)-ROUND(M28,1)-ROUND(L28,1)</f>
        <v>0</v>
      </c>
    </row>
    <row r="29" spans="1:34" s="469" customFormat="1" ht="17.25" customHeight="1">
      <c r="A29" s="862"/>
      <c r="B29" s="821" t="s">
        <v>225</v>
      </c>
      <c r="C29" s="796">
        <f t="shared" ref="C29:U29" si="10">C39</f>
        <v>1068.064328588388</v>
      </c>
      <c r="D29" s="796">
        <f t="shared" si="10"/>
        <v>86.739885320625149</v>
      </c>
      <c r="E29" s="796">
        <f t="shared" si="10"/>
        <v>6.7235906787951718</v>
      </c>
      <c r="F29" s="796">
        <f t="shared" si="10"/>
        <v>1841.4148149535815</v>
      </c>
      <c r="G29" s="796">
        <f t="shared" si="10"/>
        <v>1070.969790304217</v>
      </c>
      <c r="H29" s="796">
        <f t="shared" si="10"/>
        <v>251.77125501109865</v>
      </c>
      <c r="I29" s="796">
        <f t="shared" si="10"/>
        <v>812.91814891595709</v>
      </c>
      <c r="J29" s="796">
        <f t="shared" si="10"/>
        <v>127.20132631537298</v>
      </c>
      <c r="K29" s="796">
        <f t="shared" si="10"/>
        <v>151.60078867119611</v>
      </c>
      <c r="L29" s="866">
        <f t="shared" si="10"/>
        <v>5138.6018137726624</v>
      </c>
      <c r="M29" s="866">
        <f t="shared" si="10"/>
        <v>301.55149023442948</v>
      </c>
      <c r="N29" s="796">
        <f t="shared" si="10"/>
        <v>1950.5386812877844</v>
      </c>
      <c r="O29" s="796">
        <f t="shared" si="10"/>
        <v>85.162818219965175</v>
      </c>
      <c r="P29" s="796">
        <f t="shared" si="10"/>
        <v>108.70478611362125</v>
      </c>
      <c r="Q29" s="796">
        <f t="shared" si="10"/>
        <v>1540.7472417995232</v>
      </c>
      <c r="R29" s="796">
        <f t="shared" si="10"/>
        <v>104.03196525536923</v>
      </c>
      <c r="S29" s="796">
        <f t="shared" si="10"/>
        <v>507.0103124122287</v>
      </c>
      <c r="T29" s="927">
        <f t="shared" si="10"/>
        <v>4296.1458050884921</v>
      </c>
      <c r="U29" s="897">
        <f t="shared" si="10"/>
        <v>9736.3491090955849</v>
      </c>
      <c r="V29" s="965">
        <f t="shared" ref="V29" si="11">ROUND(U29,1)-ROUND(T29,1)-ROUND(M29,1)-ROUND(L29,1)</f>
        <v>0</v>
      </c>
    </row>
    <row r="30" spans="1:34" ht="21" customHeight="1">
      <c r="A30" s="972">
        <v>2020</v>
      </c>
      <c r="B30" s="973" t="s">
        <v>222</v>
      </c>
      <c r="C30" s="863">
        <f t="shared" ref="C30:U30" si="12">C42</f>
        <v>1211.101472842261</v>
      </c>
      <c r="D30" s="863">
        <f t="shared" si="12"/>
        <v>107.196333873</v>
      </c>
      <c r="E30" s="863">
        <f t="shared" si="12"/>
        <v>6.1173210258581854</v>
      </c>
      <c r="F30" s="863">
        <f t="shared" si="12"/>
        <v>1842.8356617296595</v>
      </c>
      <c r="G30" s="863">
        <f t="shared" si="12"/>
        <v>1047.5814951177781</v>
      </c>
      <c r="H30" s="863">
        <f t="shared" si="12"/>
        <v>254.64262420791457</v>
      </c>
      <c r="I30" s="863">
        <f t="shared" si="12"/>
        <v>807.05464949623524</v>
      </c>
      <c r="J30" s="863">
        <f t="shared" si="12"/>
        <v>119.24521103483721</v>
      </c>
      <c r="K30" s="863">
        <f t="shared" si="12"/>
        <v>171.29897229413129</v>
      </c>
      <c r="L30" s="867">
        <f t="shared" si="12"/>
        <v>5276.5295582927074</v>
      </c>
      <c r="M30" s="867">
        <f t="shared" si="12"/>
        <v>441.47652010338714</v>
      </c>
      <c r="N30" s="863">
        <f t="shared" si="12"/>
        <v>1999.2881727825575</v>
      </c>
      <c r="O30" s="863">
        <f t="shared" si="12"/>
        <v>118.63016540643082</v>
      </c>
      <c r="P30" s="863">
        <f t="shared" si="12"/>
        <v>159.28807637998642</v>
      </c>
      <c r="Q30" s="863">
        <f t="shared" si="12"/>
        <v>1637.8253838290102</v>
      </c>
      <c r="R30" s="863">
        <f t="shared" si="12"/>
        <v>100.15793271639615</v>
      </c>
      <c r="S30" s="863">
        <f t="shared" si="12"/>
        <v>392.42350145603478</v>
      </c>
      <c r="T30" s="985">
        <f t="shared" si="12"/>
        <v>4407.5932325704161</v>
      </c>
      <c r="U30" s="1713">
        <f t="shared" si="12"/>
        <v>10125.599310966511</v>
      </c>
      <c r="V30" s="965">
        <f t="shared" ref="V30" si="13">ROUND(U30,1)-ROUND(T30,1)-ROUND(M30,1)-ROUND(L30,1)</f>
        <v>0</v>
      </c>
    </row>
    <row r="31" spans="1:34" ht="23.85" customHeight="1">
      <c r="A31" s="862">
        <v>2019</v>
      </c>
      <c r="B31" s="821" t="s">
        <v>399</v>
      </c>
      <c r="C31" s="796">
        <f>'[5]5'!$D$20</f>
        <v>984.27954091301808</v>
      </c>
      <c r="D31" s="796">
        <f>'[5]5'!$D$12</f>
        <v>98.767197233955116</v>
      </c>
      <c r="E31" s="796">
        <f>'[5]5'!$D$11</f>
        <v>2.8840065154396139</v>
      </c>
      <c r="F31" s="796">
        <f>'[5]5'!$D$15</f>
        <v>1874.9789533230764</v>
      </c>
      <c r="G31" s="796">
        <f>'[5]5'!$D$29-0.01</f>
        <v>1131.1409535315652</v>
      </c>
      <c r="H31" s="796">
        <f>'[5]5'!$D$37</f>
        <v>217.66618227339751</v>
      </c>
      <c r="I31" s="796">
        <f>'[5]5'!$D$42-0.03</f>
        <v>821.3374189322476</v>
      </c>
      <c r="J31" s="796">
        <f>'[5]5'!$D$43</f>
        <v>110.14177151227473</v>
      </c>
      <c r="K31" s="796">
        <f>'[5]5'!$D$45</f>
        <v>160.40059273551964</v>
      </c>
      <c r="L31" s="866">
        <f>'[5]5'!$D$10</f>
        <v>5131.090252722699</v>
      </c>
      <c r="M31" s="866">
        <f>'[5]5'!$D$55</f>
        <v>308.57255951816381</v>
      </c>
      <c r="N31" s="796">
        <f>'[5]5'!$D$49</f>
        <v>1858.5120542369057</v>
      </c>
      <c r="O31" s="796">
        <f>'[5]5'!$D$50</f>
        <v>99.241364333544666</v>
      </c>
      <c r="P31" s="796">
        <f>'[5]5'!$D$51</f>
        <v>179.05870743741193</v>
      </c>
      <c r="Q31" s="796">
        <f>'[5]5'!$D$52</f>
        <v>1322.2815720026906</v>
      </c>
      <c r="R31" s="796">
        <f>'[5]5'!$D$53</f>
        <v>71.801882050553104</v>
      </c>
      <c r="S31" s="796">
        <f>'[5]5'!$D$54</f>
        <v>748.38468369677184</v>
      </c>
      <c r="T31" s="796">
        <f>'[5]5'!$D$48</f>
        <v>4279.2802637578779</v>
      </c>
      <c r="U31" s="897">
        <f>'[5]5'!$D$58+0.01</f>
        <v>9718.9570759987419</v>
      </c>
      <c r="V31" s="965">
        <f t="shared" ref="V31" si="14">ROUND(U31,1)-ROUND(T31,1)-ROUND(M31,1)-ROUND(L31,1)</f>
        <v>0</v>
      </c>
    </row>
    <row r="32" spans="1:34" ht="17.25" customHeight="1">
      <c r="A32" s="862"/>
      <c r="B32" s="821" t="s">
        <v>400</v>
      </c>
      <c r="C32" s="796">
        <f>'[6]5'!$D$20</f>
        <v>1000.8094090875859</v>
      </c>
      <c r="D32" s="796">
        <f>'[6]5'!$D$12</f>
        <v>93.856429007338249</v>
      </c>
      <c r="E32" s="796">
        <f>'[6]5'!$D$11</f>
        <v>4.9726233379184324</v>
      </c>
      <c r="F32" s="796">
        <f>'[6]5'!$D$15</f>
        <v>1872.4263719409589</v>
      </c>
      <c r="G32" s="796">
        <f>'[6]5'!$D$29</f>
        <v>1133.8226251735521</v>
      </c>
      <c r="H32" s="796">
        <f>'[6]5'!$D$37</f>
        <v>246.01004782281876</v>
      </c>
      <c r="I32" s="796">
        <f>'[6]5'!$D$42</f>
        <v>824.75885767648936</v>
      </c>
      <c r="J32" s="796">
        <f>'[6]5'!$D$43</f>
        <v>114.97535390260235</v>
      </c>
      <c r="K32" s="796">
        <f>'[6]5'!$D$45</f>
        <v>160.3792111776055</v>
      </c>
      <c r="L32" s="796">
        <f>'[6]5'!$D$10</f>
        <v>5176.6562852966617</v>
      </c>
      <c r="M32" s="796">
        <f>'[6]5'!$D$55</f>
        <v>320.49398413551444</v>
      </c>
      <c r="N32" s="796">
        <f>'[6]5'!$D$49</f>
        <v>1860.6826341135461</v>
      </c>
      <c r="O32" s="796">
        <f>'[6]5'!$D$50-0.02</f>
        <v>96.637170467802477</v>
      </c>
      <c r="P32" s="796">
        <f>'[6]5'!$D$51</f>
        <v>175.66497473103902</v>
      </c>
      <c r="Q32" s="796">
        <f>'[6]5'!$D$52</f>
        <v>1335.7610113682185</v>
      </c>
      <c r="R32" s="796">
        <f>'[6]5'!$D$53</f>
        <v>75.024834487938577</v>
      </c>
      <c r="S32" s="796">
        <f>'[6]5'!$D$54</f>
        <v>748.04086965117335</v>
      </c>
      <c r="T32" s="796">
        <f>'[6]5'!$D$48</f>
        <v>4291.8314948197185</v>
      </c>
      <c r="U32" s="977">
        <f>'[6]5'!$D$58</f>
        <v>9788.9818430018931</v>
      </c>
      <c r="V32" s="965">
        <f t="shared" ref="V32" si="15">ROUND(U32,1)-ROUND(T32,1)-ROUND(M32,1)-ROUND(L32,1)</f>
        <v>0</v>
      </c>
    </row>
    <row r="33" spans="1:22" ht="17.25" customHeight="1">
      <c r="A33" s="862"/>
      <c r="B33" s="821" t="s">
        <v>401</v>
      </c>
      <c r="C33" s="796">
        <f>'[7]5'!$D$20</f>
        <v>1043.1346844288389</v>
      </c>
      <c r="D33" s="796">
        <f>'[7]5'!$D$12+0.05</f>
        <v>124.69073616559639</v>
      </c>
      <c r="E33" s="796">
        <f>'[7]5'!$D$11</f>
        <v>4.6569558475642383</v>
      </c>
      <c r="F33" s="796">
        <f>'[7]5'!$D$15</f>
        <v>1872.8997378422098</v>
      </c>
      <c r="G33" s="796">
        <f>'[7]5'!$D$29</f>
        <v>1120.3326992281395</v>
      </c>
      <c r="H33" s="796">
        <f>'[7]5'!$D$37</f>
        <v>239.14400963728792</v>
      </c>
      <c r="I33" s="796">
        <f>'[7]5'!$D$42</f>
        <v>837.0051502034039</v>
      </c>
      <c r="J33" s="796">
        <f>'[7]5'!$D$43</f>
        <v>125.02674564106846</v>
      </c>
      <c r="K33" s="796">
        <f>'[7]5'!$D$45</f>
        <v>141.93598492645719</v>
      </c>
      <c r="L33" s="796">
        <f>'[7]5'!$D$10</f>
        <v>5241.8139733530415</v>
      </c>
      <c r="M33" s="796">
        <f>'[7]5'!$D$55</f>
        <v>342.21842877499552</v>
      </c>
      <c r="N33" s="796">
        <f>'[7]5'!$D$49</f>
        <v>1863.894708368801</v>
      </c>
      <c r="O33" s="796">
        <f>'[7]5'!$D$50</f>
        <v>96.563893614578205</v>
      </c>
      <c r="P33" s="796">
        <f>'[7]5'!$D$51</f>
        <v>175.25505795899548</v>
      </c>
      <c r="Q33" s="796">
        <f>'[7]5'!$D$52</f>
        <v>1343.1416636896993</v>
      </c>
      <c r="R33" s="796">
        <f>'[7]5'!$D$53</f>
        <v>76.791424634111621</v>
      </c>
      <c r="S33" s="796">
        <f>'[7]5'!$D$54-0.05</f>
        <v>747.60407402549811</v>
      </c>
      <c r="T33" s="796">
        <f>'[7]5'!$D$48</f>
        <v>4303.3008222916842</v>
      </c>
      <c r="U33" s="977">
        <f>'[7]5'!$D$58</f>
        <v>9887.3332244197209</v>
      </c>
      <c r="V33" s="965">
        <f t="shared" ref="V33" si="16">ROUND(U33,1)-ROUND(T33,1)-ROUND(M33,1)-ROUND(L33,1)</f>
        <v>0</v>
      </c>
    </row>
    <row r="34" spans="1:22" ht="17.25" customHeight="1">
      <c r="A34" s="862"/>
      <c r="B34" s="821" t="s">
        <v>402</v>
      </c>
      <c r="C34" s="796">
        <f>'[8]5'!$D$20</f>
        <v>1062.180252985688</v>
      </c>
      <c r="D34" s="796">
        <f>'[8]5'!$D$12</f>
        <v>52.899999999999991</v>
      </c>
      <c r="E34" s="796">
        <f>'[8]5'!$D$11-0.01</f>
        <v>5.1400974571518976</v>
      </c>
      <c r="F34" s="796">
        <f>'[8]5'!$D$15</f>
        <v>1849.8254809020316</v>
      </c>
      <c r="G34" s="796">
        <f>'[8]5'!$D$29</f>
        <v>1120.7703240680808</v>
      </c>
      <c r="H34" s="796">
        <f>'[8]5'!$D$37</f>
        <v>239.44942757362358</v>
      </c>
      <c r="I34" s="796">
        <f>'[8]5'!$D$42</f>
        <v>842.2665340679298</v>
      </c>
      <c r="J34" s="796">
        <f>'[8]5'!$D$43</f>
        <v>124.45598892842696</v>
      </c>
      <c r="K34" s="796">
        <f>'[8]5'!$D$45</f>
        <v>144.96147323833358</v>
      </c>
      <c r="L34" s="796">
        <f>'[8]5'!$D$10</f>
        <v>5172.542117054506</v>
      </c>
      <c r="M34" s="796">
        <f>'[8]5'!$D$55+0.01</f>
        <v>315.656634708784</v>
      </c>
      <c r="N34" s="796">
        <f>'[8]5'!$D$49</f>
        <v>1883.8834913131691</v>
      </c>
      <c r="O34" s="796">
        <f>'[8]5'!$D$50</f>
        <v>95.234672816252001</v>
      </c>
      <c r="P34" s="796">
        <f>'[8]5'!$D$51</f>
        <v>178.5426988185863</v>
      </c>
      <c r="Q34" s="796">
        <f>'[8]5'!$D$52</f>
        <v>1357.0939256890538</v>
      </c>
      <c r="R34" s="796">
        <f>'[8]5'!$D$53</f>
        <v>76.002325344438191</v>
      </c>
      <c r="S34" s="796">
        <f>'[8]5'!$D$54+0.02</f>
        <v>737.66112350791218</v>
      </c>
      <c r="T34" s="796">
        <f>'[8]5'!$D$48</f>
        <v>4328.4002374894117</v>
      </c>
      <c r="U34" s="977">
        <f>'[8]5'!$D$58</f>
        <v>9816.5889892527011</v>
      </c>
      <c r="V34" s="965">
        <f t="shared" ref="V34" si="17">ROUND(U34,1)-ROUND(T34,1)-ROUND(M34,1)-ROUND(L34,1)</f>
        <v>0</v>
      </c>
    </row>
    <row r="35" spans="1:22" ht="17.25" customHeight="1">
      <c r="A35" s="862"/>
      <c r="B35" s="821" t="s">
        <v>403</v>
      </c>
      <c r="C35" s="796">
        <f>'[9]5'!$D$20</f>
        <v>1083.9463801019886</v>
      </c>
      <c r="D35" s="796">
        <f>'[9]5'!$D$12</f>
        <v>53.099999999999994</v>
      </c>
      <c r="E35" s="796">
        <f>'[9]5'!$D$11</f>
        <v>5.9498475898272218</v>
      </c>
      <c r="F35" s="796">
        <f>'[9]5'!$D$15</f>
        <v>1850.9048172590101</v>
      </c>
      <c r="G35" s="796">
        <f>'[9]5'!$D$29</f>
        <v>1133.4248571228991</v>
      </c>
      <c r="H35" s="796">
        <f>'[9]5'!$D$37</f>
        <v>239.96047162426714</v>
      </c>
      <c r="I35" s="796">
        <f>'[9]5'!$D$42</f>
        <v>837.7512742244802</v>
      </c>
      <c r="J35" s="796">
        <f>'[9]5'!$D$43</f>
        <v>123.34447518189124</v>
      </c>
      <c r="K35" s="796">
        <f>'[9]5'!$D$45</f>
        <v>144.20465686974967</v>
      </c>
      <c r="L35" s="796">
        <f>'[9]5'!$D$10</f>
        <v>5205.0376479224733</v>
      </c>
      <c r="M35" s="796">
        <f>'[9]5'!$D$55</f>
        <v>287.92335072790252</v>
      </c>
      <c r="N35" s="796">
        <f>'[9]5'!$D$49</f>
        <v>1902.815798720784</v>
      </c>
      <c r="O35" s="796">
        <f>'[9]5'!$D$50</f>
        <v>92.390915291943585</v>
      </c>
      <c r="P35" s="796">
        <f>'[9]5'!$D$51</f>
        <v>174.93070281074029</v>
      </c>
      <c r="Q35" s="796">
        <f>'[9]5'!$D$52</f>
        <v>1531.8286641217137</v>
      </c>
      <c r="R35" s="796">
        <f>'[9]5'!$D$53+0.02</f>
        <v>96.355603402101025</v>
      </c>
      <c r="S35" s="796">
        <f>'[9]5'!$D$54</f>
        <v>538.56616029282418</v>
      </c>
      <c r="T35" s="796">
        <f>'[9]5'!$D$48</f>
        <v>4336.8678446401063</v>
      </c>
      <c r="U35" s="977">
        <f>'[9]5'!$D$58</f>
        <v>9829.828843290481</v>
      </c>
      <c r="V35" s="965">
        <f t="shared" ref="V35" si="18">ROUND(U35,1)-ROUND(T35,1)-ROUND(M35,1)-ROUND(L35,1)</f>
        <v>0</v>
      </c>
    </row>
    <row r="36" spans="1:22" ht="17.25" customHeight="1">
      <c r="A36" s="862"/>
      <c r="B36" s="821" t="s">
        <v>404</v>
      </c>
      <c r="C36" s="796">
        <f>'[10]5'!$D$20</f>
        <v>1074.9770848005799</v>
      </c>
      <c r="D36" s="796">
        <f>'[10]5'!$D$12</f>
        <v>67.800158170000003</v>
      </c>
      <c r="E36" s="796">
        <f>'[10]5'!$D$11</f>
        <v>6.1426856644801511</v>
      </c>
      <c r="F36" s="796">
        <f>'[10]5'!$D$15</f>
        <v>1867.9890257915413</v>
      </c>
      <c r="G36" s="796">
        <f>'[10]5'!$D$29</f>
        <v>1090.6673765737164</v>
      </c>
      <c r="H36" s="796">
        <f>'[10]5'!$D$37</f>
        <v>240.83754555950154</v>
      </c>
      <c r="I36" s="796">
        <f>'[10]5'!$D$42</f>
        <v>822.01219365693919</v>
      </c>
      <c r="J36" s="796">
        <f>'[10]5'!$D$43</f>
        <v>124.67589648455485</v>
      </c>
      <c r="K36" s="796">
        <f>'[10]5'!$D$45</f>
        <v>142.89844331115361</v>
      </c>
      <c r="L36" s="796">
        <f>'[10]5'!$D$10</f>
        <v>5170.4260702167576</v>
      </c>
      <c r="M36" s="796">
        <f>'[10]5'!$D$55-0.03</f>
        <v>270.63688572467549</v>
      </c>
      <c r="N36" s="796">
        <f>'[10]5'!$D$49</f>
        <v>1904.0713156598656</v>
      </c>
      <c r="O36" s="796">
        <f>'[10]5'!$D$50</f>
        <v>90.61669383540017</v>
      </c>
      <c r="P36" s="796">
        <f>'[10]5'!$D$51</f>
        <v>162.73933395095554</v>
      </c>
      <c r="Q36" s="796">
        <f>'[10]5'!$D$52</f>
        <v>1535.6708275006717</v>
      </c>
      <c r="R36" s="796">
        <f>'[10]5'!$D$53</f>
        <v>99.971324180146581</v>
      </c>
      <c r="S36" s="796">
        <f>'[10]5'!$D$54</f>
        <v>549.56716193225043</v>
      </c>
      <c r="T36" s="796">
        <f>'[10]5'!$D$48+0.02</f>
        <v>4342.6566570592904</v>
      </c>
      <c r="U36" s="977">
        <f>'[10]5'!$D$58</f>
        <v>9783.7296130007235</v>
      </c>
      <c r="V36" s="965">
        <f t="shared" ref="V36" si="19">ROUND(U36,1)-ROUND(T36,1)-ROUND(M36,1)-ROUND(L36,1)</f>
        <v>0</v>
      </c>
    </row>
    <row r="37" spans="1:22" ht="17.25" customHeight="1">
      <c r="A37" s="862"/>
      <c r="B37" s="821" t="s">
        <v>405</v>
      </c>
      <c r="C37" s="796">
        <f>'[11]5'!$D$20</f>
        <v>1048.7345463094102</v>
      </c>
      <c r="D37" s="796">
        <f>'[11]5'!$D$12</f>
        <v>69.223719192700088</v>
      </c>
      <c r="E37" s="796">
        <f>'[11]5'!$D$11</f>
        <v>6.9766685737544796</v>
      </c>
      <c r="F37" s="796">
        <f>'[11]5'!$D$15</f>
        <v>1887.6092365492409</v>
      </c>
      <c r="G37" s="796">
        <f>'[11]5'!$D$29</f>
        <v>1118.1665493176199</v>
      </c>
      <c r="H37" s="796">
        <f>'[11]5'!$D$37</f>
        <v>251.68588367379772</v>
      </c>
      <c r="I37" s="796">
        <f>'[11]5'!$D$42</f>
        <v>811.76868479976952</v>
      </c>
      <c r="J37" s="796">
        <f>'[11]5'!$D$43</f>
        <v>122.51631840904756</v>
      </c>
      <c r="K37" s="796">
        <f>'[11]5'!$D$45</f>
        <v>142.92647451493806</v>
      </c>
      <c r="L37" s="796">
        <f>'[11]5'!$D$10</f>
        <v>5194.1652884162941</v>
      </c>
      <c r="M37" s="796">
        <f>'[11]5'!$D$55-0.02</f>
        <v>259.14016373557035</v>
      </c>
      <c r="N37" s="796">
        <f>'[11]5'!$D$49</f>
        <v>1887.5636308224766</v>
      </c>
      <c r="O37" s="796">
        <f>'[11]5'!$D$50</f>
        <v>88.232682119903671</v>
      </c>
      <c r="P37" s="796">
        <f>'[11]5'!$D$51</f>
        <v>166.39780145841806</v>
      </c>
      <c r="Q37" s="796">
        <f>'[11]5'!$D$52</f>
        <v>1524.2588523501615</v>
      </c>
      <c r="R37" s="796">
        <f>'[11]5'!$D$53</f>
        <v>101.13550551302055</v>
      </c>
      <c r="S37" s="796">
        <f>'[11]5'!$D$54</f>
        <v>574.00694988150997</v>
      </c>
      <c r="T37" s="796">
        <f>'[11]5'!$D$48</f>
        <v>4341.5954221454904</v>
      </c>
      <c r="U37" s="977">
        <f>'[11]5'!$D$58</f>
        <v>9794.9208742973551</v>
      </c>
      <c r="V37" s="965">
        <f t="shared" ref="V37" si="20">ROUND(U37,1)-ROUND(T37,1)-ROUND(M37,1)-ROUND(L37,1)</f>
        <v>0</v>
      </c>
    </row>
    <row r="38" spans="1:22" ht="17.25" customHeight="1">
      <c r="A38" s="862"/>
      <c r="B38" s="821" t="s">
        <v>406</v>
      </c>
      <c r="C38" s="796">
        <f>'[12]5'!$D$20</f>
        <v>1060.8449099755894</v>
      </c>
      <c r="D38" s="796">
        <f>'[12]5'!$D$12</f>
        <v>69.55949236297505</v>
      </c>
      <c r="E38" s="796">
        <f>'[12]5'!$D$11</f>
        <v>7.1419614463596455</v>
      </c>
      <c r="F38" s="796">
        <f>'[12]5'!$D$15</f>
        <v>1871.7879526473589</v>
      </c>
      <c r="G38" s="796">
        <f>'[12]5'!$D$29</f>
        <v>1094.99293822406</v>
      </c>
      <c r="H38" s="796">
        <f>'[12]5'!$D$37</f>
        <v>251.11185484764289</v>
      </c>
      <c r="I38" s="796">
        <f>'[12]5'!$D$42</f>
        <v>811.45528047245602</v>
      </c>
      <c r="J38" s="796">
        <f>'[12]5'!$D$43</f>
        <v>120.18547409566767</v>
      </c>
      <c r="K38" s="796">
        <f>'[12]5'!$D$45</f>
        <v>142.23096197202668</v>
      </c>
      <c r="L38" s="796">
        <f>'[12]5'!$D$10</f>
        <v>5166.8943899764417</v>
      </c>
      <c r="M38" s="796">
        <f>'[12]5'!$D$55</f>
        <v>267.08652416982812</v>
      </c>
      <c r="N38" s="796">
        <f>'[12]5'!$D$49</f>
        <v>1898.3721043230425</v>
      </c>
      <c r="O38" s="796">
        <f>'[12]5'!$D$50</f>
        <v>88.00683373797176</v>
      </c>
      <c r="P38" s="796">
        <f>'[12]5'!$D$51</f>
        <v>153.90696517851802</v>
      </c>
      <c r="Q38" s="796">
        <f>'[12]5'!$D$52</f>
        <v>1549.7299376630644</v>
      </c>
      <c r="R38" s="796">
        <f>'[12]5'!$D$53</f>
        <v>102.96031562737049</v>
      </c>
      <c r="S38" s="796">
        <f>'[12]5'!$D$54</f>
        <v>555.84131824209226</v>
      </c>
      <c r="T38" s="796">
        <f>'[12]5'!$D$48</f>
        <v>4348.8174747720595</v>
      </c>
      <c r="U38" s="977">
        <f>'[12]5'!$D$58</f>
        <v>9782.7983889183288</v>
      </c>
      <c r="V38" s="965">
        <f t="shared" ref="V38" si="21">ROUND(U38,1)-ROUND(T38,1)-ROUND(M38,1)-ROUND(L38,1)</f>
        <v>0</v>
      </c>
    </row>
    <row r="39" spans="1:22" ht="17.25" customHeight="1">
      <c r="A39" s="862"/>
      <c r="B39" s="821" t="s">
        <v>407</v>
      </c>
      <c r="C39" s="796">
        <f>'[13]5'!$D$20</f>
        <v>1068.064328588388</v>
      </c>
      <c r="D39" s="796">
        <f>'[13]5'!$D$12</f>
        <v>86.739885320625149</v>
      </c>
      <c r="E39" s="796">
        <f>'[13]5'!$D$11</f>
        <v>6.7235906787951718</v>
      </c>
      <c r="F39" s="796">
        <f>'[13]5'!$D$15</f>
        <v>1841.4148149535815</v>
      </c>
      <c r="G39" s="796">
        <f>'[13]5'!$D$29</f>
        <v>1070.969790304217</v>
      </c>
      <c r="H39" s="796">
        <f>'[13]5'!$D$37</f>
        <v>251.77125501109865</v>
      </c>
      <c r="I39" s="796">
        <f>'[13]5'!$D$42</f>
        <v>812.91814891595709</v>
      </c>
      <c r="J39" s="796">
        <f>'[13]5'!$D$43</f>
        <v>127.20132631537298</v>
      </c>
      <c r="K39" s="796">
        <f>'[13]5'!$D$45</f>
        <v>151.60078867119611</v>
      </c>
      <c r="L39" s="796">
        <f>'[13]5'!$D$10</f>
        <v>5138.6018137726624</v>
      </c>
      <c r="M39" s="796">
        <f>'[13]5'!$D$55</f>
        <v>301.55149023442948</v>
      </c>
      <c r="N39" s="796">
        <f>'[13]5'!$D$49</f>
        <v>1950.5386812877844</v>
      </c>
      <c r="O39" s="796">
        <f>'[13]5'!$D$50</f>
        <v>85.162818219965175</v>
      </c>
      <c r="P39" s="796">
        <f>'[13]5'!$D$51</f>
        <v>108.70478611362125</v>
      </c>
      <c r="Q39" s="796">
        <f>'[13]5'!$D$52</f>
        <v>1540.7472417995232</v>
      </c>
      <c r="R39" s="796">
        <f>'[13]5'!$D$53</f>
        <v>104.03196525536923</v>
      </c>
      <c r="S39" s="796">
        <f>'[13]5'!$D$54</f>
        <v>507.0103124122287</v>
      </c>
      <c r="T39" s="796">
        <f>'[13]5'!$D$48-0.05</f>
        <v>4296.1458050884921</v>
      </c>
      <c r="U39" s="977">
        <f>'[13]5'!$D$58</f>
        <v>9736.3491090955849</v>
      </c>
      <c r="V39" s="965">
        <f t="shared" ref="V39" si="22">ROUND(U39,1)-ROUND(T39,1)-ROUND(M39,1)-ROUND(L39,1)</f>
        <v>0</v>
      </c>
    </row>
    <row r="40" spans="1:22" s="195" customFormat="1" ht="23.85" customHeight="1">
      <c r="A40" s="1034">
        <v>2020</v>
      </c>
      <c r="B40" s="906" t="s">
        <v>408</v>
      </c>
      <c r="C40" s="866">
        <f>'[14]5'!$D$20</f>
        <v>1083.0764531122943</v>
      </c>
      <c r="D40" s="866">
        <f>'[14]5'!$D$12</f>
        <v>73.297648381999991</v>
      </c>
      <c r="E40" s="866">
        <f>'[14]5'!$D$11</f>
        <v>6.8257020886204547</v>
      </c>
      <c r="F40" s="866">
        <f>'[14]5'!$D$15</f>
        <v>1826.5718141712584</v>
      </c>
      <c r="G40" s="866">
        <f>'[14]5'!$D$29</f>
        <v>1059.0000323648308</v>
      </c>
      <c r="H40" s="866">
        <f>'[14]5'!$D$37</f>
        <v>248.72188217981335</v>
      </c>
      <c r="I40" s="866">
        <f>'[14]5'!$D$42</f>
        <v>805.92939846462582</v>
      </c>
      <c r="J40" s="866">
        <f>'[14]5'!$D$43</f>
        <v>128.02113652357514</v>
      </c>
      <c r="K40" s="866">
        <f>'[14]5'!$D$45</f>
        <v>161.39104929325273</v>
      </c>
      <c r="L40" s="866">
        <f>'[14]5'!$D$10</f>
        <v>5103.4229307634432</v>
      </c>
      <c r="M40" s="866">
        <f>'[14]5'!$D$55-0.01</f>
        <v>261.3449461943959</v>
      </c>
      <c r="N40" s="866">
        <f>'[14]5'!$D$49</f>
        <v>1982.5500166120194</v>
      </c>
      <c r="O40" s="866">
        <f>'[14]5'!$D$50</f>
        <v>121.86646924681719</v>
      </c>
      <c r="P40" s="866">
        <f>'[14]5'!$D$51</f>
        <v>153.59971824170697</v>
      </c>
      <c r="Q40" s="866">
        <f>'[14]5'!$D$52</f>
        <v>1586.9348371448605</v>
      </c>
      <c r="R40" s="866">
        <f>'[14]5'!$D$53</f>
        <v>102.12738697223097</v>
      </c>
      <c r="S40" s="866">
        <f>'[14]5'!$D$54</f>
        <v>362.76614461378767</v>
      </c>
      <c r="T40" s="866">
        <f>'[14]5'!$D$48+0.02</f>
        <v>4309.8645728314232</v>
      </c>
      <c r="U40" s="897">
        <f>'[14]5'!$D$58</f>
        <v>9674.6224497892617</v>
      </c>
      <c r="V40" s="1035">
        <f t="shared" ref="V40" si="23">ROUND(U40,1)-ROUND(T40,1)-ROUND(M40,1)-ROUND(L40,1)</f>
        <v>0</v>
      </c>
    </row>
    <row r="41" spans="1:22" ht="17.25" customHeight="1">
      <c r="A41" s="862"/>
      <c r="B41" s="821" t="s">
        <v>409</v>
      </c>
      <c r="C41" s="796">
        <f>'[15]5'!$D$20</f>
        <v>1098.8035104541593</v>
      </c>
      <c r="D41" s="796">
        <f>'[15]5'!$D$12</f>
        <v>73.953484790999994</v>
      </c>
      <c r="E41" s="796">
        <f>'[15]5'!$D$11</f>
        <v>6.3332387225237277</v>
      </c>
      <c r="F41" s="796">
        <f>'[15]5'!$D$15</f>
        <v>1827.7251036871144</v>
      </c>
      <c r="G41" s="796">
        <f>'[15]5'!$D$29</f>
        <v>1066.5875086109877</v>
      </c>
      <c r="H41" s="796">
        <f>'[15]5'!$D$37</f>
        <v>245.90124518500099</v>
      </c>
      <c r="I41" s="796">
        <f>'[15]5'!$D$42</f>
        <v>781.62827764730355</v>
      </c>
      <c r="J41" s="796">
        <f>'[15]5'!$D$43</f>
        <v>121.66675632960217</v>
      </c>
      <c r="K41" s="796">
        <f>'[15]5'!$D$45</f>
        <v>161.20899881941736</v>
      </c>
      <c r="L41" s="796">
        <f>'[15]5'!$D$10</f>
        <v>5100.93236909809</v>
      </c>
      <c r="M41" s="796">
        <f>'[15]5'!$D$55</f>
        <v>338.17932083036544</v>
      </c>
      <c r="N41" s="796">
        <f>'[15]5'!$D$49</f>
        <v>2003.1552377462035</v>
      </c>
      <c r="O41" s="796">
        <f>'[15]5'!$D$50</f>
        <v>120.01065404536757</v>
      </c>
      <c r="P41" s="796">
        <f>'[15]5'!$D$51</f>
        <v>166.08619696739004</v>
      </c>
      <c r="Q41" s="796">
        <f>'[15]5'!$D$52</f>
        <v>1599.4463911145365</v>
      </c>
      <c r="R41" s="796">
        <f>'[15]5'!$D$53</f>
        <v>107.97596434121573</v>
      </c>
      <c r="S41" s="796">
        <f>'[15]5'!$D$54</f>
        <v>354.99085967717792</v>
      </c>
      <c r="T41" s="796">
        <f>'[15]5'!$D$48</f>
        <v>4351.6653038918912</v>
      </c>
      <c r="U41" s="977">
        <f>'[15]5'!$D$58</f>
        <v>9790.7769938203455</v>
      </c>
      <c r="V41" s="965">
        <f t="shared" ref="V41" si="24">ROUND(U41,1)-ROUND(T41,1)-ROUND(M41,1)-ROUND(L41,1)</f>
        <v>0</v>
      </c>
    </row>
    <row r="42" spans="1:22" ht="17.25" customHeight="1">
      <c r="A42" s="862"/>
      <c r="B42" s="821" t="s">
        <v>398</v>
      </c>
      <c r="C42" s="796">
        <f>'[16]5'!$D$20</f>
        <v>1211.101472842261</v>
      </c>
      <c r="D42" s="796">
        <f>'[16]5'!$D$12</f>
        <v>107.196333873</v>
      </c>
      <c r="E42" s="796">
        <f>'[16]5'!$D$11</f>
        <v>6.1173210258581854</v>
      </c>
      <c r="F42" s="796">
        <f>'[16]5'!$D$15</f>
        <v>1842.8356617296595</v>
      </c>
      <c r="G42" s="796">
        <f>'[16]5'!$D$29</f>
        <v>1047.5814951177781</v>
      </c>
      <c r="H42" s="796">
        <f>'[16]5'!$D$37</f>
        <v>254.64262420791457</v>
      </c>
      <c r="I42" s="796">
        <f>'[16]5'!$D$42</f>
        <v>807.05464949623524</v>
      </c>
      <c r="J42" s="796">
        <f>'[16]5'!$D$43</f>
        <v>119.24521103483721</v>
      </c>
      <c r="K42" s="796">
        <f>'[16]5'!$D$45</f>
        <v>171.29897229413129</v>
      </c>
      <c r="L42" s="796">
        <f>'[16]5'!$D$10</f>
        <v>5276.5295582927074</v>
      </c>
      <c r="M42" s="796">
        <f>'[16]5'!$D$55</f>
        <v>441.47652010338714</v>
      </c>
      <c r="N42" s="796">
        <f>'[16]5'!$D$49</f>
        <v>1999.2881727825575</v>
      </c>
      <c r="O42" s="796">
        <f>'[16]5'!$D$50</f>
        <v>118.63016540643082</v>
      </c>
      <c r="P42" s="796">
        <f>'[16]5'!$D$51</f>
        <v>159.28807637998642</v>
      </c>
      <c r="Q42" s="796">
        <f>'[16]5'!$D$52</f>
        <v>1637.8253838290102</v>
      </c>
      <c r="R42" s="796">
        <f>'[16]5'!$D$53+0.02</f>
        <v>100.15793271639615</v>
      </c>
      <c r="S42" s="796">
        <f>'[16]5'!$D$54</f>
        <v>392.42350145603478</v>
      </c>
      <c r="T42" s="796">
        <f>'[16]5'!$D$48</f>
        <v>4407.5932325704161</v>
      </c>
      <c r="U42" s="977">
        <f>'[16]5'!$D$58</f>
        <v>10125.599310966511</v>
      </c>
      <c r="V42" s="965">
        <f t="shared" ref="V42" si="25">ROUND(U42,1)-ROUND(T42,1)-ROUND(M42,1)-ROUND(L42,1)</f>
        <v>0</v>
      </c>
    </row>
    <row r="43" spans="1:22" ht="17.25" customHeight="1">
      <c r="A43" s="862"/>
      <c r="B43" s="821" t="s">
        <v>399</v>
      </c>
      <c r="C43" s="796">
        <f>'[17]5'!$D$20</f>
        <v>1226.014264533303</v>
      </c>
      <c r="D43" s="796">
        <f>'[17]5'!$D$12</f>
        <v>106.76364219811649</v>
      </c>
      <c r="E43" s="796">
        <f>'[17]5'!$D$11</f>
        <v>6.4373640972400725</v>
      </c>
      <c r="F43" s="796">
        <f>'[17]5'!$D$15</f>
        <v>1854.7168515060325</v>
      </c>
      <c r="G43" s="796">
        <f>'[17]5'!$D$29</f>
        <v>1048.0651373282224</v>
      </c>
      <c r="H43" s="796">
        <f>'[17]5'!$D$37</f>
        <v>248.51383819367459</v>
      </c>
      <c r="I43" s="796">
        <f>'[17]5'!$D$42</f>
        <v>874.7335340758948</v>
      </c>
      <c r="J43" s="796">
        <f>'[17]5'!$D$43</f>
        <v>161.78751756636771</v>
      </c>
      <c r="K43" s="796">
        <f>'[17]5'!$D$45</f>
        <v>167.72454530200096</v>
      </c>
      <c r="L43" s="796">
        <f>'[17]5'!$D$10</f>
        <v>5365.2446319324827</v>
      </c>
      <c r="M43" s="796">
        <f>'[17]5'!$D$55-0.01</f>
        <v>419.94330215691883</v>
      </c>
      <c r="N43" s="796">
        <f>'[17]5'!$D$49</f>
        <v>2016.6514547004253</v>
      </c>
      <c r="O43" s="796">
        <f>'[17]5'!$D$50</f>
        <v>117.54188704579556</v>
      </c>
      <c r="P43" s="796">
        <f>'[17]5'!$D$51</f>
        <v>156.15925097485979</v>
      </c>
      <c r="Q43" s="796">
        <f>'[17]5'!$D$52</f>
        <v>1646.8323983123291</v>
      </c>
      <c r="R43" s="796">
        <f>'[17]5'!$D$53</f>
        <v>95.573970275064568</v>
      </c>
      <c r="S43" s="796">
        <f>'[17]5'!$D$54</f>
        <v>375.68009504350516</v>
      </c>
      <c r="T43" s="796">
        <f>'[17]5'!$D$48+0.03</f>
        <v>4408.4690563519789</v>
      </c>
      <c r="U43" s="977">
        <f>'[17]5'!$D$58</f>
        <v>10193.636990441382</v>
      </c>
      <c r="V43" s="965">
        <f t="shared" ref="V43" si="26">ROUND(U43,1)-ROUND(T43,1)-ROUND(M43,1)-ROUND(L43,1)</f>
        <v>0</v>
      </c>
    </row>
    <row r="44" spans="1:22" s="327" customFormat="1" ht="20.25" customHeight="1">
      <c r="A44" s="273" t="s">
        <v>899</v>
      </c>
      <c r="B44" s="273"/>
      <c r="C44" s="273"/>
      <c r="D44" s="273"/>
      <c r="E44" s="273"/>
      <c r="F44" s="273"/>
      <c r="G44" s="273"/>
      <c r="H44" s="273"/>
      <c r="I44" s="273"/>
      <c r="J44" s="273"/>
      <c r="K44" s="273"/>
      <c r="L44" s="273"/>
      <c r="M44" s="273"/>
      <c r="N44" s="273"/>
      <c r="O44" s="273"/>
      <c r="P44" s="273"/>
      <c r="Q44" s="273"/>
      <c r="R44" s="273"/>
      <c r="S44" s="273"/>
      <c r="T44" s="470"/>
      <c r="U44" s="470" t="s">
        <v>900</v>
      </c>
    </row>
    <row r="45" spans="1:22" s="443" customFormat="1">
      <c r="A45" s="381"/>
      <c r="D45" s="440"/>
      <c r="E45" s="440"/>
      <c r="F45" s="440"/>
      <c r="G45" s="440"/>
      <c r="H45" s="440"/>
      <c r="I45" s="440"/>
      <c r="J45" s="440"/>
      <c r="K45" s="440"/>
      <c r="L45" s="441"/>
      <c r="N45" s="440"/>
      <c r="O45" s="440"/>
      <c r="P45" s="440"/>
      <c r="U45" s="1714"/>
    </row>
    <row r="46" spans="1:22" s="443" customFormat="1">
      <c r="A46" s="381"/>
      <c r="D46" s="440"/>
      <c r="E46" s="440"/>
      <c r="F46" s="440"/>
      <c r="G46" s="440"/>
      <c r="H46" s="440"/>
      <c r="I46" s="440"/>
      <c r="J46" s="440"/>
      <c r="K46" s="440"/>
      <c r="L46" s="441"/>
      <c r="N46" s="440"/>
      <c r="O46" s="440"/>
      <c r="P46" s="440"/>
      <c r="U46" s="1714"/>
    </row>
    <row r="47" spans="1:22">
      <c r="A47" s="414" t="s">
        <v>901</v>
      </c>
      <c r="B47" s="414"/>
      <c r="C47" s="414"/>
      <c r="D47" s="414"/>
      <c r="E47" s="414"/>
      <c r="F47" s="414"/>
      <c r="G47" s="414"/>
      <c r="H47" s="414"/>
      <c r="I47" s="414"/>
      <c r="J47" s="414"/>
      <c r="K47" s="414"/>
      <c r="L47" s="414"/>
      <c r="M47" s="414"/>
      <c r="N47" s="414"/>
      <c r="O47" s="414"/>
      <c r="P47" s="414"/>
      <c r="Q47" s="414"/>
      <c r="R47" s="414"/>
      <c r="S47" s="414"/>
      <c r="T47" s="414"/>
      <c r="U47" s="1714"/>
    </row>
    <row r="48" spans="1:22" ht="14.85" customHeight="1">
      <c r="C48" s="475"/>
      <c r="D48" s="475"/>
      <c r="E48" s="475"/>
      <c r="F48" s="475"/>
      <c r="G48" s="475"/>
      <c r="H48" s="475"/>
      <c r="I48" s="475"/>
      <c r="J48" s="475"/>
      <c r="K48" s="475"/>
      <c r="L48" s="475"/>
      <c r="M48" s="475"/>
      <c r="N48" s="475"/>
      <c r="O48" s="475"/>
      <c r="P48" s="475"/>
      <c r="Q48" s="475"/>
      <c r="R48" s="475"/>
      <c r="S48" s="475"/>
      <c r="T48" s="475"/>
      <c r="U48" s="1715"/>
    </row>
    <row r="49" spans="21:21" ht="14.85" customHeight="1">
      <c r="U49" s="1715"/>
    </row>
    <row r="50" spans="21:21">
      <c r="U50" s="1714"/>
    </row>
    <row r="51" spans="21:21">
      <c r="U51" s="622"/>
    </row>
    <row r="53" spans="21:21">
      <c r="U53" s="636"/>
    </row>
  </sheetData>
  <mergeCells count="1">
    <mergeCell ref="A9:B11"/>
  </mergeCells>
  <printOptions horizontalCentered="1" verticalCentered="1"/>
  <pageMargins left="0" right="0" top="0" bottom="0" header="0.3" footer="0.3"/>
  <pageSetup paperSize="9" scale="62"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E39"/>
  <sheetViews>
    <sheetView topLeftCell="A21" zoomScale="80" zoomScaleNormal="80" workbookViewId="0">
      <selection activeCell="A49" sqref="A1:XFD1048576"/>
    </sheetView>
  </sheetViews>
  <sheetFormatPr defaultColWidth="19.7109375" defaultRowHeight="15"/>
  <cols>
    <col min="1" max="2" width="9.28515625" style="9" customWidth="1"/>
    <col min="3" max="5" width="33.7109375" style="9" customWidth="1"/>
    <col min="6" max="219" width="7.85546875" style="9" customWidth="1"/>
    <col min="220" max="221" width="9.28515625" style="9" customWidth="1"/>
    <col min="222" max="16384" width="19.7109375" style="9"/>
  </cols>
  <sheetData>
    <row r="1" spans="1:5" s="1691" customFormat="1" ht="18">
      <c r="A1" s="18" t="s">
        <v>1618</v>
      </c>
      <c r="B1" s="1690"/>
      <c r="C1" s="1690"/>
      <c r="D1" s="1690"/>
      <c r="E1" s="1690"/>
    </row>
    <row r="2" spans="1:5" s="1694" customFormat="1" ht="21.2" customHeight="1">
      <c r="A2" s="1692" t="s">
        <v>902</v>
      </c>
      <c r="B2" s="1693"/>
      <c r="C2" s="1693"/>
      <c r="D2" s="1693"/>
      <c r="E2" s="1693"/>
    </row>
    <row r="3" spans="1:5" s="1694" customFormat="1" ht="21.2" customHeight="1">
      <c r="A3" s="1692" t="s">
        <v>903</v>
      </c>
      <c r="B3" s="1693"/>
      <c r="C3" s="1693"/>
      <c r="D3" s="1693"/>
      <c r="E3" s="1693"/>
    </row>
    <row r="4" spans="1:5" s="1694" customFormat="1" ht="18">
      <c r="A4" s="1695" t="s">
        <v>904</v>
      </c>
      <c r="B4" s="1693"/>
      <c r="C4" s="1693"/>
      <c r="D4" s="1693"/>
      <c r="E4" s="1693"/>
    </row>
    <row r="5" spans="1:5" s="1694" customFormat="1" ht="18">
      <c r="A5" s="1695" t="s">
        <v>905</v>
      </c>
      <c r="B5" s="1693"/>
      <c r="C5" s="1693"/>
      <c r="D5" s="1693"/>
      <c r="E5" s="1693"/>
    </row>
    <row r="6" spans="1:5" s="30" customFormat="1">
      <c r="A6" s="1696" t="s">
        <v>354</v>
      </c>
      <c r="B6" s="1697"/>
      <c r="C6" s="1698"/>
      <c r="D6" s="1699"/>
      <c r="E6" s="1700" t="s">
        <v>355</v>
      </c>
    </row>
    <row r="7" spans="1:5" s="44" customFormat="1" ht="22.7" customHeight="1">
      <c r="A7" s="1701" t="s">
        <v>364</v>
      </c>
      <c r="B7" s="121"/>
      <c r="C7" s="78" t="s">
        <v>418</v>
      </c>
      <c r="D7" s="86" t="s">
        <v>906</v>
      </c>
      <c r="E7" s="101" t="s">
        <v>367</v>
      </c>
    </row>
    <row r="8" spans="1:5" s="44" customFormat="1" ht="22.7" customHeight="1">
      <c r="A8" s="89" t="s">
        <v>372</v>
      </c>
      <c r="B8" s="90"/>
      <c r="C8" s="118" t="s">
        <v>391</v>
      </c>
      <c r="D8" s="1702" t="s">
        <v>907</v>
      </c>
      <c r="E8" s="118" t="s">
        <v>378</v>
      </c>
    </row>
    <row r="9" spans="1:5" s="1706" customFormat="1" ht="20.25" customHeight="1">
      <c r="A9" s="1703">
        <v>2013</v>
      </c>
      <c r="B9" s="1704" t="s">
        <v>222</v>
      </c>
      <c r="C9" s="1705">
        <v>7032.9950021833274</v>
      </c>
      <c r="D9" s="1705">
        <f>[31]Loans!D9</f>
        <v>315.84789599999999</v>
      </c>
      <c r="E9" s="1705">
        <f>SUM(C9:D9)</f>
        <v>7348.8428981833276</v>
      </c>
    </row>
    <row r="10" spans="1:5" s="1709" customFormat="1" ht="14.25" customHeight="1">
      <c r="A10" s="1707"/>
      <c r="B10" s="1708" t="s">
        <v>223</v>
      </c>
      <c r="C10" s="781">
        <v>7100.8562565831753</v>
      </c>
      <c r="D10" s="781">
        <f>[31]Loans!D10</f>
        <v>321.98673600000001</v>
      </c>
      <c r="E10" s="780">
        <f>SUM(C10:D10)+0.05</f>
        <v>7422.8929925831753</v>
      </c>
    </row>
    <row r="11" spans="1:5" s="1709" customFormat="1" ht="14.25" customHeight="1">
      <c r="A11" s="1707"/>
      <c r="B11" s="1708" t="s">
        <v>224</v>
      </c>
      <c r="C11" s="781">
        <v>7215.7870855388765</v>
      </c>
      <c r="D11" s="781">
        <f>[31]Loans!D11</f>
        <v>342.17874399999999</v>
      </c>
      <c r="E11" s="780">
        <f>SUM(C11:D11)</f>
        <v>7557.9658295388763</v>
      </c>
    </row>
    <row r="12" spans="1:5" s="1709" customFormat="1" ht="14.25" customHeight="1">
      <c r="A12" s="1707"/>
      <c r="B12" s="1708" t="s">
        <v>225</v>
      </c>
      <c r="C12" s="781">
        <v>7170.4562883734798</v>
      </c>
      <c r="D12" s="781">
        <f>[31]Loans!D12</f>
        <v>341.12885600000004</v>
      </c>
      <c r="E12" s="780">
        <f>SUM(C12:D12)</f>
        <v>7511.58514437348</v>
      </c>
    </row>
    <row r="13" spans="1:5" s="1706" customFormat="1" ht="20.25" customHeight="1">
      <c r="A13" s="1710">
        <v>2014</v>
      </c>
      <c r="B13" s="1711" t="s">
        <v>222</v>
      </c>
      <c r="C13" s="781">
        <v>7041.1455061431152</v>
      </c>
      <c r="D13" s="781">
        <f>[31]Loans!D13</f>
        <v>333.31071200000002</v>
      </c>
      <c r="E13" s="781">
        <f>SUM(C13:D13)-0.02</f>
        <v>7374.4362181431152</v>
      </c>
    </row>
    <row r="14" spans="1:5" s="1709" customFormat="1" ht="14.25" customHeight="1">
      <c r="A14" s="1707"/>
      <c r="B14" s="1708" t="s">
        <v>223</v>
      </c>
      <c r="C14" s="781">
        <v>7114.8765485795238</v>
      </c>
      <c r="D14" s="781">
        <f>[31]Loans!D14</f>
        <v>353.11848800000001</v>
      </c>
      <c r="E14" s="780">
        <f>SUM(C14:D14)</f>
        <v>7467.9950365795239</v>
      </c>
    </row>
    <row r="15" spans="1:5" s="1709" customFormat="1" ht="14.25" customHeight="1">
      <c r="A15" s="1707"/>
      <c r="B15" s="1708" t="s">
        <v>224</v>
      </c>
      <c r="C15" s="781">
        <v>7260.6246216068557</v>
      </c>
      <c r="D15" s="781">
        <f>[31]Loans!D15</f>
        <v>346.63682400000005</v>
      </c>
      <c r="E15" s="780">
        <f>SUM(C15:D15)-0.05</f>
        <v>7607.2114456068557</v>
      </c>
    </row>
    <row r="16" spans="1:5" s="1709" customFormat="1" ht="14.25" customHeight="1">
      <c r="A16" s="1707"/>
      <c r="B16" s="1708" t="s">
        <v>225</v>
      </c>
      <c r="C16" s="781">
        <v>7116.3996957363988</v>
      </c>
      <c r="D16" s="781">
        <f>[31]Loans!D16</f>
        <v>347.35</v>
      </c>
      <c r="E16" s="780">
        <f>SUM(C16:D16)+0.01</f>
        <v>7463.7596957363994</v>
      </c>
    </row>
    <row r="17" spans="1:5" s="6" customFormat="1" ht="20.25" customHeight="1">
      <c r="A17" s="1710">
        <v>2015</v>
      </c>
      <c r="B17" s="1711" t="s">
        <v>222</v>
      </c>
      <c r="C17" s="781">
        <v>7429.0648721178859</v>
      </c>
      <c r="D17" s="781">
        <f>[31]Loans!D17</f>
        <v>365.11599999999999</v>
      </c>
      <c r="E17" s="781">
        <f>SUM(C17:D17)</f>
        <v>7794.1808721178859</v>
      </c>
    </row>
    <row r="18" spans="1:5">
      <c r="A18" s="1707"/>
      <c r="B18" s="1708" t="s">
        <v>223</v>
      </c>
      <c r="C18" s="781">
        <v>7661.1696763047539</v>
      </c>
      <c r="D18" s="781">
        <f>[31]Loans!D18</f>
        <v>368.19299999999998</v>
      </c>
      <c r="E18" s="780">
        <f>SUM(C18:D18)</f>
        <v>8029.3626763047541</v>
      </c>
    </row>
    <row r="19" spans="1:5">
      <c r="A19" s="1707"/>
      <c r="B19" s="1708" t="s">
        <v>224</v>
      </c>
      <c r="C19" s="781">
        <v>7745.3012682024037</v>
      </c>
      <c r="D19" s="781">
        <f>[31]Loans!D19</f>
        <v>385.29500000000002</v>
      </c>
      <c r="E19" s="780">
        <f>SUM(C19:D19)</f>
        <v>8130.5962682024037</v>
      </c>
    </row>
    <row r="20" spans="1:5">
      <c r="A20" s="1707"/>
      <c r="B20" s="1708" t="s">
        <v>225</v>
      </c>
      <c r="C20" s="781">
        <v>7845.7133272364581</v>
      </c>
      <c r="D20" s="781">
        <f>[31]Loans!D20</f>
        <v>407.38934</v>
      </c>
      <c r="E20" s="780">
        <f>SUM(C20:D20)-0.01</f>
        <v>8253.0926672364585</v>
      </c>
    </row>
    <row r="21" spans="1:5" s="6" customFormat="1" ht="20.25" customHeight="1">
      <c r="A21" s="1710">
        <v>2016</v>
      </c>
      <c r="B21" s="1711" t="s">
        <v>222</v>
      </c>
      <c r="C21" s="781">
        <v>7944.2417969517719</v>
      </c>
      <c r="D21" s="781">
        <f>[31]Loans!D21</f>
        <v>386.84271000000001</v>
      </c>
      <c r="E21" s="781">
        <f>SUM(C21:D21)-0.05</f>
        <v>8331.0345069517734</v>
      </c>
    </row>
    <row r="22" spans="1:5">
      <c r="A22" s="1707"/>
      <c r="B22" s="1708" t="s">
        <v>223</v>
      </c>
      <c r="C22" s="781">
        <v>7998.2552485227725</v>
      </c>
      <c r="D22" s="781">
        <f>[31]Loans!D22</f>
        <v>410.05599999999998</v>
      </c>
      <c r="E22" s="780">
        <f>SUM(C22:D22)+0.05</f>
        <v>8408.3612485227713</v>
      </c>
    </row>
    <row r="23" spans="1:5">
      <c r="A23" s="1707"/>
      <c r="B23" s="1708" t="s">
        <v>224</v>
      </c>
      <c r="C23" s="781">
        <v>8050.0708273622668</v>
      </c>
      <c r="D23" s="781">
        <f>[31]Loans!D23</f>
        <v>425.18853000000001</v>
      </c>
      <c r="E23" s="780">
        <f>SUM(C23:D23)</f>
        <v>8475.2593573622671</v>
      </c>
    </row>
    <row r="24" spans="1:5">
      <c r="A24" s="1707"/>
      <c r="B24" s="1708" t="s">
        <v>225</v>
      </c>
      <c r="C24" s="781">
        <v>8062.6885616301388</v>
      </c>
      <c r="D24" s="781">
        <f>[31]Loans!D24</f>
        <v>438.07540999999998</v>
      </c>
      <c r="E24" s="780">
        <f>SUM(C24:D24)+0.01</f>
        <v>8500.7739716301385</v>
      </c>
    </row>
    <row r="25" spans="1:5" s="6" customFormat="1" ht="20.25" customHeight="1">
      <c r="A25" s="1710">
        <v>2017</v>
      </c>
      <c r="B25" s="1711" t="s">
        <v>222</v>
      </c>
      <c r="C25" s="781">
        <v>8178.5041545855274</v>
      </c>
      <c r="D25" s="781">
        <f>[31]Loans!D25</f>
        <v>435.86081999999999</v>
      </c>
      <c r="E25" s="781">
        <f>SUM(C25:D25)</f>
        <v>8614.3649745855273</v>
      </c>
    </row>
    <row r="26" spans="1:5">
      <c r="A26" s="1707"/>
      <c r="B26" s="1708" t="s">
        <v>223</v>
      </c>
      <c r="C26" s="781">
        <v>8252.4678192411138</v>
      </c>
      <c r="D26" s="781">
        <f>[31]Loans!D26</f>
        <v>431.78778999999997</v>
      </c>
      <c r="E26" s="780">
        <f>SUM(C26:D26)</f>
        <v>8684.2556092411141</v>
      </c>
    </row>
    <row r="27" spans="1:5">
      <c r="A27" s="1707"/>
      <c r="B27" s="1708" t="s">
        <v>224</v>
      </c>
      <c r="C27" s="781">
        <v>8436.957759661982</v>
      </c>
      <c r="D27" s="781">
        <f>[31]Loans!D27</f>
        <v>455.39656999999994</v>
      </c>
      <c r="E27" s="780">
        <f>SUM(C27:D27)</f>
        <v>8892.3543296619828</v>
      </c>
    </row>
    <row r="28" spans="1:5">
      <c r="A28" s="1707"/>
      <c r="B28" s="1708" t="s">
        <v>225</v>
      </c>
      <c r="C28" s="781">
        <v>8699.124279419173</v>
      </c>
      <c r="D28" s="781">
        <f>[31]Loans!D28</f>
        <v>435.53227999999996</v>
      </c>
      <c r="E28" s="780">
        <f>SUM(C28:D28)-0.02</f>
        <v>9134.636559419172</v>
      </c>
    </row>
    <row r="29" spans="1:5" s="6" customFormat="1" ht="20.25" customHeight="1">
      <c r="A29" s="1710">
        <v>2018</v>
      </c>
      <c r="B29" s="1711" t="s">
        <v>222</v>
      </c>
      <c r="C29" s="781">
        <v>8986.7775897897918</v>
      </c>
      <c r="D29" s="781">
        <f>[31]Loans!D29</f>
        <v>455.50196</v>
      </c>
      <c r="E29" s="781">
        <f>SUM(C29:D29)</f>
        <v>9442.2795497897914</v>
      </c>
    </row>
    <row r="30" spans="1:5">
      <c r="A30" s="1707"/>
      <c r="B30" s="1708" t="s">
        <v>223</v>
      </c>
      <c r="C30" s="781">
        <v>9202.3386112149165</v>
      </c>
      <c r="D30" s="781">
        <f>[31]Loans!D30</f>
        <v>463.52499999999998</v>
      </c>
      <c r="E30" s="780">
        <f>SUM(C30:D30)-0.02</f>
        <v>9665.8436112149157</v>
      </c>
    </row>
    <row r="31" spans="1:5">
      <c r="A31" s="1707"/>
      <c r="B31" s="1708" t="s">
        <v>224</v>
      </c>
      <c r="C31" s="781">
        <v>9783.7296130007235</v>
      </c>
      <c r="D31" s="781">
        <f>[31]Loans!D31</f>
        <v>474.12524999999999</v>
      </c>
      <c r="E31" s="780">
        <f>SUM(C31:D31)</f>
        <v>10257.854863000723</v>
      </c>
    </row>
    <row r="32" spans="1:5">
      <c r="A32" s="1707"/>
      <c r="B32" s="1708" t="s">
        <v>225</v>
      </c>
      <c r="C32" s="781">
        <v>9519.8911722057455</v>
      </c>
      <c r="D32" s="781">
        <f>[31]Loans!D32</f>
        <v>480.35700000000003</v>
      </c>
      <c r="E32" s="780">
        <f>SUM(C32:D32)+0.01</f>
        <v>10000.258172205746</v>
      </c>
    </row>
    <row r="33" spans="1:5" ht="20.25" customHeight="1">
      <c r="A33" s="1710">
        <v>2019</v>
      </c>
      <c r="B33" s="1711" t="s">
        <v>222</v>
      </c>
      <c r="C33" s="781">
        <v>9623.1739906865823</v>
      </c>
      <c r="D33" s="781">
        <f>[31]Loans!D33</f>
        <v>471.315</v>
      </c>
      <c r="E33" s="781">
        <f>SUM(C33:D33)+0.03</f>
        <v>10094.518990686583</v>
      </c>
    </row>
    <row r="34" spans="1:5" s="6" customFormat="1" ht="15" customHeight="1">
      <c r="A34" s="1710"/>
      <c r="B34" s="1711" t="s">
        <v>223</v>
      </c>
      <c r="C34" s="781">
        <f>'19'!U33</f>
        <v>9887.3332244197209</v>
      </c>
      <c r="D34" s="781">
        <f>[31]Loans!D34+0.01</f>
        <v>469.25713807653727</v>
      </c>
      <c r="E34" s="781">
        <f>SUM(C34:D34)</f>
        <v>10356.590362496258</v>
      </c>
    </row>
    <row r="35" spans="1:5" s="6" customFormat="1" ht="15" customHeight="1">
      <c r="A35" s="1710"/>
      <c r="B35" s="1711" t="s">
        <v>224</v>
      </c>
      <c r="C35" s="781">
        <f>'19'!U36</f>
        <v>9783.7296130007235</v>
      </c>
      <c r="D35" s="781">
        <f>[31]Loans!D35</f>
        <v>505.82149599999997</v>
      </c>
      <c r="E35" s="781">
        <f>SUM(C35:D35)-0.01</f>
        <v>10289.541109000724</v>
      </c>
    </row>
    <row r="36" spans="1:5" s="6" customFormat="1" ht="15" customHeight="1">
      <c r="A36" s="1710"/>
      <c r="B36" s="1711" t="s">
        <v>225</v>
      </c>
      <c r="C36" s="781">
        <f>'19'!U39</f>
        <v>9736.3491090955849</v>
      </c>
      <c r="D36" s="781">
        <f>[31]Loans!D36</f>
        <v>508.60300000000001</v>
      </c>
      <c r="E36" s="781">
        <f>SUM(C36:D36)-0.01</f>
        <v>10244.942109095584</v>
      </c>
    </row>
    <row r="37" spans="1:5" ht="8.25" customHeight="1">
      <c r="A37" s="231"/>
      <c r="B37" s="231"/>
      <c r="C37" s="231"/>
      <c r="D37" s="231"/>
      <c r="E37" s="314"/>
    </row>
    <row r="38" spans="1:5" ht="15" customHeight="1">
      <c r="D38" s="687"/>
      <c r="E38" s="687"/>
    </row>
    <row r="39" spans="1:5" s="406" customFormat="1" ht="14.25">
      <c r="A39" s="755" t="s">
        <v>908</v>
      </c>
      <c r="B39" s="1169"/>
      <c r="C39" s="1169"/>
      <c r="D39" s="1169"/>
      <c r="E39" s="1169"/>
    </row>
  </sheetData>
  <printOptions horizontalCentered="1"/>
  <pageMargins left="0" right="0" top="0" bottom="0" header="0.3" footer="0.3"/>
  <pageSetup scale="92"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AF49"/>
  <sheetViews>
    <sheetView zoomScale="80" zoomScaleNormal="80" workbookViewId="0">
      <pane ySplit="12" topLeftCell="A35"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2.7109375" style="406" customWidth="1"/>
    <col min="4" max="4" width="10.28515625" style="406" customWidth="1"/>
    <col min="5" max="5" width="12.7109375" style="406" customWidth="1"/>
    <col min="6" max="6" width="11.7109375" style="406" customWidth="1"/>
    <col min="7" max="8" width="10.7109375" style="406" customWidth="1"/>
    <col min="9" max="9" width="10.28515625" style="406" customWidth="1"/>
    <col min="10" max="10" width="11.85546875" style="406" customWidth="1"/>
    <col min="11" max="11" width="12.7109375" style="406" customWidth="1"/>
    <col min="12" max="12" width="12.140625" style="406" customWidth="1"/>
    <col min="13" max="13" width="12.7109375" style="406" customWidth="1"/>
    <col min="14" max="14" width="11.7109375" style="406" customWidth="1"/>
    <col min="15" max="16" width="10.7109375" style="406" customWidth="1"/>
    <col min="17" max="17" width="10.28515625" style="406" customWidth="1"/>
    <col min="18" max="18" width="8.28515625" style="406" customWidth="1"/>
    <col min="19" max="16384" width="9.140625" style="406"/>
  </cols>
  <sheetData>
    <row r="1" spans="1:22" ht="18">
      <c r="A1" s="297" t="s">
        <v>1617</v>
      </c>
      <c r="B1" s="1455"/>
      <c r="C1" s="1455"/>
      <c r="D1" s="1455"/>
      <c r="E1" s="1455"/>
      <c r="F1" s="1455"/>
      <c r="G1" s="1455"/>
      <c r="H1" s="1455"/>
      <c r="I1" s="1455"/>
      <c r="J1" s="1455"/>
      <c r="K1" s="1455"/>
      <c r="L1" s="1455"/>
      <c r="M1" s="1455"/>
      <c r="N1" s="1455"/>
      <c r="O1" s="1455"/>
      <c r="P1" s="1455"/>
      <c r="Q1" s="1455"/>
    </row>
    <row r="2" spans="1:22" ht="18">
      <c r="A2" s="1468" t="s">
        <v>909</v>
      </c>
      <c r="B2" s="1455"/>
      <c r="C2" s="1455"/>
      <c r="D2" s="1455"/>
      <c r="E2" s="1455"/>
      <c r="F2" s="1455"/>
      <c r="G2" s="1455"/>
      <c r="H2" s="1455"/>
      <c r="I2" s="1455"/>
      <c r="J2" s="1455"/>
      <c r="K2" s="1455"/>
      <c r="L2" s="1455"/>
      <c r="M2" s="1455"/>
      <c r="N2" s="1455"/>
      <c r="O2" s="1455"/>
      <c r="P2" s="1455"/>
      <c r="Q2" s="1455"/>
    </row>
    <row r="3" spans="1:22" ht="18">
      <c r="A3" s="1456" t="s">
        <v>910</v>
      </c>
      <c r="B3" s="1455"/>
      <c r="C3" s="1455"/>
      <c r="D3" s="1455"/>
      <c r="E3" s="1455"/>
      <c r="F3" s="1455"/>
      <c r="G3" s="1455"/>
      <c r="H3" s="1455"/>
      <c r="I3" s="1455"/>
      <c r="J3" s="1455"/>
      <c r="K3" s="1455"/>
      <c r="L3" s="1455"/>
      <c r="M3" s="1455"/>
      <c r="N3" s="1455"/>
      <c r="O3" s="1169"/>
      <c r="P3" s="1455"/>
      <c r="Q3" s="1455"/>
    </row>
    <row r="4" spans="1:22" s="343" customFormat="1" ht="14.25">
      <c r="A4" s="382" t="s">
        <v>354</v>
      </c>
      <c r="B4" s="383"/>
      <c r="C4" s="384"/>
      <c r="D4" s="384"/>
      <c r="E4" s="384"/>
      <c r="F4" s="384"/>
      <c r="G4" s="384"/>
      <c r="H4" s="384"/>
      <c r="I4" s="384"/>
      <c r="J4" s="384"/>
      <c r="K4" s="384"/>
      <c r="L4" s="384"/>
      <c r="Q4" s="385" t="s">
        <v>355</v>
      </c>
    </row>
    <row r="5" spans="1:22" s="343" customFormat="1" ht="14.25" hidden="1">
      <c r="A5" s="382"/>
      <c r="B5" s="383"/>
      <c r="C5" s="384"/>
      <c r="D5" s="384"/>
      <c r="E5" s="384"/>
      <c r="F5" s="384"/>
      <c r="G5" s="384"/>
      <c r="H5" s="384"/>
      <c r="I5" s="384"/>
      <c r="J5" s="384"/>
      <c r="K5" s="384"/>
      <c r="L5" s="384"/>
      <c r="Q5" s="385"/>
    </row>
    <row r="6" spans="1:22" s="343" customFormat="1" ht="14.25" hidden="1">
      <c r="A6" s="382"/>
      <c r="B6" s="383"/>
      <c r="C6" s="384"/>
      <c r="D6" s="384"/>
      <c r="E6" s="384"/>
      <c r="F6" s="384"/>
      <c r="G6" s="384"/>
      <c r="H6" s="384"/>
      <c r="I6" s="384"/>
      <c r="J6" s="384"/>
      <c r="K6" s="384"/>
      <c r="L6" s="384"/>
      <c r="Q6" s="385"/>
    </row>
    <row r="7" spans="1:22" s="343" customFormat="1" ht="14.25" hidden="1">
      <c r="A7" s="382"/>
      <c r="B7" s="383"/>
      <c r="C7" s="384"/>
      <c r="D7" s="384"/>
      <c r="E7" s="384"/>
      <c r="F7" s="384"/>
      <c r="G7" s="384"/>
      <c r="H7" s="384"/>
      <c r="I7" s="384"/>
      <c r="J7" s="384"/>
      <c r="K7" s="384"/>
      <c r="L7" s="384"/>
      <c r="Q7" s="385"/>
    </row>
    <row r="8" spans="1:22" s="172" customFormat="1" ht="23.85" customHeight="1">
      <c r="A8" s="183"/>
      <c r="B8" s="170"/>
      <c r="C8" s="386" t="s">
        <v>356</v>
      </c>
      <c r="D8" s="188"/>
      <c r="E8" s="196"/>
      <c r="F8" s="196"/>
      <c r="G8" s="196"/>
      <c r="H8" s="171"/>
      <c r="I8" s="387" t="s">
        <v>357</v>
      </c>
      <c r="J8" s="388"/>
      <c r="K8" s="386" t="s">
        <v>358</v>
      </c>
      <c r="L8" s="188"/>
      <c r="M8" s="196"/>
      <c r="N8" s="196"/>
      <c r="O8" s="196"/>
      <c r="P8" s="171"/>
      <c r="Q8" s="389" t="s">
        <v>359</v>
      </c>
    </row>
    <row r="9" spans="1:22" s="192" customFormat="1" ht="18" customHeight="1">
      <c r="A9" s="189"/>
      <c r="B9" s="190"/>
      <c r="C9" s="207" t="s">
        <v>799</v>
      </c>
      <c r="D9" s="197" t="s">
        <v>911</v>
      </c>
      <c r="E9" s="191" t="s">
        <v>912</v>
      </c>
      <c r="F9" s="178"/>
      <c r="G9" s="191" t="s">
        <v>913</v>
      </c>
      <c r="H9" s="178"/>
      <c r="I9" s="191"/>
      <c r="J9" s="209"/>
      <c r="K9" s="197" t="s">
        <v>799</v>
      </c>
      <c r="L9" s="197" t="s">
        <v>911</v>
      </c>
      <c r="M9" s="191" t="s">
        <v>912</v>
      </c>
      <c r="N9" s="178"/>
      <c r="O9" s="191" t="s">
        <v>913</v>
      </c>
      <c r="P9" s="178"/>
      <c r="Q9" s="191"/>
    </row>
    <row r="10" spans="1:22" s="192" customFormat="1" ht="18" customHeight="1">
      <c r="A10" s="174" t="s">
        <v>364</v>
      </c>
      <c r="B10" s="177"/>
      <c r="C10" s="197" t="s">
        <v>914</v>
      </c>
      <c r="D10" s="197" t="s">
        <v>915</v>
      </c>
      <c r="E10" s="191" t="s">
        <v>482</v>
      </c>
      <c r="F10" s="173" t="s">
        <v>916</v>
      </c>
      <c r="G10" s="191" t="s">
        <v>917</v>
      </c>
      <c r="H10" s="191" t="s">
        <v>918</v>
      </c>
      <c r="I10" s="191" t="s">
        <v>377</v>
      </c>
      <c r="J10" s="209" t="s">
        <v>367</v>
      </c>
      <c r="K10" s="197" t="s">
        <v>914</v>
      </c>
      <c r="L10" s="197" t="s">
        <v>915</v>
      </c>
      <c r="M10" s="191" t="s">
        <v>482</v>
      </c>
      <c r="N10" s="173" t="s">
        <v>916</v>
      </c>
      <c r="O10" s="191" t="s">
        <v>917</v>
      </c>
      <c r="P10" s="191" t="s">
        <v>918</v>
      </c>
      <c r="Q10" s="191" t="s">
        <v>377</v>
      </c>
    </row>
    <row r="11" spans="1:22" s="176" customFormat="1" ht="18" customHeight="1">
      <c r="A11" s="193" t="s">
        <v>372</v>
      </c>
      <c r="B11" s="177"/>
      <c r="C11" s="274" t="s">
        <v>919</v>
      </c>
      <c r="D11" s="276" t="s">
        <v>920</v>
      </c>
      <c r="E11" s="277" t="s">
        <v>921</v>
      </c>
      <c r="F11" s="278" t="s">
        <v>922</v>
      </c>
      <c r="G11" s="278" t="s">
        <v>923</v>
      </c>
      <c r="H11" s="278" t="s">
        <v>924</v>
      </c>
      <c r="I11" s="278" t="s">
        <v>385</v>
      </c>
      <c r="J11" s="279" t="s">
        <v>378</v>
      </c>
      <c r="K11" s="274" t="s">
        <v>919</v>
      </c>
      <c r="L11" s="276" t="s">
        <v>920</v>
      </c>
      <c r="M11" s="280" t="s">
        <v>921</v>
      </c>
      <c r="N11" s="278" t="s">
        <v>922</v>
      </c>
      <c r="O11" s="278" t="s">
        <v>923</v>
      </c>
      <c r="P11" s="278" t="s">
        <v>924</v>
      </c>
      <c r="Q11" s="278" t="s">
        <v>385</v>
      </c>
    </row>
    <row r="12" spans="1:22" s="176" customFormat="1" ht="18" customHeight="1">
      <c r="A12" s="194"/>
      <c r="B12" s="182"/>
      <c r="C12" s="275" t="s">
        <v>925</v>
      </c>
      <c r="D12" s="275"/>
      <c r="E12" s="281" t="s">
        <v>926</v>
      </c>
      <c r="F12" s="282" t="s">
        <v>813</v>
      </c>
      <c r="G12" s="282" t="s">
        <v>927</v>
      </c>
      <c r="H12" s="282"/>
      <c r="I12" s="282"/>
      <c r="J12" s="283"/>
      <c r="K12" s="275" t="s">
        <v>925</v>
      </c>
      <c r="L12" s="275"/>
      <c r="M12" s="282" t="s">
        <v>926</v>
      </c>
      <c r="N12" s="282" t="s">
        <v>813</v>
      </c>
      <c r="O12" s="282" t="s">
        <v>927</v>
      </c>
      <c r="P12" s="282"/>
      <c r="Q12" s="282"/>
    </row>
    <row r="13" spans="1:22" s="195" customFormat="1" ht="27" customHeight="1">
      <c r="A13" s="902">
        <v>2010</v>
      </c>
      <c r="B13" s="903"/>
      <c r="C13" s="412">
        <v>13107.179211533334</v>
      </c>
      <c r="D13" s="412">
        <v>5220.1069917143823</v>
      </c>
      <c r="E13" s="413">
        <v>616.70584487937356</v>
      </c>
      <c r="F13" s="413">
        <v>1398.8837783090773</v>
      </c>
      <c r="G13" s="413">
        <v>1468.5649647461171</v>
      </c>
      <c r="H13" s="413">
        <v>2510.5782043909048</v>
      </c>
      <c r="I13" s="413">
        <v>288.21837105639975</v>
      </c>
      <c r="J13" s="756">
        <v>24610.267366629589</v>
      </c>
      <c r="K13" s="413">
        <v>13325.408854927246</v>
      </c>
      <c r="L13" s="413">
        <v>4719.1544878527875</v>
      </c>
      <c r="M13" s="413">
        <v>518.16999603850354</v>
      </c>
      <c r="N13" s="413">
        <v>479.89397124409464</v>
      </c>
      <c r="O13" s="413">
        <v>1746.5781047231264</v>
      </c>
      <c r="P13" s="413">
        <v>3594.4436101411056</v>
      </c>
      <c r="Q13" s="413">
        <v>226.58379158092524</v>
      </c>
      <c r="R13" s="376">
        <f>J13-C13-D13-E13-F13-G13-H13-I13</f>
        <v>3.0000000000427463E-2</v>
      </c>
      <c r="S13" s="376">
        <f>J13-K13-L13-M13-N13-O13-P13-Q13</f>
        <v>3.4550121800720035E-2</v>
      </c>
      <c r="T13" s="1460"/>
      <c r="U13" s="1460"/>
    </row>
    <row r="14" spans="1:22" s="1460" customFormat="1" ht="18" customHeight="1">
      <c r="A14" s="902">
        <v>2011</v>
      </c>
      <c r="B14" s="903"/>
      <c r="C14" s="412">
        <v>14056.983752177237</v>
      </c>
      <c r="D14" s="412">
        <v>4544.5922293300191</v>
      </c>
      <c r="E14" s="413">
        <v>711.58108519140001</v>
      </c>
      <c r="F14" s="413">
        <v>1380.8033411244207</v>
      </c>
      <c r="G14" s="413">
        <v>1851.2811825556089</v>
      </c>
      <c r="H14" s="413">
        <v>2437.4257331498929</v>
      </c>
      <c r="I14" s="413">
        <v>352.46296448855628</v>
      </c>
      <c r="J14" s="756">
        <v>25335.160288017138</v>
      </c>
      <c r="K14" s="412">
        <v>14058.85907675521</v>
      </c>
      <c r="L14" s="412">
        <v>5264.8025428300207</v>
      </c>
      <c r="M14" s="413">
        <v>633.08202350659985</v>
      </c>
      <c r="N14" s="413">
        <v>494.80815846496239</v>
      </c>
      <c r="O14" s="413">
        <v>1451.734608233467</v>
      </c>
      <c r="P14" s="413">
        <v>3282.9951912157112</v>
      </c>
      <c r="Q14" s="413">
        <v>148.85007037973403</v>
      </c>
      <c r="R14" s="376">
        <v>3.0000000002473826E-2</v>
      </c>
      <c r="S14" s="376">
        <v>2.8616631431276573E-2</v>
      </c>
      <c r="V14" s="195"/>
    </row>
    <row r="15" spans="1:22" s="1460" customFormat="1" ht="18" customHeight="1">
      <c r="A15" s="902">
        <v>2012</v>
      </c>
      <c r="B15" s="903"/>
      <c r="C15" s="412">
        <v>15180.187575964632</v>
      </c>
      <c r="D15" s="412">
        <v>5105.7595235160443</v>
      </c>
      <c r="E15" s="413">
        <v>771.58165538648996</v>
      </c>
      <c r="F15" s="413">
        <v>1375.6927159829713</v>
      </c>
      <c r="G15" s="413">
        <v>1883.792633652459</v>
      </c>
      <c r="H15" s="413">
        <v>2236.0907019334095</v>
      </c>
      <c r="I15" s="413">
        <v>410.44789708740564</v>
      </c>
      <c r="J15" s="756">
        <v>26963.582703523411</v>
      </c>
      <c r="K15" s="412">
        <v>14998.314127271158</v>
      </c>
      <c r="L15" s="412">
        <v>6789.2091541690097</v>
      </c>
      <c r="M15" s="413">
        <v>573.79589409342634</v>
      </c>
      <c r="N15" s="413">
        <v>486.32523831988635</v>
      </c>
      <c r="O15" s="413">
        <v>1979.4043229139365</v>
      </c>
      <c r="P15" s="413">
        <v>2019.6451585858808</v>
      </c>
      <c r="Q15" s="413">
        <v>117.01081624964991</v>
      </c>
      <c r="R15" s="376">
        <v>2.9999999999745341E-2</v>
      </c>
      <c r="S15" s="376">
        <v>-0.12200807953649928</v>
      </c>
      <c r="V15" s="195"/>
    </row>
    <row r="16" spans="1:22" s="1460" customFormat="1" ht="18" customHeight="1">
      <c r="A16" s="902">
        <v>2013</v>
      </c>
      <c r="B16" s="903"/>
      <c r="C16" s="412">
        <v>15503.717382758517</v>
      </c>
      <c r="D16" s="412">
        <v>5456.4810249659458</v>
      </c>
      <c r="E16" s="413">
        <v>751.034022456</v>
      </c>
      <c r="F16" s="413">
        <v>1523.15260891909</v>
      </c>
      <c r="G16" s="413">
        <v>1969.5314040635103</v>
      </c>
      <c r="H16" s="413">
        <v>2672.2864133425301</v>
      </c>
      <c r="I16" s="413">
        <v>441.72261099799994</v>
      </c>
      <c r="J16" s="756">
        <v>28317.925467503592</v>
      </c>
      <c r="K16" s="412">
        <v>15149.091454204585</v>
      </c>
      <c r="L16" s="412">
        <v>7980.9919316056948</v>
      </c>
      <c r="M16" s="413">
        <v>536.12682701900007</v>
      </c>
      <c r="N16" s="413">
        <v>571.32068283480589</v>
      </c>
      <c r="O16" s="413">
        <v>1302.9807447822805</v>
      </c>
      <c r="P16" s="413">
        <v>2670.1799881730003</v>
      </c>
      <c r="Q16" s="413">
        <v>107.20656188199999</v>
      </c>
      <c r="R16" s="376">
        <v>-2.5011104298755527E-12</v>
      </c>
      <c r="S16" s="376">
        <v>2.7277002225417846E-2</v>
      </c>
      <c r="V16" s="195"/>
    </row>
    <row r="17" spans="1:32" s="1460" customFormat="1" ht="18" customHeight="1">
      <c r="A17" s="902">
        <v>2014</v>
      </c>
      <c r="B17" s="903"/>
      <c r="C17" s="412">
        <v>15577.724164094219</v>
      </c>
      <c r="D17" s="412">
        <v>6785.9173005284938</v>
      </c>
      <c r="E17" s="413">
        <v>836.28286121600013</v>
      </c>
      <c r="F17" s="413">
        <v>1377.7460327506799</v>
      </c>
      <c r="G17" s="413">
        <v>1847.1232959089948</v>
      </c>
      <c r="H17" s="413">
        <v>3175.4774393474504</v>
      </c>
      <c r="I17" s="413">
        <v>482.99824806200002</v>
      </c>
      <c r="J17" s="756">
        <v>30083.219341907836</v>
      </c>
      <c r="K17" s="412">
        <v>15700.12257792568</v>
      </c>
      <c r="L17" s="412">
        <v>8541.0454877153079</v>
      </c>
      <c r="M17" s="413">
        <v>731.31051261909602</v>
      </c>
      <c r="N17" s="413">
        <v>881.86921430007123</v>
      </c>
      <c r="O17" s="413">
        <v>1397.6258237058805</v>
      </c>
      <c r="P17" s="413">
        <v>2753.9199218455396</v>
      </c>
      <c r="Q17" s="413">
        <v>77.416853080913</v>
      </c>
      <c r="R17" s="376">
        <v>-5.0000000002341949E-2</v>
      </c>
      <c r="S17" s="376">
        <v>-9.1049284652029883E-2</v>
      </c>
      <c r="V17" s="195"/>
    </row>
    <row r="18" spans="1:32" s="1460" customFormat="1" ht="18" customHeight="1">
      <c r="A18" s="902">
        <v>2015</v>
      </c>
      <c r="B18" s="903"/>
      <c r="C18" s="412">
        <v>16523.619700675819</v>
      </c>
      <c r="D18" s="412">
        <v>6352.9216794285448</v>
      </c>
      <c r="E18" s="413">
        <v>846.19650779555968</v>
      </c>
      <c r="F18" s="413">
        <v>1879.6819788248997</v>
      </c>
      <c r="G18" s="413">
        <v>1688.9175099105464</v>
      </c>
      <c r="H18" s="413">
        <v>3138.2076690990534</v>
      </c>
      <c r="I18" s="413">
        <v>472.81950203370315</v>
      </c>
      <c r="J18" s="756">
        <v>30902.264547768125</v>
      </c>
      <c r="K18" s="412">
        <v>16152.09906499807</v>
      </c>
      <c r="L18" s="412">
        <v>9237.1578178218988</v>
      </c>
      <c r="M18" s="413">
        <v>669.39658791796705</v>
      </c>
      <c r="N18" s="413">
        <v>834.20534066272739</v>
      </c>
      <c r="O18" s="413">
        <v>1281.5048305072642</v>
      </c>
      <c r="P18" s="413">
        <v>2647.7334943511423</v>
      </c>
      <c r="Q18" s="413">
        <v>80.163340060770011</v>
      </c>
      <c r="R18" s="376">
        <v>-0.10000000000144382</v>
      </c>
      <c r="S18" s="376">
        <v>4.0714482854440348E-3</v>
      </c>
      <c r="V18" s="195"/>
    </row>
    <row r="19" spans="1:32" s="1460" customFormat="1" ht="18" customHeight="1">
      <c r="A19" s="902">
        <v>2016</v>
      </c>
      <c r="B19" s="903"/>
      <c r="C19" s="412">
        <v>17349.04192278098</v>
      </c>
      <c r="D19" s="412">
        <v>7043.1036713408466</v>
      </c>
      <c r="E19" s="413">
        <v>944.09464075719166</v>
      </c>
      <c r="F19" s="413">
        <v>1225.8407769051723</v>
      </c>
      <c r="G19" s="413">
        <v>1590.6308469431738</v>
      </c>
      <c r="H19" s="413">
        <v>2673.0517052933155</v>
      </c>
      <c r="I19" s="413">
        <v>387.76963813469791</v>
      </c>
      <c r="J19" s="756">
        <v>31213.53320215538</v>
      </c>
      <c r="K19" s="412">
        <v>16760.744843135093</v>
      </c>
      <c r="L19" s="412">
        <v>9543.6501160301159</v>
      </c>
      <c r="M19" s="413">
        <v>747.73638500980996</v>
      </c>
      <c r="N19" s="413">
        <v>786.77558732117291</v>
      </c>
      <c r="O19" s="413">
        <v>1180.8891485329618</v>
      </c>
      <c r="P19" s="413">
        <v>2091.8885878375199</v>
      </c>
      <c r="Q19" s="413">
        <v>101.7665103957859</v>
      </c>
      <c r="R19" s="376">
        <v>3.0127011996228248E-12</v>
      </c>
      <c r="S19" s="376">
        <v>8.2023892921114339E-2</v>
      </c>
      <c r="V19" s="195"/>
    </row>
    <row r="20" spans="1:32" s="1460" customFormat="1" ht="18" customHeight="1">
      <c r="A20" s="902">
        <v>2017</v>
      </c>
      <c r="B20" s="903"/>
      <c r="C20" s="412">
        <v>18025.025685114462</v>
      </c>
      <c r="D20" s="412">
        <v>7074.1092814730473</v>
      </c>
      <c r="E20" s="413">
        <v>956.99774050010467</v>
      </c>
      <c r="F20" s="413">
        <v>1133.2722630155472</v>
      </c>
      <c r="G20" s="413">
        <v>1672.0843177251738</v>
      </c>
      <c r="H20" s="413">
        <v>2198.6766411349017</v>
      </c>
      <c r="I20" s="413">
        <v>328.76606384062586</v>
      </c>
      <c r="J20" s="756">
        <v>31389.031992803859</v>
      </c>
      <c r="K20" s="412">
        <v>17103.50192654011</v>
      </c>
      <c r="L20" s="412">
        <v>9704.6997353691004</v>
      </c>
      <c r="M20" s="413">
        <v>863.3625341500001</v>
      </c>
      <c r="N20" s="413">
        <v>805.94801632527856</v>
      </c>
      <c r="O20" s="413">
        <v>1268.8803757598496</v>
      </c>
      <c r="P20" s="413">
        <v>1541.598299606791</v>
      </c>
      <c r="Q20" s="413">
        <v>101.04117597777</v>
      </c>
      <c r="R20" s="376">
        <v>9.9999999995930011E-2</v>
      </c>
      <c r="S20" s="376">
        <v>-7.0925040205338519E-5</v>
      </c>
      <c r="V20" s="195"/>
    </row>
    <row r="21" spans="1:32" s="1467" customFormat="1" ht="18" customHeight="1">
      <c r="A21" s="902">
        <v>2018</v>
      </c>
      <c r="B21" s="903"/>
      <c r="C21" s="412">
        <f t="shared" ref="C21:Q21" si="0">C25</f>
        <v>18939.343910584437</v>
      </c>
      <c r="D21" s="412">
        <f t="shared" si="0"/>
        <v>7948.26532899827</v>
      </c>
      <c r="E21" s="413">
        <f t="shared" si="0"/>
        <v>991.86155398034202</v>
      </c>
      <c r="F21" s="413">
        <f t="shared" si="0"/>
        <v>1186.1117737526686</v>
      </c>
      <c r="G21" s="413">
        <f t="shared" si="0"/>
        <v>1382.4122068005308</v>
      </c>
      <c r="H21" s="413">
        <f t="shared" si="0"/>
        <v>1817.9047880272624</v>
      </c>
      <c r="I21" s="413">
        <f t="shared" si="0"/>
        <v>303.07345227702069</v>
      </c>
      <c r="J21" s="756">
        <f t="shared" si="0"/>
        <v>32569.002859020529</v>
      </c>
      <c r="K21" s="412">
        <f t="shared" si="0"/>
        <v>17832.37369845785</v>
      </c>
      <c r="L21" s="412">
        <f t="shared" si="0"/>
        <v>10275.941631885997</v>
      </c>
      <c r="M21" s="413">
        <f t="shared" si="0"/>
        <v>880.20705161951855</v>
      </c>
      <c r="N21" s="413">
        <f t="shared" si="0"/>
        <v>484.60485490619237</v>
      </c>
      <c r="O21" s="413">
        <f t="shared" si="0"/>
        <v>1411.8107680044102</v>
      </c>
      <c r="P21" s="413">
        <f t="shared" si="0"/>
        <v>1636.1813954201575</v>
      </c>
      <c r="Q21" s="413">
        <f t="shared" si="0"/>
        <v>47.884110967924002</v>
      </c>
      <c r="R21" s="1461">
        <f>J21-C21-D21-E21-F21-G21-H21-I21</f>
        <v>2.9844599997545629E-2</v>
      </c>
      <c r="S21" s="376">
        <f>J21-K21-L21-M21-N21-O21-P21-Q21</f>
        <v>-6.522415201146714E-4</v>
      </c>
      <c r="V21" s="904"/>
    </row>
    <row r="22" spans="1:32" s="1467" customFormat="1" ht="18" customHeight="1">
      <c r="A22" s="1462">
        <v>2019</v>
      </c>
      <c r="B22" s="1463"/>
      <c r="C22" s="1464">
        <f t="shared" ref="C22:Q22" si="1">C29</f>
        <v>19946.565711668136</v>
      </c>
      <c r="D22" s="1464">
        <f t="shared" si="1"/>
        <v>8684.4604509095479</v>
      </c>
      <c r="E22" s="1465">
        <f t="shared" si="1"/>
        <v>1024.9173078212689</v>
      </c>
      <c r="F22" s="1465">
        <f t="shared" si="1"/>
        <v>1651.2398477404984</v>
      </c>
      <c r="G22" s="1465">
        <f t="shared" si="1"/>
        <v>1726.37218529654</v>
      </c>
      <c r="H22" s="1465">
        <f t="shared" si="1"/>
        <v>2041.78926349118</v>
      </c>
      <c r="I22" s="1465">
        <f t="shared" si="1"/>
        <v>294.44175283494872</v>
      </c>
      <c r="J22" s="1466">
        <f t="shared" si="1"/>
        <v>35369.75651976213</v>
      </c>
      <c r="K22" s="1464">
        <f t="shared" si="1"/>
        <v>18967.637102931127</v>
      </c>
      <c r="L22" s="1464">
        <f t="shared" si="1"/>
        <v>10994.81479144534</v>
      </c>
      <c r="M22" s="1465">
        <f t="shared" si="1"/>
        <v>1205.900461744814</v>
      </c>
      <c r="N22" s="1465">
        <f t="shared" si="1"/>
        <v>349.52259899959802</v>
      </c>
      <c r="O22" s="1465">
        <f t="shared" si="1"/>
        <v>2404.5403653449948</v>
      </c>
      <c r="P22" s="1465">
        <f t="shared" si="1"/>
        <v>1382.6745863091428</v>
      </c>
      <c r="Q22" s="1465">
        <f t="shared" si="1"/>
        <v>64.843387248620004</v>
      </c>
      <c r="R22" s="376">
        <f>J22-C22-D22-E22-F22-G22-H22-I22</f>
        <v>-2.9999999990309334E-2</v>
      </c>
      <c r="S22" s="376">
        <f>J22-K22-L22-M22-N22-O22-P22-Q22</f>
        <v>-0.17677426150630993</v>
      </c>
      <c r="V22" s="904"/>
    </row>
    <row r="23" spans="1:32" s="1467" customFormat="1" ht="26.25" customHeight="1">
      <c r="A23" s="902">
        <v>2018</v>
      </c>
      <c r="B23" s="903" t="s">
        <v>223</v>
      </c>
      <c r="C23" s="412">
        <v>18557.237877771044</v>
      </c>
      <c r="D23" s="412">
        <v>7577.2241832943655</v>
      </c>
      <c r="E23" s="413">
        <v>1010.5150812478417</v>
      </c>
      <c r="F23" s="413">
        <v>1025.9151303920303</v>
      </c>
      <c r="G23" s="413">
        <v>1634.1332552672832</v>
      </c>
      <c r="H23" s="413">
        <v>1980.9627316287063</v>
      </c>
      <c r="I23" s="413">
        <v>310.95242852677484</v>
      </c>
      <c r="J23" s="756">
        <v>32096.936584348048</v>
      </c>
      <c r="K23" s="412">
        <v>17298.197411767262</v>
      </c>
      <c r="L23" s="412">
        <v>10413.380483941914</v>
      </c>
      <c r="M23" s="413">
        <v>1013.3052998218326</v>
      </c>
      <c r="N23" s="413">
        <v>829.66795054564795</v>
      </c>
      <c r="O23" s="413">
        <v>984.51766553891775</v>
      </c>
      <c r="P23" s="413">
        <v>1455.8421693801106</v>
      </c>
      <c r="Q23" s="413">
        <v>101.95412287677</v>
      </c>
      <c r="R23" s="376">
        <f t="shared" ref="R23" si="2">J23-C23-D23-E23-F23-G23-H23-I23</f>
        <v>-4.1037799971945788E-3</v>
      </c>
      <c r="S23" s="376">
        <f t="shared" ref="S23" si="3">J23-K23-L23-M23-N23-O23-P23-Q23</f>
        <v>7.1480475594213999E-2</v>
      </c>
      <c r="V23" s="904"/>
    </row>
    <row r="24" spans="1:32" s="1467" customFormat="1" ht="18" customHeight="1">
      <c r="A24" s="902"/>
      <c r="B24" s="903" t="s">
        <v>224</v>
      </c>
      <c r="C24" s="412">
        <v>18406.658856756119</v>
      </c>
      <c r="D24" s="412">
        <v>7898.1821921133087</v>
      </c>
      <c r="E24" s="413">
        <v>1031.0374956162032</v>
      </c>
      <c r="F24" s="413">
        <v>1155.0825525235464</v>
      </c>
      <c r="G24" s="413">
        <v>1397.79449938211</v>
      </c>
      <c r="H24" s="413">
        <v>1943.0552387373009</v>
      </c>
      <c r="I24" s="413">
        <v>326.63744859517601</v>
      </c>
      <c r="J24" s="756">
        <v>32158.468283723771</v>
      </c>
      <c r="K24" s="412">
        <v>17376.957863627387</v>
      </c>
      <c r="L24" s="412">
        <v>10618.946923652304</v>
      </c>
      <c r="M24" s="413">
        <v>765.48212493133803</v>
      </c>
      <c r="N24" s="413">
        <v>625.05177165465273</v>
      </c>
      <c r="O24" s="413">
        <v>1256.2344130035965</v>
      </c>
      <c r="P24" s="413">
        <v>1424.5335491165824</v>
      </c>
      <c r="Q24" s="413">
        <v>91.321264233769995</v>
      </c>
      <c r="R24" s="1461">
        <v>2.0000000006348273E-2</v>
      </c>
      <c r="S24" s="1461">
        <v>-5.9626495860271689E-2</v>
      </c>
      <c r="V24" s="904"/>
    </row>
    <row r="25" spans="1:32" s="1467" customFormat="1" ht="18" customHeight="1">
      <c r="A25" s="902"/>
      <c r="B25" s="903" t="s">
        <v>225</v>
      </c>
      <c r="C25" s="412">
        <v>18939.343910584437</v>
      </c>
      <c r="D25" s="412">
        <v>7948.26532899827</v>
      </c>
      <c r="E25" s="413">
        <v>991.86155398034202</v>
      </c>
      <c r="F25" s="413">
        <v>1186.1117737526686</v>
      </c>
      <c r="G25" s="413">
        <v>1382.4122068005308</v>
      </c>
      <c r="H25" s="413">
        <v>1817.9047880272624</v>
      </c>
      <c r="I25" s="413">
        <v>303.07345227702069</v>
      </c>
      <c r="J25" s="756">
        <v>32569.002859020529</v>
      </c>
      <c r="K25" s="412">
        <v>17832.37369845785</v>
      </c>
      <c r="L25" s="412">
        <v>10275.941631885997</v>
      </c>
      <c r="M25" s="413">
        <v>880.20705161951855</v>
      </c>
      <c r="N25" s="413">
        <v>484.60485490619237</v>
      </c>
      <c r="O25" s="413">
        <v>1411.8107680044102</v>
      </c>
      <c r="P25" s="413">
        <v>1636.1813954201575</v>
      </c>
      <c r="Q25" s="413">
        <v>47.884110967924002</v>
      </c>
      <c r="R25" s="376">
        <v>2.9844599997545629E-2</v>
      </c>
      <c r="S25" s="376">
        <v>-6.522415201146714E-4</v>
      </c>
      <c r="V25" s="904"/>
    </row>
    <row r="26" spans="1:32" s="195" customFormat="1" ht="27" customHeight="1">
      <c r="A26" s="902">
        <v>2019</v>
      </c>
      <c r="B26" s="903" t="s">
        <v>222</v>
      </c>
      <c r="C26" s="412">
        <v>19915.539412784183</v>
      </c>
      <c r="D26" s="412">
        <v>8478.4789862860671</v>
      </c>
      <c r="E26" s="413">
        <v>983.15554627976292</v>
      </c>
      <c r="F26" s="413">
        <v>1186.3643084818107</v>
      </c>
      <c r="G26" s="413">
        <v>1616.2805593150158</v>
      </c>
      <c r="H26" s="413">
        <v>1923.678402223444</v>
      </c>
      <c r="I26" s="413">
        <v>316.47069847068025</v>
      </c>
      <c r="J26" s="756">
        <v>34420.057758440969</v>
      </c>
      <c r="K26" s="412">
        <v>18670.433095912798</v>
      </c>
      <c r="L26" s="412">
        <v>10133.500378830788</v>
      </c>
      <c r="M26" s="413">
        <v>1103.3256536305166</v>
      </c>
      <c r="N26" s="413">
        <v>923.80942152172918</v>
      </c>
      <c r="O26" s="413">
        <v>1673.4577909930829</v>
      </c>
      <c r="P26" s="413">
        <v>1798.7056113637445</v>
      </c>
      <c r="Q26" s="413">
        <v>116.92650386477</v>
      </c>
      <c r="R26" s="1461">
        <v>8.9844600005505981E-2</v>
      </c>
      <c r="S26" s="1461">
        <v>-0.10069767645951799</v>
      </c>
      <c r="T26" s="1460"/>
      <c r="U26" s="1460"/>
    </row>
    <row r="27" spans="1:32" s="195" customFormat="1" ht="18" customHeight="1">
      <c r="A27" s="902"/>
      <c r="B27" s="903" t="s">
        <v>223</v>
      </c>
      <c r="C27" s="412">
        <f t="shared" ref="C27:Q27" si="4">C33</f>
        <v>19986.988421793343</v>
      </c>
      <c r="D27" s="412">
        <f t="shared" si="4"/>
        <v>8440.7715515836717</v>
      </c>
      <c r="E27" s="413">
        <f t="shared" si="4"/>
        <v>1018.9454561665648</v>
      </c>
      <c r="F27" s="413">
        <f t="shared" si="4"/>
        <v>1350.4217908161486</v>
      </c>
      <c r="G27" s="413">
        <f t="shared" si="4"/>
        <v>1733.2717545641513</v>
      </c>
      <c r="H27" s="413">
        <f t="shared" si="4"/>
        <v>1687.4867484987765</v>
      </c>
      <c r="I27" s="413">
        <f t="shared" si="4"/>
        <v>311.06896304125723</v>
      </c>
      <c r="J27" s="756">
        <f t="shared" si="4"/>
        <v>34528.855064493917</v>
      </c>
      <c r="K27" s="412">
        <f t="shared" si="4"/>
        <v>18811.06655186549</v>
      </c>
      <c r="L27" s="412">
        <f t="shared" si="4"/>
        <v>10003.53819503701</v>
      </c>
      <c r="M27" s="413">
        <f t="shared" si="4"/>
        <v>1466.0361341026837</v>
      </c>
      <c r="N27" s="413">
        <f t="shared" si="4"/>
        <v>835.22945750416886</v>
      </c>
      <c r="O27" s="413">
        <f t="shared" si="4"/>
        <v>1680.6060288876765</v>
      </c>
      <c r="P27" s="413">
        <f t="shared" si="4"/>
        <v>1615.5761511040448</v>
      </c>
      <c r="Q27" s="413">
        <f t="shared" si="4"/>
        <v>116.8755450829</v>
      </c>
      <c r="R27" s="1461">
        <f t="shared" ref="R27" si="5">J27-C27-D27-E27-F27-G27-H27-I27</f>
        <v>-9.9621969995837389E-2</v>
      </c>
      <c r="S27" s="1461">
        <f t="shared" ref="S27" si="6">J27-K27-L27-M27-N27-O27-P27-Q27</f>
        <v>-7.2999090056697469E-2</v>
      </c>
      <c r="T27" s="1467"/>
      <c r="U27" s="1467"/>
      <c r="V27" s="904"/>
      <c r="W27" s="904"/>
      <c r="X27" s="904"/>
      <c r="Y27" s="904"/>
      <c r="Z27" s="904"/>
      <c r="AA27" s="904"/>
      <c r="AB27" s="904"/>
      <c r="AC27" s="904"/>
      <c r="AD27" s="904"/>
      <c r="AE27" s="904"/>
      <c r="AF27" s="904"/>
    </row>
    <row r="28" spans="1:32" s="195" customFormat="1" ht="18" customHeight="1">
      <c r="A28" s="902"/>
      <c r="B28" s="903" t="s">
        <v>224</v>
      </c>
      <c r="C28" s="412">
        <f t="shared" ref="C28:Q28" si="7">C36</f>
        <v>20084.143811542588</v>
      </c>
      <c r="D28" s="412">
        <f t="shared" si="7"/>
        <v>8624.9677685944152</v>
      </c>
      <c r="E28" s="413">
        <f t="shared" si="7"/>
        <v>996.8907313572729</v>
      </c>
      <c r="F28" s="413">
        <f t="shared" si="7"/>
        <v>1061.4585280461954</v>
      </c>
      <c r="G28" s="413">
        <f t="shared" si="7"/>
        <v>1824.0716438090931</v>
      </c>
      <c r="H28" s="413">
        <f t="shared" si="7"/>
        <v>1821.0306430337805</v>
      </c>
      <c r="I28" s="413">
        <f t="shared" si="7"/>
        <v>300.48128584869522</v>
      </c>
      <c r="J28" s="756">
        <f t="shared" si="7"/>
        <v>34713.094412232043</v>
      </c>
      <c r="K28" s="412">
        <f t="shared" si="7"/>
        <v>18959.876713465419</v>
      </c>
      <c r="L28" s="412">
        <f t="shared" si="7"/>
        <v>9908.2568534584952</v>
      </c>
      <c r="M28" s="413">
        <f t="shared" si="7"/>
        <v>1297.5376860459999</v>
      </c>
      <c r="N28" s="413">
        <f t="shared" si="7"/>
        <v>612.55094316839507</v>
      </c>
      <c r="O28" s="413">
        <f t="shared" si="7"/>
        <v>2250.5547191542155</v>
      </c>
      <c r="P28" s="413">
        <f t="shared" si="7"/>
        <v>1580.8248535706753</v>
      </c>
      <c r="Q28" s="413">
        <f t="shared" si="7"/>
        <v>103.43007916990001</v>
      </c>
      <c r="R28" s="1461">
        <f t="shared" ref="R28" si="8">J28-C28-D28-E28-F28-G28-H28-I28</f>
        <v>5.0000000003421974E-2</v>
      </c>
      <c r="S28" s="1461">
        <f t="shared" ref="S28" si="9">J28-K28-L28-M28-N28-O28-P28-Q28</f>
        <v>6.2564198943334759E-2</v>
      </c>
      <c r="T28" s="1460"/>
      <c r="U28" s="1460"/>
    </row>
    <row r="29" spans="1:32" s="904" customFormat="1" ht="18" customHeight="1">
      <c r="A29" s="902"/>
      <c r="B29" s="903" t="s">
        <v>225</v>
      </c>
      <c r="C29" s="412">
        <f t="shared" ref="C29:Q29" si="10">C39</f>
        <v>19946.565711668136</v>
      </c>
      <c r="D29" s="412">
        <f t="shared" si="10"/>
        <v>8684.4604509095479</v>
      </c>
      <c r="E29" s="413">
        <f t="shared" si="10"/>
        <v>1024.9173078212689</v>
      </c>
      <c r="F29" s="413">
        <f t="shared" si="10"/>
        <v>1651.2398477404984</v>
      </c>
      <c r="G29" s="413">
        <f t="shared" si="10"/>
        <v>1726.37218529654</v>
      </c>
      <c r="H29" s="413">
        <f t="shared" si="10"/>
        <v>2041.78926349118</v>
      </c>
      <c r="I29" s="413">
        <f t="shared" si="10"/>
        <v>294.44175283494872</v>
      </c>
      <c r="J29" s="756">
        <f t="shared" si="10"/>
        <v>35369.75651976213</v>
      </c>
      <c r="K29" s="412">
        <f t="shared" si="10"/>
        <v>18967.637102931127</v>
      </c>
      <c r="L29" s="412">
        <f t="shared" si="10"/>
        <v>10994.81479144534</v>
      </c>
      <c r="M29" s="413">
        <f t="shared" si="10"/>
        <v>1205.900461744814</v>
      </c>
      <c r="N29" s="413">
        <f t="shared" si="10"/>
        <v>349.52259899959802</v>
      </c>
      <c r="O29" s="413">
        <f t="shared" si="10"/>
        <v>2404.5403653449948</v>
      </c>
      <c r="P29" s="413">
        <f t="shared" si="10"/>
        <v>1382.6745863091428</v>
      </c>
      <c r="Q29" s="413">
        <f t="shared" si="10"/>
        <v>64.843387248620004</v>
      </c>
      <c r="R29" s="1461">
        <f t="shared" ref="R29" si="11">J29-C29-D29-E29-F29-G29-H29-I29</f>
        <v>-2.9999999990309334E-2</v>
      </c>
      <c r="S29" s="1461">
        <f t="shared" ref="S29" si="12">J29-K29-L29-M29-N29-O29-P29-Q29</f>
        <v>-0.17677426150630993</v>
      </c>
      <c r="T29" s="1467"/>
      <c r="U29" s="1467"/>
    </row>
    <row r="30" spans="1:32" s="195" customFormat="1" ht="21" customHeight="1">
      <c r="A30" s="1462">
        <v>2020</v>
      </c>
      <c r="B30" s="1463" t="s">
        <v>222</v>
      </c>
      <c r="C30" s="1464">
        <f t="shared" ref="C30:Q30" si="13">C42</f>
        <v>20685.61091145056</v>
      </c>
      <c r="D30" s="1464">
        <f t="shared" si="13"/>
        <v>8793.2566827116934</v>
      </c>
      <c r="E30" s="1465">
        <f t="shared" si="13"/>
        <v>936.3636080602372</v>
      </c>
      <c r="F30" s="1465">
        <f t="shared" si="13"/>
        <v>1375.3987263494121</v>
      </c>
      <c r="G30" s="1465">
        <f t="shared" si="13"/>
        <v>1774.4210087512199</v>
      </c>
      <c r="H30" s="1465">
        <f t="shared" si="13"/>
        <v>1854.879546681208</v>
      </c>
      <c r="I30" s="1465">
        <f t="shared" si="13"/>
        <v>332.2524603372641</v>
      </c>
      <c r="J30" s="1466">
        <f t="shared" si="13"/>
        <v>35752.28294434159</v>
      </c>
      <c r="K30" s="1464">
        <f t="shared" si="13"/>
        <v>19117.532842013734</v>
      </c>
      <c r="L30" s="1464">
        <f t="shared" si="13"/>
        <v>10225.781915870404</v>
      </c>
      <c r="M30" s="1465">
        <f t="shared" si="13"/>
        <v>1194.7364896439803</v>
      </c>
      <c r="N30" s="1465">
        <f t="shared" si="13"/>
        <v>493.00478700778405</v>
      </c>
      <c r="O30" s="1465">
        <f t="shared" si="13"/>
        <v>2769.1078898677551</v>
      </c>
      <c r="P30" s="1465">
        <f t="shared" si="13"/>
        <v>1769.0086200791466</v>
      </c>
      <c r="Q30" s="1465">
        <f t="shared" si="13"/>
        <v>183.21446197661999</v>
      </c>
      <c r="R30" s="376">
        <f t="shared" ref="R30" si="14">J30-C30-D30-E30-F30-G30-H30-I30</f>
        <v>9.9999999995702638E-2</v>
      </c>
      <c r="S30" s="376">
        <f t="shared" ref="S30" si="15">J30-K30-L30-M30-N30-O30-P30-Q30</f>
        <v>-0.10406211783401886</v>
      </c>
      <c r="T30" s="1460"/>
      <c r="U30" s="1460"/>
    </row>
    <row r="31" spans="1:32" s="195" customFormat="1" ht="26.25" customHeight="1">
      <c r="A31" s="902">
        <v>2019</v>
      </c>
      <c r="B31" s="903" t="s">
        <v>399</v>
      </c>
      <c r="C31" s="412">
        <f>'[5]3'!$AA$17-0.05</f>
        <v>19863.82970363765</v>
      </c>
      <c r="D31" s="412">
        <f>'[5]3'!$AA$16-'[5]3'!$AA$17+0.03</f>
        <v>8235.4563553314492</v>
      </c>
      <c r="E31" s="413">
        <f>'[5]3'!$AA$23</f>
        <v>1032.391668795824</v>
      </c>
      <c r="F31" s="413">
        <f>'[5]3'!$AA$131</f>
        <v>1115.1994298198222</v>
      </c>
      <c r="G31" s="413">
        <f>'[5]3'!$AA$82</f>
        <v>1532.8283065701137</v>
      </c>
      <c r="H31" s="413">
        <f>'[5]3'!$AA$36</f>
        <v>1663.1580987867865</v>
      </c>
      <c r="I31" s="413">
        <f>'[5]3'!$AA$76+'[5]3'!$AA$103+'[5]3'!$AA$146+'[5]3'!$AA$149</f>
        <v>303.18074408652512</v>
      </c>
      <c r="J31" s="756">
        <f>'[5]3'!$AA$152</f>
        <v>33746.064151628168</v>
      </c>
      <c r="K31" s="412">
        <f>'[5]3'!$N$17</f>
        <v>18514.69570085319</v>
      </c>
      <c r="L31" s="412">
        <f>'[5]3'!$N$16-'[5]3'!$N$17</f>
        <v>9620.8789989322831</v>
      </c>
      <c r="M31" s="413">
        <f>'[5]3'!$N$23</f>
        <v>1167.2812068821265</v>
      </c>
      <c r="N31" s="413">
        <f>'[5]3'!$N$131</f>
        <v>851.52803993466159</v>
      </c>
      <c r="O31" s="413">
        <f>'[5]3'!$N$82</f>
        <v>1658.9047735212066</v>
      </c>
      <c r="P31" s="413">
        <f>'[5]3'!$N$36</f>
        <v>1813.7446650017328</v>
      </c>
      <c r="Q31" s="413">
        <f>'[5]3'!$N$76+'[5]3'!$N$103+'[5]3'!$N$146+'[5]3'!$N$149</f>
        <v>119.1087755259</v>
      </c>
      <c r="R31" s="376">
        <f t="shared" ref="R31" si="16">J31-C31-D31-E31-F31-G31-H31-I31</f>
        <v>1.984459999732735E-2</v>
      </c>
      <c r="S31" s="376">
        <f t="shared" ref="S31" si="17">J31-K31-L31-M31-N31-O31-P31-Q31</f>
        <v>-7.8009022932292282E-2</v>
      </c>
      <c r="T31" s="904"/>
      <c r="U31" s="904"/>
    </row>
    <row r="32" spans="1:32" s="195" customFormat="1" ht="18" customHeight="1">
      <c r="A32" s="902"/>
      <c r="B32" s="903" t="s">
        <v>400</v>
      </c>
      <c r="C32" s="412">
        <f>'[6]3'!$AA$17</f>
        <v>19961.419523395398</v>
      </c>
      <c r="D32" s="412">
        <f>'[6]3'!$AA$16-'[6]3'!$AA$17</f>
        <v>8711.811825008157</v>
      </c>
      <c r="E32" s="413">
        <f>'[6]3'!$AA$23</f>
        <v>1097.0801779746926</v>
      </c>
      <c r="F32" s="413">
        <f>'[6]3'!$AA$131</f>
        <v>1130.6861064043376</v>
      </c>
      <c r="G32" s="413">
        <f>'[6]3'!$AA$82</f>
        <v>1490.1038525696697</v>
      </c>
      <c r="H32" s="413">
        <f>'[6]3'!$AA$36</f>
        <v>1644.7668204171173</v>
      </c>
      <c r="I32" s="413">
        <f>'[6]3'!$AA$76+'[6]3'!$AA$103+'[6]3'!$AA$146+'[6]3'!$AA$149-0.01</f>
        <v>308.341636065258</v>
      </c>
      <c r="J32" s="756">
        <f>'[6]3'!$AA$152</f>
        <v>34344.219786434631</v>
      </c>
      <c r="K32" s="412">
        <f>'[6]3'!$N$17-0.1</f>
        <v>18732.21063560091</v>
      </c>
      <c r="L32" s="412">
        <f>'[6]3'!$N$16-'[6]3'!$N$17</f>
        <v>9941.458171006223</v>
      </c>
      <c r="M32" s="413">
        <f>'[6]3'!$N$23</f>
        <v>1497.1209791069623</v>
      </c>
      <c r="N32" s="413">
        <f>'[6]3'!$N$131</f>
        <v>742.04800116990418</v>
      </c>
      <c r="O32" s="413">
        <f>'[6]3'!$N$82</f>
        <v>1582.869894514256</v>
      </c>
      <c r="P32" s="413">
        <f>'[6]3'!$N$36</f>
        <v>1734.9479885519363</v>
      </c>
      <c r="Q32" s="413">
        <f>'[6]3'!$N$76+'[6]3'!$N$103+'[6]3'!$N$146+'[6]3'!$N$149</f>
        <v>113.58218020690001</v>
      </c>
      <c r="R32" s="376">
        <f t="shared" ref="R32" si="18">J32-C32-D32-E32-F32-G32-H32-I32</f>
        <v>9.84460000057652E-3</v>
      </c>
      <c r="S32" s="376">
        <f t="shared" ref="S32" si="19">J32-K32-L32-M32-N32-O32-P32-Q32</f>
        <v>-1.8063722460823328E-2</v>
      </c>
      <c r="T32" s="904"/>
      <c r="U32" s="904"/>
    </row>
    <row r="33" spans="1:21" s="195" customFormat="1" ht="18" customHeight="1">
      <c r="A33" s="902"/>
      <c r="B33" s="903" t="s">
        <v>401</v>
      </c>
      <c r="C33" s="412">
        <f>'[7]3'!$AA$17</f>
        <v>19986.988421793343</v>
      </c>
      <c r="D33" s="412">
        <f>'[7]3'!$AA$16-'[7]3'!$AA$17+0.05</f>
        <v>8440.7715515836717</v>
      </c>
      <c r="E33" s="413">
        <f>'[7]3'!$AA$23</f>
        <v>1018.9454561665648</v>
      </c>
      <c r="F33" s="413">
        <f>'[7]3'!$AA$131</f>
        <v>1350.4217908161486</v>
      </c>
      <c r="G33" s="413">
        <f>'[7]3'!$AA$82</f>
        <v>1733.2717545641513</v>
      </c>
      <c r="H33" s="413">
        <f>'[7]3'!$AA$36+0.05</f>
        <v>1687.4867484987765</v>
      </c>
      <c r="I33" s="413">
        <f>'[7]3'!$AA$76+'[7]3'!$AA$103+'[7]3'!$AA$146+'[7]3'!$AA$149</f>
        <v>311.06896304125723</v>
      </c>
      <c r="J33" s="756">
        <f>'[7]3'!$AA$152+0.05</f>
        <v>34528.855064493917</v>
      </c>
      <c r="K33" s="412">
        <f>'[7]3'!$N$17+0.05</f>
        <v>18811.06655186549</v>
      </c>
      <c r="L33" s="412">
        <f>'[7]3'!$N$16-'[7]3'!$N$17</f>
        <v>10003.53819503701</v>
      </c>
      <c r="M33" s="413">
        <f>'[7]3'!$N$23</f>
        <v>1466.0361341026837</v>
      </c>
      <c r="N33" s="413">
        <f>'[7]3'!$N$131</f>
        <v>835.22945750416886</v>
      </c>
      <c r="O33" s="413">
        <f>'[7]3'!$N$82</f>
        <v>1680.6060288876765</v>
      </c>
      <c r="P33" s="413">
        <f>'[7]3'!$N$36</f>
        <v>1615.5761511040448</v>
      </c>
      <c r="Q33" s="413">
        <f>'[7]3'!$N$76+'[7]3'!$N$103+'[7]3'!$N$146+'[7]3'!$N$149</f>
        <v>116.8755450829</v>
      </c>
      <c r="R33" s="376">
        <f t="shared" ref="R33" si="20">J33-C33-D33-E33-F33-G33-H33-I33</f>
        <v>-9.9621969995837389E-2</v>
      </c>
      <c r="S33" s="376">
        <f t="shared" ref="S33" si="21">J33-K33-L33-M33-N33-O33-P33-Q33</f>
        <v>-7.2999090056697469E-2</v>
      </c>
      <c r="T33" s="904"/>
      <c r="U33" s="904"/>
    </row>
    <row r="34" spans="1:21" s="195" customFormat="1" ht="18" customHeight="1">
      <c r="A34" s="902"/>
      <c r="B34" s="903" t="s">
        <v>402</v>
      </c>
      <c r="C34" s="412">
        <f>'[8]3'!$AA$17-0.1</f>
        <v>19957.408006684545</v>
      </c>
      <c r="D34" s="412">
        <f>'[8]3'!$AA$16-'[8]3'!$AA$17</f>
        <v>8597.8796319473222</v>
      </c>
      <c r="E34" s="413">
        <f>'[8]3'!$AA$23</f>
        <v>1012.1610184578302</v>
      </c>
      <c r="F34" s="413">
        <f>'[8]3'!$AA$131</f>
        <v>1361.4208034361686</v>
      </c>
      <c r="G34" s="413">
        <f>'[8]3'!$AA$82</f>
        <v>1807.3212467043606</v>
      </c>
      <c r="H34" s="413">
        <f>'[8]3'!$AA$36</f>
        <v>1627.2694600613358</v>
      </c>
      <c r="I34" s="413">
        <f>'[8]3'!$AA$76+'[8]3'!$AA$103+'[8]3'!$AA$146+'[8]3'!$AA$149</f>
        <v>306.5109361019878</v>
      </c>
      <c r="J34" s="756">
        <f>'[8]3'!$AA$152-0.03</f>
        <v>34670.041103393552</v>
      </c>
      <c r="K34" s="412">
        <f>'[8]3'!$N$17</f>
        <v>18770.414204238823</v>
      </c>
      <c r="L34" s="412">
        <f>'[8]3'!$N$16-'[8]3'!$N$17</f>
        <v>10033.94583090374</v>
      </c>
      <c r="M34" s="413">
        <f>'[8]3'!$N$23</f>
        <v>1161.1742279795042</v>
      </c>
      <c r="N34" s="413">
        <f>'[8]3'!$N$131</f>
        <v>802.68662596940737</v>
      </c>
      <c r="O34" s="413">
        <f>'[8]3'!$N$82</f>
        <v>2133.7177530831646</v>
      </c>
      <c r="P34" s="413">
        <f>'[8]3'!$N$36</f>
        <v>1661.6011332185335</v>
      </c>
      <c r="Q34" s="413">
        <f>'[8]3'!$N$76+'[8]3'!$N$103+'[8]3'!$N$146+'[8]3'!$N$149-0.03</f>
        <v>106.5354191279</v>
      </c>
      <c r="R34" s="376">
        <f t="shared" ref="R34" si="22">J34-C34-D34-E34-F34-G34-H34-I34</f>
        <v>7.0000000001641638E-2</v>
      </c>
      <c r="S34" s="376">
        <f t="shared" ref="S34" si="23">J34-K34-L34-M34-N34-O34-P34-Q34</f>
        <v>-3.4091127520454734E-2</v>
      </c>
      <c r="T34" s="904"/>
      <c r="U34" s="904"/>
    </row>
    <row r="35" spans="1:21" s="195" customFormat="1" ht="18" customHeight="1">
      <c r="A35" s="902"/>
      <c r="B35" s="903" t="s">
        <v>403</v>
      </c>
      <c r="C35" s="412">
        <f>'[9]3'!$AA$17-0.1</f>
        <v>19891.807000167089</v>
      </c>
      <c r="D35" s="412">
        <f>'[9]3'!$AA$16-'[9]3'!$AA$17</f>
        <v>8846.0259797811268</v>
      </c>
      <c r="E35" s="413">
        <f>'[9]3'!$AA$23</f>
        <v>985.41410302189854</v>
      </c>
      <c r="F35" s="413">
        <f>'[9]3'!$AA$131</f>
        <v>1347.3799884877251</v>
      </c>
      <c r="G35" s="413">
        <f>'[9]3'!$AA$82</f>
        <v>1699.5529080903607</v>
      </c>
      <c r="H35" s="413">
        <f>'[9]3'!$AA$36</f>
        <v>1741.8016565131804</v>
      </c>
      <c r="I35" s="413">
        <f>'[9]3'!$AA$76+'[9]3'!$AA$103+'[9]3'!$AA$146+'[9]3'!$AA$149+0.02</f>
        <v>327.95673450468018</v>
      </c>
      <c r="J35" s="756">
        <f>'[9]3'!$AA$152</f>
        <v>34840.01837056606</v>
      </c>
      <c r="K35" s="412">
        <f>'[9]3'!$N$17</f>
        <v>18776.070182492305</v>
      </c>
      <c r="L35" s="412">
        <f>'[9]3'!$N$16-'[9]3'!$N$17</f>
        <v>10200.778057534375</v>
      </c>
      <c r="M35" s="413">
        <f>'[9]3'!$N$23</f>
        <v>1205.7560861361753</v>
      </c>
      <c r="N35" s="413">
        <f>'[9]3'!$N$131</f>
        <v>688.63935472351557</v>
      </c>
      <c r="O35" s="413">
        <f>'[9]3'!$N$82</f>
        <v>2193.0613592256295</v>
      </c>
      <c r="P35" s="413">
        <f>'[9]3'!$N$36</f>
        <v>1674.3240853714965</v>
      </c>
      <c r="Q35" s="413">
        <f>'[9]3'!$N$76+'[9]3'!$N$103+'[9]3'!$N$146+'[9]3'!$N$149</f>
        <v>101.3292598539</v>
      </c>
      <c r="R35" s="376">
        <f t="shared" ref="R35" si="24">J35-C35-D35-E35-F35-G35-H35-I35</f>
        <v>7.9999999998449312E-2</v>
      </c>
      <c r="S35" s="376">
        <f t="shared" ref="S35" si="25">J35-K35-L35-M35-N35-O35-P35-Q35</f>
        <v>5.9985228662867485E-2</v>
      </c>
      <c r="T35" s="904"/>
      <c r="U35" s="904"/>
    </row>
    <row r="36" spans="1:21" s="195" customFormat="1" ht="18" customHeight="1">
      <c r="A36" s="902"/>
      <c r="B36" s="903" t="s">
        <v>404</v>
      </c>
      <c r="C36" s="412">
        <f>'[10]3'!$AA$17-0.06</f>
        <v>20084.143811542588</v>
      </c>
      <c r="D36" s="412">
        <f>'[10]3'!$AA$16-'[10]3'!$AA$17</f>
        <v>8624.9677685944152</v>
      </c>
      <c r="E36" s="413">
        <f>'[10]3'!$AA$23</f>
        <v>996.8907313572729</v>
      </c>
      <c r="F36" s="413">
        <f>'[10]3'!$AA$131+0.01</f>
        <v>1061.4585280461954</v>
      </c>
      <c r="G36" s="413">
        <f>'[10]3'!$AA$82</f>
        <v>1824.0716438090931</v>
      </c>
      <c r="H36" s="413">
        <f>'[10]3'!$AA$36</f>
        <v>1821.0306430337805</v>
      </c>
      <c r="I36" s="413">
        <f>'[10]3'!$AA$76+'[10]3'!$AA$103+'[10]3'!$AA$146+'[10]3'!$AA$149</f>
        <v>300.48128584869522</v>
      </c>
      <c r="J36" s="756">
        <f>'[10]3'!$AA$152</f>
        <v>34713.094412232043</v>
      </c>
      <c r="K36" s="412">
        <f>'[10]3'!$N$17</f>
        <v>18959.876713465419</v>
      </c>
      <c r="L36" s="412">
        <f>'[10]3'!$N$16-'[10]3'!$N$17+0.01</f>
        <v>9908.2568534584952</v>
      </c>
      <c r="M36" s="413">
        <f>'[10]3'!$N$23</f>
        <v>1297.5376860459999</v>
      </c>
      <c r="N36" s="413">
        <f>'[10]3'!$N$131</f>
        <v>612.55094316839507</v>
      </c>
      <c r="O36" s="413">
        <f>'[10]3'!$N$82</f>
        <v>2250.5547191542155</v>
      </c>
      <c r="P36" s="413">
        <f>'[10]3'!$N$36</f>
        <v>1580.8248535706753</v>
      </c>
      <c r="Q36" s="413">
        <f>'[10]3'!$N$76+'[10]3'!$N$103+'[10]3'!$N$146+'[10]3'!$N$149</f>
        <v>103.43007916990001</v>
      </c>
      <c r="R36" s="376">
        <f t="shared" ref="R36" si="26">J36-C36-D36-E36-F36-G36-H36-I36</f>
        <v>5.0000000003421974E-2</v>
      </c>
      <c r="S36" s="376">
        <f t="shared" ref="S36" si="27">J36-K36-L36-M36-N36-O36-P36-Q36</f>
        <v>6.2564198943334759E-2</v>
      </c>
      <c r="T36" s="904"/>
      <c r="U36" s="904"/>
    </row>
    <row r="37" spans="1:21" s="195" customFormat="1" ht="18" customHeight="1">
      <c r="A37" s="902"/>
      <c r="B37" s="903" t="s">
        <v>405</v>
      </c>
      <c r="C37" s="412">
        <f>'[11]3'!$AA$17-0.1</f>
        <v>19947.520176633134</v>
      </c>
      <c r="D37" s="412">
        <f>'[11]3'!$AA$16-'[11]3'!$AA$17</f>
        <v>8554.758062656605</v>
      </c>
      <c r="E37" s="413">
        <f>'[11]3'!$AA$23</f>
        <v>1040.6631448447458</v>
      </c>
      <c r="F37" s="413">
        <f>'[11]3'!$AA$131+0.05</f>
        <v>1359.6660492944134</v>
      </c>
      <c r="G37" s="413">
        <f>'[11]3'!$AA$82</f>
        <v>1843.4003764826909</v>
      </c>
      <c r="H37" s="413">
        <f>'[11]3'!$AA$36+0.03</f>
        <v>1788.6601339075357</v>
      </c>
      <c r="I37" s="413">
        <f>'[11]3'!$AA$76+'[11]3'!$AA$103+'[11]3'!$AA$146+'[11]3'!$AA$149</f>
        <v>301.10491600439991</v>
      </c>
      <c r="J37" s="756">
        <f>'[11]3'!$AA$152+0.1</f>
        <v>34835.892859823514</v>
      </c>
      <c r="K37" s="412">
        <f>'[11]3'!$N$17</f>
        <v>18850.499363753017</v>
      </c>
      <c r="L37" s="412">
        <f>'[11]3'!$N$16-'[11]3'!$N$17</f>
        <v>10256.146033680423</v>
      </c>
      <c r="M37" s="413">
        <f>'[11]3'!$N$23</f>
        <v>1040.4979527702212</v>
      </c>
      <c r="N37" s="413">
        <f>'[11]3'!$N$131</f>
        <v>534.58574546709451</v>
      </c>
      <c r="O37" s="413">
        <f>'[11]3'!$N$82</f>
        <v>2368.4572142732027</v>
      </c>
      <c r="P37" s="413">
        <f>'[11]3'!$N$36</f>
        <v>1682.3002149131275</v>
      </c>
      <c r="Q37" s="413">
        <f>'[11]3'!$N$76+'[11]3'!$N$103+'[11]3'!$N$146+'[11]3'!$N$149</f>
        <v>103.4442876099</v>
      </c>
      <c r="R37" s="376">
        <f t="shared" ref="R37" si="28">J37-C37-D37-E37-F37-G37-H37-I37</f>
        <v>0.11999999998965905</v>
      </c>
      <c r="S37" s="376">
        <f t="shared" ref="S37" si="29">J37-K37-L37-M37-N37-O37-P37-Q37</f>
        <v>-3.795264347250793E-2</v>
      </c>
      <c r="T37" s="904"/>
      <c r="U37" s="904"/>
    </row>
    <row r="38" spans="1:21" s="195" customFormat="1" ht="18" customHeight="1">
      <c r="A38" s="902"/>
      <c r="B38" s="903" t="s">
        <v>406</v>
      </c>
      <c r="C38" s="412">
        <f>'[12]3'!$AA$17-0.05</f>
        <v>19930.836951742102</v>
      </c>
      <c r="D38" s="412">
        <f>'[12]3'!$AA$16-'[12]3'!$AA$17</f>
        <v>8709.0371298824284</v>
      </c>
      <c r="E38" s="413">
        <f>'[12]3'!$AA$23</f>
        <v>1028.1379360392189</v>
      </c>
      <c r="F38" s="413">
        <f>'[12]3'!$AA$131</f>
        <v>1924.3771270594361</v>
      </c>
      <c r="G38" s="413">
        <f>'[12]3'!$AA$82</f>
        <v>1685.5907433895725</v>
      </c>
      <c r="H38" s="413">
        <f>'[12]3'!$AA$36</f>
        <v>1804.1665223320633</v>
      </c>
      <c r="I38" s="413">
        <f>'[12]3'!$AA$76+'[12]3'!$AA$103+'[12]3'!$AA$146+'[12]3'!$AA$149</f>
        <v>285.20131000058808</v>
      </c>
      <c r="J38" s="756">
        <f>'[12]3'!$AA$152-0.05</f>
        <v>35367.347720445403</v>
      </c>
      <c r="K38" s="412">
        <f>'[12]3'!$N$17+0.02</f>
        <v>18884.259319994107</v>
      </c>
      <c r="L38" s="412">
        <f>'[12]3'!$N$16-'[12]3'!$N$17</f>
        <v>10979.523068117975</v>
      </c>
      <c r="M38" s="413">
        <f>'[12]3'!$N$23</f>
        <v>983.68339572794343</v>
      </c>
      <c r="N38" s="413">
        <f>'[12]3'!$N$131</f>
        <v>483.56283224678549</v>
      </c>
      <c r="O38" s="413">
        <f>'[12]3'!$N$82</f>
        <v>2356.6305863510543</v>
      </c>
      <c r="P38" s="413">
        <f>'[12]3'!$N$36+0.02</f>
        <v>1627.1639251757883</v>
      </c>
      <c r="Q38" s="413">
        <f>'[12]3'!$N$76+'[12]3'!$N$103+'[12]3'!$N$146+'[12]3'!$N$149</f>
        <v>52.407543503056004</v>
      </c>
      <c r="R38" s="376">
        <f t="shared" ref="R38" si="30">J38-C38-D38-E38-F38-G38-H38-I38</f>
        <v>-5.6274984672199935E-12</v>
      </c>
      <c r="S38" s="376">
        <f t="shared" ref="S38" si="31">J38-K38-L38-M38-N38-O38-P38-Q38</f>
        <v>0.11704932869348283</v>
      </c>
      <c r="T38" s="904"/>
      <c r="U38" s="904"/>
    </row>
    <row r="39" spans="1:21" s="195" customFormat="1" ht="18" customHeight="1">
      <c r="A39" s="902"/>
      <c r="B39" s="903" t="s">
        <v>407</v>
      </c>
      <c r="C39" s="412">
        <f>'[13]3'!$AA$17+0.05</f>
        <v>19946.565711668136</v>
      </c>
      <c r="D39" s="412">
        <f>'[13]3'!$AA$16-'[13]3'!$AA$17</f>
        <v>8684.4604509095479</v>
      </c>
      <c r="E39" s="413">
        <f>'[13]3'!$AA$23</f>
        <v>1024.9173078212689</v>
      </c>
      <c r="F39" s="413">
        <f>'[13]3'!$AA$131</f>
        <v>1651.2398477404984</v>
      </c>
      <c r="G39" s="413">
        <f>'[13]3'!$AA$82</f>
        <v>1726.37218529654</v>
      </c>
      <c r="H39" s="413">
        <f>'[13]3'!$AA$36</f>
        <v>2041.78926349118</v>
      </c>
      <c r="I39" s="413">
        <f>'[13]3'!$AA$76+'[13]3'!$AA$103+'[13]3'!$AA$146+'[13]3'!$AA$149-0.02</f>
        <v>294.44175283494872</v>
      </c>
      <c r="J39" s="756">
        <f>'[13]3'!$AA$152</f>
        <v>35369.75651976213</v>
      </c>
      <c r="K39" s="412">
        <f>'[13]3'!$N$17-0.12</f>
        <v>18967.637102931127</v>
      </c>
      <c r="L39" s="412">
        <f>'[13]3'!$N$16-'[13]3'!$N$17</f>
        <v>10994.81479144534</v>
      </c>
      <c r="M39" s="413">
        <f>'[13]3'!$N$23</f>
        <v>1205.900461744814</v>
      </c>
      <c r="N39" s="413">
        <f>'[13]3'!$N$131</f>
        <v>349.52259899959802</v>
      </c>
      <c r="O39" s="413">
        <f>'[13]3'!$N$82-0.02</f>
        <v>2404.5403653449948</v>
      </c>
      <c r="P39" s="413">
        <f>'[13]3'!$N$36</f>
        <v>1382.6745863091428</v>
      </c>
      <c r="Q39" s="413">
        <f>'[13]3'!$N$76+'[13]3'!$N$103+'[13]3'!$N$146+'[13]3'!$N$149</f>
        <v>64.843387248620004</v>
      </c>
      <c r="R39" s="376">
        <f t="shared" ref="R39" si="32">J39-C39-D39-E39-F39-G39-H39-I39</f>
        <v>-2.9999999990309334E-2</v>
      </c>
      <c r="S39" s="376">
        <f t="shared" ref="S39" si="33">J39-K39-L39-M39-N39-O39-P39-Q39</f>
        <v>-0.17677426150630993</v>
      </c>
      <c r="T39" s="904"/>
      <c r="U39" s="904"/>
    </row>
    <row r="40" spans="1:21" s="195" customFormat="1" ht="26.25" customHeight="1">
      <c r="A40" s="902">
        <v>2020</v>
      </c>
      <c r="B40" s="903" t="s">
        <v>408</v>
      </c>
      <c r="C40" s="412">
        <f>'[14]3'!$AA$17</f>
        <v>20219.544984401728</v>
      </c>
      <c r="D40" s="412">
        <f>'[14]3'!$AA$16-'[14]3'!$AA$17+0.03</f>
        <v>8726.658700781436</v>
      </c>
      <c r="E40" s="413">
        <f>'[14]3'!$AA$23</f>
        <v>1021.3194817936972</v>
      </c>
      <c r="F40" s="413">
        <f>'[14]3'!$AA$131</f>
        <v>1222.8818282584755</v>
      </c>
      <c r="G40" s="413">
        <f>'[14]3'!$AA$82</f>
        <v>1634.8997066570371</v>
      </c>
      <c r="H40" s="413">
        <f>'[14]3'!$AA$36</f>
        <v>1978.1119075150409</v>
      </c>
      <c r="I40" s="413">
        <f>'[14]3'!$AA$76+'[14]3'!$AA$103+'[14]3'!$AA$146+'[14]3'!$AA$149</f>
        <v>279.65367287003301</v>
      </c>
      <c r="J40" s="756">
        <f>'[14]3'!$AA$152+0.02</f>
        <v>35083.060282277445</v>
      </c>
      <c r="K40" s="412">
        <f>'[14]3'!$N$17</f>
        <v>19615.51115182845</v>
      </c>
      <c r="L40" s="412">
        <f>'[14]3'!$N$16-'[14]3'!$N$17</f>
        <v>9850.9133093751807</v>
      </c>
      <c r="M40" s="413">
        <f>'[14]3'!$N$23</f>
        <v>1235.1918979784473</v>
      </c>
      <c r="N40" s="413">
        <f>'[14]3'!$N$131</f>
        <v>390.720990065514</v>
      </c>
      <c r="O40" s="413">
        <f>'[14]3'!$N$82</f>
        <v>2420.3799958603881</v>
      </c>
      <c r="P40" s="413">
        <f>'[14]3'!$N$36</f>
        <v>1463.0049927131324</v>
      </c>
      <c r="Q40" s="413">
        <f>'[14]3'!$N$76+'[14]3'!$N$103+'[14]3'!$N$146+'[14]3'!$N$149</f>
        <v>107.35299892862</v>
      </c>
      <c r="R40" s="376">
        <f t="shared" ref="R40" si="34">J40-C40-D40-E40-F40-G40-H40-I40</f>
        <v>-1.0000000002037268E-2</v>
      </c>
      <c r="S40" s="376">
        <f t="shared" ref="S40" si="35">J40-K40-L40-M40-N40-O40-P40-Q40</f>
        <v>-1.5054472287744147E-2</v>
      </c>
      <c r="T40" s="904"/>
      <c r="U40" s="904"/>
    </row>
    <row r="41" spans="1:21" s="195" customFormat="1" ht="18" customHeight="1">
      <c r="A41" s="1083"/>
      <c r="B41" s="1084" t="s">
        <v>409</v>
      </c>
      <c r="C41" s="412">
        <f>'[15]3'!$AA$17+0.15</f>
        <v>20511.775568613692</v>
      </c>
      <c r="D41" s="412">
        <f>'[15]3'!$AA$16-'[15]3'!$AA$17</f>
        <v>8803.9272864987361</v>
      </c>
      <c r="E41" s="413">
        <f>'[15]3'!$AA$23</f>
        <v>1032.0607200324769</v>
      </c>
      <c r="F41" s="413">
        <f>'[15]3'!$AA$131</f>
        <v>1379.4169336071864</v>
      </c>
      <c r="G41" s="413">
        <f>'[15]3'!$AA$82</f>
        <v>1558.5969554407923</v>
      </c>
      <c r="H41" s="413">
        <f>'[15]3'!$AA$36</f>
        <v>1943.2448867117748</v>
      </c>
      <c r="I41" s="413">
        <f>'[15]3'!$AA$76+'[15]3'!$AA$103+'[15]3'!$AA$146+'[15]3'!$AA$149</f>
        <v>338.65943533971324</v>
      </c>
      <c r="J41" s="756">
        <f>'[15]3'!$AA$152+0.15</f>
        <v>35567.681786244371</v>
      </c>
      <c r="K41" s="412">
        <f>'[15]3'!$N$17-0.02</f>
        <v>19301.242216067305</v>
      </c>
      <c r="L41" s="412">
        <f>'[15]3'!$N$16-'[15]3'!$N$17</f>
        <v>9821.3037310559957</v>
      </c>
      <c r="M41" s="413">
        <f>'[15]3'!$N$23-0.02</f>
        <v>1305.4432388357579</v>
      </c>
      <c r="N41" s="413">
        <f>'[15]3'!$N$131-0.02</f>
        <v>492.53774525060066</v>
      </c>
      <c r="O41" s="413">
        <f>'[15]3'!$N$82</f>
        <v>2573.2682198710845</v>
      </c>
      <c r="P41" s="413">
        <f>'[15]3'!$N$36</f>
        <v>1904.711319024027</v>
      </c>
      <c r="Q41" s="413">
        <f>'[15]3'!$N$76+'[15]3'!$N$103+'[15]3'!$N$146+'[15]3'!$N$149-0.01</f>
        <v>169.34168215662004</v>
      </c>
      <c r="R41" s="376">
        <f t="shared" ref="R41" si="36">J41-C41-D41-E41-F41-G41-H41-I41</f>
        <v>5.6843418860808015E-13</v>
      </c>
      <c r="S41" s="376">
        <f t="shared" ref="S41" si="37">J41-K41-L41-M41-N41-O41-P41-Q41</f>
        <v>-0.16636601702003873</v>
      </c>
      <c r="T41" s="904"/>
      <c r="U41" s="904"/>
    </row>
    <row r="42" spans="1:21" s="195" customFormat="1" ht="18" customHeight="1">
      <c r="A42" s="1083"/>
      <c r="B42" s="1084" t="s">
        <v>398</v>
      </c>
      <c r="C42" s="412">
        <f>'[16]3'!$AA$17</f>
        <v>20685.61091145056</v>
      </c>
      <c r="D42" s="412">
        <f>'[16]3'!$AA$16-'[16]3'!$AA$17</f>
        <v>8793.2566827116934</v>
      </c>
      <c r="E42" s="413">
        <f>'[16]3'!$AA$23</f>
        <v>936.3636080602372</v>
      </c>
      <c r="F42" s="413">
        <f>'[16]3'!$AA$131</f>
        <v>1375.3987263494121</v>
      </c>
      <c r="G42" s="413">
        <f>'[16]3'!$AA$82</f>
        <v>1774.4210087512199</v>
      </c>
      <c r="H42" s="413">
        <f>'[16]3'!$AA$36</f>
        <v>1854.879546681208</v>
      </c>
      <c r="I42" s="413">
        <f>'[16]3'!$AA$76+'[16]3'!$AA$103+'[16]3'!$AA$146+'[16]3'!$AA$149</f>
        <v>332.2524603372641</v>
      </c>
      <c r="J42" s="756">
        <f>'[16]3'!$AA$152+0.1</f>
        <v>35752.28294434159</v>
      </c>
      <c r="K42" s="412">
        <f>'[16]3'!$N$17-0.1</f>
        <v>19117.532842013734</v>
      </c>
      <c r="L42" s="412">
        <f>'[16]3'!$N$16-'[16]3'!$N$17</f>
        <v>10225.781915870404</v>
      </c>
      <c r="M42" s="413">
        <f>'[16]3'!$N$23-0.02</f>
        <v>1194.7364896439803</v>
      </c>
      <c r="N42" s="413">
        <f>'[16]3'!$N$131</f>
        <v>493.00478700778405</v>
      </c>
      <c r="O42" s="413">
        <f>'[16]3'!$N$82</f>
        <v>2769.1078898677551</v>
      </c>
      <c r="P42" s="413">
        <f>'[16]3'!$N$36</f>
        <v>1769.0086200791466</v>
      </c>
      <c r="Q42" s="413">
        <f>'[16]3'!$N$76+'[16]3'!$N$103+'[16]3'!$N$146+'[16]3'!$N$149</f>
        <v>183.21446197661999</v>
      </c>
      <c r="R42" s="376">
        <f t="shared" ref="R42" si="38">J42-C42-D42-E42-F42-G42-H42-I42</f>
        <v>9.9999999995702638E-2</v>
      </c>
      <c r="S42" s="376">
        <f t="shared" ref="S42" si="39">J42-K42-L42-M42-N42-O42-P42-Q42</f>
        <v>-0.10406211783401886</v>
      </c>
      <c r="T42" s="904"/>
      <c r="U42" s="904"/>
    </row>
    <row r="43" spans="1:21" s="195" customFormat="1" ht="18" customHeight="1">
      <c r="A43" s="1083"/>
      <c r="B43" s="1084" t="s">
        <v>399</v>
      </c>
      <c r="C43" s="412">
        <f>'[17]3'!$AA$17</f>
        <v>20610.154261098396</v>
      </c>
      <c r="D43" s="412">
        <f>'[17]3'!$AA$16-'[17]3'!$AA$17</f>
        <v>8731.9133923114059</v>
      </c>
      <c r="E43" s="413">
        <f>'[17]3'!$AA$23</f>
        <v>885.50646801476114</v>
      </c>
      <c r="F43" s="413">
        <f>'[17]3'!$AA$131</f>
        <v>1574.4015991686606</v>
      </c>
      <c r="G43" s="413">
        <f>'[17]3'!$AA$82+0.02</f>
        <v>1728.5630603959942</v>
      </c>
      <c r="H43" s="413">
        <f>'[17]3'!$AA$36</f>
        <v>2100.7052678336886</v>
      </c>
      <c r="I43" s="413">
        <f>'[17]3'!$AA$76+'[17]3'!$AA$103+'[17]3'!$AA$146+'[17]3'!$AA$149+0.01</f>
        <v>306.9565253858367</v>
      </c>
      <c r="J43" s="756">
        <f>'[17]3'!$AA$152+0.1</f>
        <v>35938.270574208742</v>
      </c>
      <c r="K43" s="412">
        <f>'[17]3'!$N$17-0.1</f>
        <v>19094.799795785984</v>
      </c>
      <c r="L43" s="412">
        <f>'[17]3'!$N$16-'[17]3'!$N$17</f>
        <v>10353.513872161831</v>
      </c>
      <c r="M43" s="413">
        <f>'[17]3'!$N$23</f>
        <v>1193.398033643758</v>
      </c>
      <c r="N43" s="413">
        <f>'[17]3'!$N$131</f>
        <v>647.09721929925968</v>
      </c>
      <c r="O43" s="413">
        <f>'[17]3'!$N$82</f>
        <v>2711.0719859964506</v>
      </c>
      <c r="P43" s="413">
        <f>'[17]3'!$N$36</f>
        <v>1721.3705571024072</v>
      </c>
      <c r="Q43" s="413">
        <f>'[17]3'!$N$76+'[17]3'!$N$103+'[17]3'!$N$146+'[17]3'!$N$149</f>
        <v>217.01909726462</v>
      </c>
      <c r="R43" s="376">
        <f t="shared" ref="R43" si="40">J43-C43-D43-E43-F43-G43-H43-I43</f>
        <v>6.9999999998458406E-2</v>
      </c>
      <c r="S43" s="376">
        <f t="shared" ref="S43" si="41">J43-K43-L43-M43-N43-O43-P43-Q43</f>
        <v>1.295443084359249E-5</v>
      </c>
      <c r="T43" s="904"/>
      <c r="U43" s="904"/>
    </row>
    <row r="44" spans="1:21" ht="19.5" customHeight="1">
      <c r="A44" s="273" t="s">
        <v>928</v>
      </c>
      <c r="B44" s="405"/>
      <c r="C44" s="405"/>
      <c r="D44" s="405"/>
      <c r="E44" s="405"/>
      <c r="F44" s="405"/>
      <c r="G44" s="405"/>
      <c r="H44" s="405"/>
      <c r="I44" s="405"/>
      <c r="J44" s="405"/>
      <c r="K44" s="405"/>
      <c r="L44" s="405"/>
      <c r="M44" s="405"/>
      <c r="N44" s="405"/>
      <c r="O44" s="405"/>
      <c r="P44" s="405"/>
      <c r="Q44" s="272" t="s">
        <v>929</v>
      </c>
    </row>
    <row r="45" spans="1:21" s="407" customFormat="1" ht="15.95" customHeight="1">
      <c r="A45" s="381" t="s">
        <v>930</v>
      </c>
      <c r="Q45" s="390" t="s">
        <v>931</v>
      </c>
    </row>
    <row r="46" spans="1:21" s="195" customFormat="1" ht="15">
      <c r="A46" s="381" t="s">
        <v>932</v>
      </c>
      <c r="B46" s="381"/>
      <c r="C46" s="381"/>
      <c r="D46" s="381"/>
      <c r="E46" s="381"/>
      <c r="F46" s="381"/>
      <c r="G46" s="381"/>
      <c r="H46" s="381"/>
      <c r="I46" s="381"/>
      <c r="J46" s="296"/>
      <c r="K46" s="296"/>
      <c r="L46" s="296"/>
      <c r="M46" s="296"/>
      <c r="N46" s="296"/>
      <c r="O46" s="296"/>
      <c r="P46" s="296"/>
      <c r="Q46" s="740" t="s">
        <v>933</v>
      </c>
    </row>
    <row r="47" spans="1:21" ht="15">
      <c r="A47" s="296" t="s">
        <v>934</v>
      </c>
      <c r="B47" s="1169"/>
      <c r="C47" s="1169"/>
      <c r="D47" s="1169"/>
      <c r="E47" s="1169"/>
      <c r="F47" s="1169"/>
      <c r="G47" s="1169"/>
      <c r="H47" s="1169"/>
      <c r="I47" s="1169"/>
      <c r="J47" s="1169"/>
      <c r="K47" s="1169"/>
      <c r="L47" s="1169"/>
      <c r="M47" s="1169"/>
      <c r="N47" s="1169"/>
      <c r="O47" s="1169"/>
      <c r="P47" s="1169"/>
      <c r="Q47" s="1169"/>
    </row>
    <row r="48" spans="1:21">
      <c r="C48" s="1496"/>
      <c r="D48" s="1496"/>
      <c r="E48" s="1496"/>
      <c r="F48" s="1496"/>
      <c r="G48" s="1496"/>
      <c r="H48" s="1496"/>
      <c r="I48" s="1496"/>
      <c r="J48" s="1496"/>
      <c r="K48" s="1496"/>
      <c r="L48" s="1496"/>
      <c r="M48" s="1496"/>
      <c r="N48" s="1496"/>
      <c r="O48" s="1496"/>
      <c r="P48" s="1496"/>
      <c r="Q48" s="1496"/>
    </row>
    <row r="49" spans="3:17">
      <c r="C49" s="1496"/>
      <c r="D49" s="1496"/>
      <c r="E49" s="1496"/>
      <c r="F49" s="1496"/>
      <c r="G49" s="1496"/>
      <c r="H49" s="1496"/>
      <c r="I49" s="1496"/>
      <c r="J49" s="1496"/>
      <c r="K49" s="1496"/>
      <c r="L49" s="1496"/>
      <c r="M49" s="1496"/>
      <c r="N49" s="1496"/>
      <c r="O49" s="1496"/>
      <c r="P49" s="1496"/>
      <c r="Q49" s="1496"/>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A1:AF48"/>
  <sheetViews>
    <sheetView zoomScale="80" zoomScaleNormal="80" workbookViewId="0">
      <pane ySplit="12" topLeftCell="A35"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1" style="406" customWidth="1"/>
    <col min="4" max="4" width="12.85546875" style="406" customWidth="1"/>
    <col min="5" max="5" width="12.7109375" style="406" customWidth="1"/>
    <col min="6" max="6" width="10.28515625" style="406" customWidth="1"/>
    <col min="7" max="7" width="11.85546875" style="406" customWidth="1"/>
    <col min="8" max="8" width="11.7109375" style="406" customWidth="1"/>
    <col min="9" max="9" width="10.28515625" style="406" customWidth="1"/>
    <col min="10" max="10" width="12.7109375" style="406" customWidth="1"/>
    <col min="11" max="11" width="12" style="406" customWidth="1"/>
    <col min="12" max="12" width="12.85546875" style="406" customWidth="1"/>
    <col min="13" max="13" width="11.7109375" style="406" customWidth="1"/>
    <col min="14" max="14" width="10.28515625" style="406" customWidth="1"/>
    <col min="15" max="16" width="11.7109375" style="406" customWidth="1"/>
    <col min="17" max="17" width="10.7109375" style="406" customWidth="1"/>
    <col min="18" max="16384" width="9.140625" style="406"/>
  </cols>
  <sheetData>
    <row r="1" spans="1:19" ht="18">
      <c r="A1" s="297" t="s">
        <v>1616</v>
      </c>
      <c r="B1" s="1455"/>
      <c r="C1" s="1455"/>
      <c r="D1" s="1455"/>
      <c r="E1" s="1455"/>
      <c r="F1" s="1455"/>
      <c r="G1" s="1455"/>
      <c r="H1" s="1455"/>
      <c r="I1" s="1455"/>
      <c r="J1" s="1455"/>
      <c r="K1" s="1455"/>
      <c r="L1" s="1455"/>
      <c r="M1" s="1455"/>
      <c r="N1" s="1455"/>
      <c r="O1" s="1455"/>
      <c r="P1" s="1455"/>
      <c r="Q1" s="1455"/>
    </row>
    <row r="2" spans="1:19" ht="18">
      <c r="A2" s="1423" t="s">
        <v>935</v>
      </c>
      <c r="B2" s="1455"/>
      <c r="C2" s="1455"/>
      <c r="D2" s="1455"/>
      <c r="E2" s="1455"/>
      <c r="F2" s="1455"/>
      <c r="G2" s="1455"/>
      <c r="H2" s="1455"/>
      <c r="I2" s="1455"/>
      <c r="J2" s="1455"/>
      <c r="K2" s="1455"/>
      <c r="L2" s="1455"/>
      <c r="M2" s="1455"/>
      <c r="N2" s="1455"/>
      <c r="O2" s="1455"/>
      <c r="P2" s="1455"/>
      <c r="Q2" s="1455"/>
    </row>
    <row r="3" spans="1:19" ht="18">
      <c r="A3" s="1456" t="s">
        <v>936</v>
      </c>
      <c r="B3" s="1455"/>
      <c r="C3" s="1455"/>
      <c r="D3" s="1455"/>
      <c r="E3" s="1455"/>
      <c r="F3" s="1455"/>
      <c r="G3" s="1455"/>
      <c r="H3" s="1455"/>
      <c r="I3" s="1455"/>
      <c r="J3" s="1455"/>
      <c r="K3" s="1455"/>
      <c r="L3" s="1455"/>
      <c r="M3" s="1455"/>
      <c r="N3" s="1455"/>
      <c r="O3" s="1455"/>
      <c r="P3" s="1455"/>
      <c r="Q3" s="1455"/>
    </row>
    <row r="4" spans="1:19" s="343" customFormat="1" ht="14.25">
      <c r="A4" s="382" t="s">
        <v>354</v>
      </c>
      <c r="B4" s="383"/>
      <c r="C4" s="384"/>
      <c r="D4" s="384"/>
      <c r="E4" s="384"/>
      <c r="F4" s="384"/>
      <c r="G4" s="384"/>
      <c r="H4" s="384"/>
      <c r="I4" s="384"/>
      <c r="J4" s="384"/>
      <c r="K4" s="384"/>
      <c r="L4" s="384"/>
      <c r="Q4" s="385" t="s">
        <v>355</v>
      </c>
    </row>
    <row r="5" spans="1:19" s="343" customFormat="1" ht="14.25" hidden="1">
      <c r="A5" s="382"/>
      <c r="B5" s="383"/>
      <c r="C5" s="384"/>
      <c r="D5" s="384"/>
      <c r="E5" s="384"/>
      <c r="F5" s="384"/>
      <c r="G5" s="384"/>
      <c r="H5" s="384"/>
      <c r="I5" s="384"/>
      <c r="J5" s="384"/>
      <c r="K5" s="384"/>
      <c r="L5" s="384"/>
      <c r="Q5" s="385"/>
    </row>
    <row r="6" spans="1:19" s="343" customFormat="1" ht="14.25" hidden="1">
      <c r="A6" s="382"/>
      <c r="B6" s="383"/>
      <c r="C6" s="384"/>
      <c r="D6" s="384"/>
      <c r="E6" s="384"/>
      <c r="F6" s="384"/>
      <c r="G6" s="384"/>
      <c r="H6" s="384"/>
      <c r="I6" s="384"/>
      <c r="J6" s="384"/>
      <c r="K6" s="384"/>
      <c r="L6" s="384"/>
      <c r="Q6" s="385"/>
    </row>
    <row r="7" spans="1:19" s="343" customFormat="1" ht="14.25" hidden="1">
      <c r="A7" s="382"/>
      <c r="B7" s="383"/>
      <c r="C7" s="384"/>
      <c r="D7" s="384"/>
      <c r="E7" s="384"/>
      <c r="F7" s="384"/>
      <c r="G7" s="384"/>
      <c r="H7" s="384"/>
      <c r="I7" s="384"/>
      <c r="J7" s="384"/>
      <c r="K7" s="384"/>
      <c r="L7" s="384"/>
      <c r="Q7" s="385"/>
    </row>
    <row r="8" spans="1:19" s="172" customFormat="1" ht="23.85" customHeight="1">
      <c r="A8" s="183"/>
      <c r="B8" s="170"/>
      <c r="C8" s="386" t="s">
        <v>356</v>
      </c>
      <c r="D8" s="188"/>
      <c r="E8" s="171"/>
      <c r="F8" s="171"/>
      <c r="G8" s="171"/>
      <c r="H8" s="171"/>
      <c r="I8" s="391" t="s">
        <v>357</v>
      </c>
      <c r="J8" s="392"/>
      <c r="K8" s="393" t="s">
        <v>358</v>
      </c>
      <c r="L8" s="188"/>
      <c r="M8" s="171"/>
      <c r="N8" s="171"/>
      <c r="O8" s="171"/>
      <c r="P8" s="171"/>
      <c r="Q8" s="394" t="s">
        <v>359</v>
      </c>
    </row>
    <row r="9" spans="1:19" s="192" customFormat="1" ht="18" customHeight="1">
      <c r="A9" s="189"/>
      <c r="B9" s="190"/>
      <c r="C9" s="197" t="s">
        <v>937</v>
      </c>
      <c r="D9" s="191" t="s">
        <v>938</v>
      </c>
      <c r="E9" s="191" t="s">
        <v>939</v>
      </c>
      <c r="F9" s="173" t="s">
        <v>940</v>
      </c>
      <c r="G9" s="173"/>
      <c r="H9" s="191" t="s">
        <v>941</v>
      </c>
      <c r="I9" s="191"/>
      <c r="J9" s="210"/>
      <c r="K9" s="197" t="s">
        <v>937</v>
      </c>
      <c r="L9" s="191" t="s">
        <v>938</v>
      </c>
      <c r="M9" s="191" t="s">
        <v>939</v>
      </c>
      <c r="N9" s="173" t="s">
        <v>940</v>
      </c>
      <c r="O9" s="173"/>
      <c r="P9" s="191" t="s">
        <v>941</v>
      </c>
      <c r="Q9" s="191"/>
    </row>
    <row r="10" spans="1:19" s="192" customFormat="1" ht="18" customHeight="1">
      <c r="A10" s="174" t="s">
        <v>364</v>
      </c>
      <c r="B10" s="177"/>
      <c r="C10" s="197" t="s">
        <v>942</v>
      </c>
      <c r="D10" s="191" t="s">
        <v>943</v>
      </c>
      <c r="E10" s="191" t="s">
        <v>944</v>
      </c>
      <c r="F10" s="173" t="s">
        <v>945</v>
      </c>
      <c r="G10" s="173" t="s">
        <v>335</v>
      </c>
      <c r="H10" s="191" t="s">
        <v>946</v>
      </c>
      <c r="I10" s="191" t="s">
        <v>377</v>
      </c>
      <c r="J10" s="209" t="s">
        <v>367</v>
      </c>
      <c r="K10" s="197" t="s">
        <v>942</v>
      </c>
      <c r="L10" s="191" t="s">
        <v>943</v>
      </c>
      <c r="M10" s="191" t="s">
        <v>944</v>
      </c>
      <c r="N10" s="173" t="s">
        <v>945</v>
      </c>
      <c r="O10" s="173" t="s">
        <v>335</v>
      </c>
      <c r="P10" s="191" t="s">
        <v>946</v>
      </c>
      <c r="Q10" s="191" t="s">
        <v>377</v>
      </c>
    </row>
    <row r="11" spans="1:19" s="176" customFormat="1" ht="18" customHeight="1">
      <c r="A11" s="193" t="s">
        <v>372</v>
      </c>
      <c r="B11" s="177"/>
      <c r="C11" s="207" t="s">
        <v>947</v>
      </c>
      <c r="D11" s="178" t="s">
        <v>948</v>
      </c>
      <c r="E11" s="178" t="s">
        <v>949</v>
      </c>
      <c r="F11" s="178" t="s">
        <v>950</v>
      </c>
      <c r="G11" s="178" t="s">
        <v>524</v>
      </c>
      <c r="H11" s="178" t="s">
        <v>951</v>
      </c>
      <c r="I11" s="180" t="s">
        <v>385</v>
      </c>
      <c r="J11" s="211" t="s">
        <v>378</v>
      </c>
      <c r="K11" s="207" t="s">
        <v>947</v>
      </c>
      <c r="L11" s="178" t="s">
        <v>948</v>
      </c>
      <c r="M11" s="178" t="s">
        <v>949</v>
      </c>
      <c r="N11" s="178" t="s">
        <v>950</v>
      </c>
      <c r="O11" s="178" t="s">
        <v>524</v>
      </c>
      <c r="P11" s="178" t="s">
        <v>951</v>
      </c>
      <c r="Q11" s="180" t="s">
        <v>385</v>
      </c>
    </row>
    <row r="12" spans="1:19" s="176" customFormat="1" ht="18" customHeight="1">
      <c r="A12" s="194"/>
      <c r="B12" s="182"/>
      <c r="C12" s="208" t="s">
        <v>952</v>
      </c>
      <c r="D12" s="214" t="s">
        <v>953</v>
      </c>
      <c r="E12" s="214" t="s">
        <v>954</v>
      </c>
      <c r="F12" s="214" t="s">
        <v>955</v>
      </c>
      <c r="G12" s="214"/>
      <c r="H12" s="214" t="s">
        <v>956</v>
      </c>
      <c r="I12" s="215"/>
      <c r="J12" s="212"/>
      <c r="K12" s="208" t="s">
        <v>952</v>
      </c>
      <c r="L12" s="214" t="s">
        <v>953</v>
      </c>
      <c r="M12" s="214" t="s">
        <v>954</v>
      </c>
      <c r="N12" s="214" t="s">
        <v>955</v>
      </c>
      <c r="O12" s="214"/>
      <c r="P12" s="214" t="s">
        <v>956</v>
      </c>
      <c r="Q12" s="214"/>
    </row>
    <row r="13" spans="1:19" s="195" customFormat="1" ht="27" customHeight="1">
      <c r="A13" s="902">
        <v>2010</v>
      </c>
      <c r="B13" s="903"/>
      <c r="C13" s="412">
        <v>9452.1052109499014</v>
      </c>
      <c r="D13" s="412">
        <v>1879.0448285213824</v>
      </c>
      <c r="E13" s="413">
        <v>11109.96326259124</v>
      </c>
      <c r="F13" s="413">
        <v>350.88717617077651</v>
      </c>
      <c r="G13" s="413">
        <v>987.32214484664109</v>
      </c>
      <c r="H13" s="413">
        <v>197.39667671928714</v>
      </c>
      <c r="I13" s="413">
        <v>633.64469289668546</v>
      </c>
      <c r="J13" s="756">
        <v>24610.312714695912</v>
      </c>
      <c r="K13" s="412">
        <v>10647.818793725635</v>
      </c>
      <c r="L13" s="412">
        <v>1633.9335548431027</v>
      </c>
      <c r="M13" s="413">
        <v>10324.713344920781</v>
      </c>
      <c r="N13" s="413">
        <v>309.51172247529024</v>
      </c>
      <c r="O13" s="413">
        <v>993.97538963931004</v>
      </c>
      <c r="P13" s="413">
        <v>285.00100555224986</v>
      </c>
      <c r="Q13" s="413">
        <v>415.35367368782386</v>
      </c>
      <c r="R13" s="376">
        <f>J13-C13-D13-E13-F13-G13-H13-I13</f>
        <v>-5.1278000001730106E-2</v>
      </c>
      <c r="S13" s="376">
        <f>J13-K13-L13-M13-N13-O13-P13-Q13</f>
        <v>5.2298517189797167E-3</v>
      </c>
    </row>
    <row r="14" spans="1:19" s="970" customFormat="1" ht="18" customHeight="1">
      <c r="A14" s="902">
        <v>2011</v>
      </c>
      <c r="B14" s="903"/>
      <c r="C14" s="412">
        <v>10665.878917822574</v>
      </c>
      <c r="D14" s="412">
        <v>1455.6365663102988</v>
      </c>
      <c r="E14" s="413">
        <v>11118.112133192692</v>
      </c>
      <c r="F14" s="413">
        <v>320.27409465850519</v>
      </c>
      <c r="G14" s="413">
        <v>989.09950747412267</v>
      </c>
      <c r="H14" s="413">
        <v>151.02114868717712</v>
      </c>
      <c r="I14" s="413">
        <v>635.17692811533584</v>
      </c>
      <c r="J14" s="756">
        <v>25335.159296260706</v>
      </c>
      <c r="K14" s="412">
        <v>11733.163370536062</v>
      </c>
      <c r="L14" s="412">
        <v>1306.2369614396198</v>
      </c>
      <c r="M14" s="413">
        <v>10614.967420718971</v>
      </c>
      <c r="N14" s="413">
        <v>230.59358075020486</v>
      </c>
      <c r="O14" s="413">
        <v>1015.828485936648</v>
      </c>
      <c r="P14" s="413">
        <v>282.61363496948667</v>
      </c>
      <c r="Q14" s="413">
        <v>151.82202506338234</v>
      </c>
      <c r="R14" s="376">
        <v>-3.9999999999054126E-2</v>
      </c>
      <c r="S14" s="376">
        <v>-6.618315366756633E-2</v>
      </c>
    </row>
    <row r="15" spans="1:19" s="970" customFormat="1" ht="18" customHeight="1">
      <c r="A15" s="902">
        <v>2012</v>
      </c>
      <c r="B15" s="903"/>
      <c r="C15" s="412">
        <v>11497.061765764967</v>
      </c>
      <c r="D15" s="412">
        <v>1720.9747655256742</v>
      </c>
      <c r="E15" s="413">
        <v>11643.081190076282</v>
      </c>
      <c r="F15" s="413">
        <v>465.45235168602716</v>
      </c>
      <c r="G15" s="413">
        <v>836.00695345799943</v>
      </c>
      <c r="H15" s="413">
        <v>81.615652189747408</v>
      </c>
      <c r="I15" s="413">
        <v>719.30670141772043</v>
      </c>
      <c r="J15" s="756">
        <v>26963.599380118416</v>
      </c>
      <c r="K15" s="412">
        <v>12536.521116148402</v>
      </c>
      <c r="L15" s="412">
        <v>1671.3332805967962</v>
      </c>
      <c r="M15" s="413">
        <v>11104.989779984404</v>
      </c>
      <c r="N15" s="413">
        <v>291.55577474167603</v>
      </c>
      <c r="O15" s="413">
        <v>1075.4389753930618</v>
      </c>
      <c r="P15" s="413">
        <v>63.502484236540006</v>
      </c>
      <c r="Q15" s="413">
        <v>220.29179645941952</v>
      </c>
      <c r="R15" s="376">
        <v>9.9999999997976374E-2</v>
      </c>
      <c r="S15" s="376">
        <v>-3.3827441884113796E-2</v>
      </c>
    </row>
    <row r="16" spans="1:19" s="970" customFormat="1" ht="18" customHeight="1">
      <c r="A16" s="902">
        <v>2013</v>
      </c>
      <c r="B16" s="903"/>
      <c r="C16" s="412">
        <v>11742.81358828512</v>
      </c>
      <c r="D16" s="412">
        <v>1476.074472191</v>
      </c>
      <c r="E16" s="413">
        <v>12869.502487241369</v>
      </c>
      <c r="F16" s="413">
        <v>432.76816847399994</v>
      </c>
      <c r="G16" s="413">
        <v>1004.9280304860001</v>
      </c>
      <c r="H16" s="413">
        <v>101.66475980400001</v>
      </c>
      <c r="I16" s="413">
        <v>690.13575938600002</v>
      </c>
      <c r="J16" s="756">
        <v>28317.886265867488</v>
      </c>
      <c r="K16" s="412">
        <v>12657.261017294091</v>
      </c>
      <c r="L16" s="412">
        <v>1329.5615563310002</v>
      </c>
      <c r="M16" s="413">
        <v>12835.377871277346</v>
      </c>
      <c r="N16" s="413">
        <v>227.94496693500002</v>
      </c>
      <c r="O16" s="413">
        <v>1056.4700895229998</v>
      </c>
      <c r="P16" s="413">
        <v>60.007607614000008</v>
      </c>
      <c r="Q16" s="413">
        <v>151.19202682900004</v>
      </c>
      <c r="R16" s="376">
        <v>-1.000000000772161E-3</v>
      </c>
      <c r="S16" s="376">
        <v>7.1130064050862529E-2</v>
      </c>
    </row>
    <row r="17" spans="1:32" s="970" customFormat="1" ht="18" customHeight="1">
      <c r="A17" s="902">
        <v>2014</v>
      </c>
      <c r="B17" s="903"/>
      <c r="C17" s="412">
        <v>12779.687892854281</v>
      </c>
      <c r="D17" s="412">
        <v>2227.915568953586</v>
      </c>
      <c r="E17" s="413">
        <v>13244.22159053195</v>
      </c>
      <c r="F17" s="413">
        <v>388.26886628141511</v>
      </c>
      <c r="G17" s="413">
        <v>694.52459077196352</v>
      </c>
      <c r="H17" s="413">
        <v>80.317967517</v>
      </c>
      <c r="I17" s="413">
        <v>668.33593331978307</v>
      </c>
      <c r="J17" s="756">
        <v>30083.222410229981</v>
      </c>
      <c r="K17" s="412">
        <v>13340.58967423144</v>
      </c>
      <c r="L17" s="412">
        <v>1955.633437857</v>
      </c>
      <c r="M17" s="413">
        <v>13513.675112256988</v>
      </c>
      <c r="N17" s="413">
        <v>221.11983762440798</v>
      </c>
      <c r="O17" s="413">
        <v>692.17996797114404</v>
      </c>
      <c r="P17" s="413">
        <v>77.473029791999991</v>
      </c>
      <c r="Q17" s="413">
        <v>282.5327867247405</v>
      </c>
      <c r="R17" s="376">
        <v>-4.9999999995748112E-2</v>
      </c>
      <c r="S17" s="376">
        <v>1.8563772261643408E-2</v>
      </c>
    </row>
    <row r="18" spans="1:32" s="970" customFormat="1" ht="18" customHeight="1">
      <c r="A18" s="902">
        <v>2015</v>
      </c>
      <c r="B18" s="903"/>
      <c r="C18" s="412">
        <v>13140.959805222123</v>
      </c>
      <c r="D18" s="412">
        <v>1778.0884863967951</v>
      </c>
      <c r="E18" s="413">
        <v>14018.914251182803</v>
      </c>
      <c r="F18" s="413">
        <v>545.58611901179597</v>
      </c>
      <c r="G18" s="413">
        <v>726.8087996383257</v>
      </c>
      <c r="H18" s="413">
        <v>136.78741615228799</v>
      </c>
      <c r="I18" s="413">
        <v>555.10937312685746</v>
      </c>
      <c r="J18" s="756">
        <v>30902.294250730982</v>
      </c>
      <c r="K18" s="412">
        <v>13512.211338925074</v>
      </c>
      <c r="L18" s="412">
        <v>1720.1082497213999</v>
      </c>
      <c r="M18" s="413">
        <v>14124.428150247761</v>
      </c>
      <c r="N18" s="413">
        <v>342.70881624300006</v>
      </c>
      <c r="O18" s="413">
        <v>831.86692590935434</v>
      </c>
      <c r="P18" s="413">
        <v>123.83082648499999</v>
      </c>
      <c r="Q18" s="413">
        <v>247.19797442699993</v>
      </c>
      <c r="R18" s="376">
        <v>3.9999999993938218E-2</v>
      </c>
      <c r="S18" s="376">
        <v>-5.8031227605937374E-2</v>
      </c>
    </row>
    <row r="19" spans="1:32" s="970" customFormat="1" ht="18" customHeight="1">
      <c r="A19" s="902">
        <v>2016</v>
      </c>
      <c r="B19" s="903"/>
      <c r="C19" s="412">
        <v>13847.684482513308</v>
      </c>
      <c r="D19" s="412">
        <v>2582.1412415265781</v>
      </c>
      <c r="E19" s="413">
        <v>13061.54417763273</v>
      </c>
      <c r="F19" s="413">
        <v>608.83682272617261</v>
      </c>
      <c r="G19" s="413">
        <v>588.03695792123949</v>
      </c>
      <c r="H19" s="413">
        <v>29.177962049455999</v>
      </c>
      <c r="I19" s="413">
        <v>496.23113126245738</v>
      </c>
      <c r="J19" s="756">
        <v>31213.502775631947</v>
      </c>
      <c r="K19" s="412">
        <v>13725.336360418993</v>
      </c>
      <c r="L19" s="412">
        <v>2064.1325829993898</v>
      </c>
      <c r="M19" s="413">
        <v>14217.390170649742</v>
      </c>
      <c r="N19" s="413">
        <v>368.40274915953626</v>
      </c>
      <c r="O19" s="413">
        <v>553.22357673132444</v>
      </c>
      <c r="P19" s="413">
        <v>29.597446556999998</v>
      </c>
      <c r="Q19" s="413">
        <v>255.49861127791962</v>
      </c>
      <c r="R19" s="376">
        <v>-0.14999999999548663</v>
      </c>
      <c r="S19" s="376">
        <v>-7.8722161959035475E-2</v>
      </c>
    </row>
    <row r="20" spans="1:32" s="970" customFormat="1" ht="18" customHeight="1">
      <c r="A20" s="902">
        <v>2017</v>
      </c>
      <c r="B20" s="903"/>
      <c r="C20" s="412">
        <v>13940.199743638404</v>
      </c>
      <c r="D20" s="412">
        <v>2907.4556547999391</v>
      </c>
      <c r="E20" s="413">
        <v>12788.375321419533</v>
      </c>
      <c r="F20" s="413">
        <v>552.43831574225521</v>
      </c>
      <c r="G20" s="413">
        <v>849.32577454291572</v>
      </c>
      <c r="H20" s="413">
        <v>27.06092474791868</v>
      </c>
      <c r="I20" s="413">
        <v>324.11342342409949</v>
      </c>
      <c r="J20" s="756">
        <v>31388.969158315067</v>
      </c>
      <c r="K20" s="412">
        <v>13742.671844237166</v>
      </c>
      <c r="L20" s="412">
        <v>2376.7097933799</v>
      </c>
      <c r="M20" s="413">
        <v>14405.79139482376</v>
      </c>
      <c r="N20" s="413">
        <v>243.89176757688313</v>
      </c>
      <c r="O20" s="413">
        <v>486.36958160157178</v>
      </c>
      <c r="P20" s="413">
        <v>24.339166876000004</v>
      </c>
      <c r="Q20" s="413">
        <v>109.19816719599996</v>
      </c>
      <c r="R20" s="376">
        <v>2.0463630789890885E-12</v>
      </c>
      <c r="S20" s="376">
        <v>-2.5573762150656876E-3</v>
      </c>
    </row>
    <row r="21" spans="1:32" s="1460" customFormat="1" ht="18" customHeight="1">
      <c r="A21" s="902">
        <v>2018</v>
      </c>
      <c r="B21" s="903"/>
      <c r="C21" s="412">
        <f t="shared" ref="C21:Q21" si="0">C25</f>
        <v>14462.797287870835</v>
      </c>
      <c r="D21" s="412">
        <f t="shared" si="0"/>
        <v>2586.6432679346249</v>
      </c>
      <c r="E21" s="412">
        <f t="shared" si="0"/>
        <v>13769.88138537962</v>
      </c>
      <c r="F21" s="412">
        <f t="shared" si="0"/>
        <v>571.28541417253462</v>
      </c>
      <c r="G21" s="412">
        <f t="shared" si="0"/>
        <v>815.73195869102346</v>
      </c>
      <c r="H21" s="412">
        <f t="shared" si="0"/>
        <v>15.388048864315319</v>
      </c>
      <c r="I21" s="412">
        <f t="shared" si="0"/>
        <v>347.30963501831781</v>
      </c>
      <c r="J21" s="756">
        <f t="shared" si="0"/>
        <v>32569.016388166277</v>
      </c>
      <c r="K21" s="773">
        <f t="shared" si="0"/>
        <v>13951.974525542304</v>
      </c>
      <c r="L21" s="412">
        <f t="shared" si="0"/>
        <v>2532.602719672233</v>
      </c>
      <c r="M21" s="412">
        <f t="shared" si="0"/>
        <v>14701.103629624118</v>
      </c>
      <c r="N21" s="412">
        <f t="shared" si="0"/>
        <v>347.74045659573926</v>
      </c>
      <c r="O21" s="412">
        <f t="shared" si="0"/>
        <v>886.48241709768354</v>
      </c>
      <c r="P21" s="412">
        <f t="shared" si="0"/>
        <v>13.485524372999999</v>
      </c>
      <c r="Q21" s="413">
        <f t="shared" si="0"/>
        <v>135.56336443500007</v>
      </c>
      <c r="R21" s="1461">
        <f>J21-C21-D21-E21-F21-G21-H21-I21</f>
        <v>-2.0609764994333091E-2</v>
      </c>
      <c r="S21" s="376">
        <f>J21-K21-L21-M21-N21-O21-P21-Q21</f>
        <v>6.3750826198941013E-2</v>
      </c>
    </row>
    <row r="22" spans="1:32" s="1460" customFormat="1" ht="18" customHeight="1">
      <c r="A22" s="1462">
        <v>2019</v>
      </c>
      <c r="B22" s="1463"/>
      <c r="C22" s="1464">
        <f t="shared" ref="C22:Q22" si="1">C29</f>
        <v>15324.558939506498</v>
      </c>
      <c r="D22" s="1464">
        <f t="shared" si="1"/>
        <v>2658.0382645028026</v>
      </c>
      <c r="E22" s="1464">
        <f t="shared" si="1"/>
        <v>15520.493560314675</v>
      </c>
      <c r="F22" s="1464">
        <f t="shared" si="1"/>
        <v>546.41696574771413</v>
      </c>
      <c r="G22" s="1464">
        <f t="shared" si="1"/>
        <v>907.92306462330896</v>
      </c>
      <c r="H22" s="1464">
        <f t="shared" si="1"/>
        <v>34.235041916440018</v>
      </c>
      <c r="I22" s="1464">
        <f t="shared" si="1"/>
        <v>378.16713127278348</v>
      </c>
      <c r="J22" s="1466">
        <f t="shared" si="1"/>
        <v>35369.833967884224</v>
      </c>
      <c r="K22" s="1687">
        <f t="shared" si="1"/>
        <v>14947.892765251161</v>
      </c>
      <c r="L22" s="1464">
        <f t="shared" si="1"/>
        <v>3168.3382739973372</v>
      </c>
      <c r="M22" s="1464">
        <f t="shared" si="1"/>
        <v>15458.671910102514</v>
      </c>
      <c r="N22" s="1464">
        <f t="shared" si="1"/>
        <v>443.74445464110158</v>
      </c>
      <c r="O22" s="1464">
        <f t="shared" si="1"/>
        <v>1220.1151924091785</v>
      </c>
      <c r="P22" s="1464">
        <f t="shared" si="1"/>
        <v>33.529388792999995</v>
      </c>
      <c r="Q22" s="1465">
        <f t="shared" si="1"/>
        <v>97.601158596871983</v>
      </c>
      <c r="R22" s="376">
        <f>J22-C22-D22-E22-F22-G22-H22-I22</f>
        <v>1.0000000021364031E-3</v>
      </c>
      <c r="S22" s="376">
        <f>J22-K22-L22-M22-N22-O22-P22-Q22</f>
        <v>-5.9175906943252699E-2</v>
      </c>
    </row>
    <row r="23" spans="1:32" s="1460" customFormat="1" ht="26.25" customHeight="1">
      <c r="A23" s="902">
        <v>2018</v>
      </c>
      <c r="B23" s="903" t="s">
        <v>223</v>
      </c>
      <c r="C23" s="412">
        <v>14513.318474367186</v>
      </c>
      <c r="D23" s="412">
        <v>2804.518347121917</v>
      </c>
      <c r="E23" s="412">
        <v>12979.821490272172</v>
      </c>
      <c r="F23" s="412">
        <v>451.02376206364926</v>
      </c>
      <c r="G23" s="412">
        <v>963.35837823986174</v>
      </c>
      <c r="H23" s="412">
        <v>41.992860586392986</v>
      </c>
      <c r="I23" s="412">
        <v>342.86914679475188</v>
      </c>
      <c r="J23" s="756">
        <v>32096.948682387927</v>
      </c>
      <c r="K23" s="773">
        <v>14159.391767095316</v>
      </c>
      <c r="L23" s="412">
        <v>2702.6754925406017</v>
      </c>
      <c r="M23" s="412">
        <v>14397.109976907544</v>
      </c>
      <c r="N23" s="412">
        <v>159.64131394566456</v>
      </c>
      <c r="O23" s="412">
        <v>536.09783771644459</v>
      </c>
      <c r="P23" s="412">
        <v>38.464947387000002</v>
      </c>
      <c r="Q23" s="413">
        <v>103.54762487899993</v>
      </c>
      <c r="R23" s="376">
        <f t="shared" ref="R23" si="2">J23-C23-D23-E23-F23-G23-H23-I23</f>
        <v>4.6222941993960376E-2</v>
      </c>
      <c r="S23" s="376">
        <f t="shared" ref="S23" si="3">J23-K23-L23-M23-N23-O23-P23-Q23</f>
        <v>1.9721916355223357E-2</v>
      </c>
    </row>
    <row r="24" spans="1:32" s="1460" customFormat="1" ht="18" customHeight="1">
      <c r="A24" s="902"/>
      <c r="B24" s="903" t="s">
        <v>224</v>
      </c>
      <c r="C24" s="412">
        <v>14342.449453923802</v>
      </c>
      <c r="D24" s="412">
        <v>2710.3587867289243</v>
      </c>
      <c r="E24" s="412">
        <v>13477.320104102859</v>
      </c>
      <c r="F24" s="412">
        <v>489.86759203833509</v>
      </c>
      <c r="G24" s="412">
        <v>772.85756218877145</v>
      </c>
      <c r="H24" s="412">
        <v>28.272368806899266</v>
      </c>
      <c r="I24" s="412">
        <v>337.30342397224717</v>
      </c>
      <c r="J24" s="756">
        <v>32158.459291761843</v>
      </c>
      <c r="K24" s="773">
        <v>13938.137783220374</v>
      </c>
      <c r="L24" s="412">
        <v>2768.6811951971731</v>
      </c>
      <c r="M24" s="412">
        <v>14486.745934780809</v>
      </c>
      <c r="N24" s="412">
        <v>182.24415591107467</v>
      </c>
      <c r="O24" s="412">
        <v>621.46268210484811</v>
      </c>
      <c r="P24" s="412">
        <v>26.489301236000003</v>
      </c>
      <c r="Q24" s="413">
        <v>134.77643374599998</v>
      </c>
      <c r="R24" s="1461">
        <v>3.0000000006566552E-2</v>
      </c>
      <c r="S24" s="1461">
        <v>-7.8194434433584092E-2</v>
      </c>
      <c r="T24" s="1467"/>
      <c r="U24" s="1467"/>
    </row>
    <row r="25" spans="1:32" s="1460" customFormat="1" ht="18" customHeight="1">
      <c r="A25" s="902"/>
      <c r="B25" s="903" t="s">
        <v>225</v>
      </c>
      <c r="C25" s="412">
        <v>14462.797287870835</v>
      </c>
      <c r="D25" s="412">
        <v>2586.6432679346249</v>
      </c>
      <c r="E25" s="412">
        <v>13769.88138537962</v>
      </c>
      <c r="F25" s="412">
        <v>571.28541417253462</v>
      </c>
      <c r="G25" s="412">
        <v>815.73195869102346</v>
      </c>
      <c r="H25" s="412">
        <v>15.388048864315319</v>
      </c>
      <c r="I25" s="412">
        <v>347.30963501831781</v>
      </c>
      <c r="J25" s="756">
        <v>32569.016388166277</v>
      </c>
      <c r="K25" s="773">
        <v>13951.974525542304</v>
      </c>
      <c r="L25" s="412">
        <v>2532.602719672233</v>
      </c>
      <c r="M25" s="412">
        <v>14701.103629624118</v>
      </c>
      <c r="N25" s="412">
        <v>347.74045659573926</v>
      </c>
      <c r="O25" s="412">
        <v>886.48241709768354</v>
      </c>
      <c r="P25" s="412">
        <v>13.485524372999999</v>
      </c>
      <c r="Q25" s="413">
        <v>135.56336443500007</v>
      </c>
      <c r="R25" s="376">
        <v>-2.0609764994333091E-2</v>
      </c>
      <c r="S25" s="376">
        <v>6.3750826198941013E-2</v>
      </c>
    </row>
    <row r="26" spans="1:32" s="1460" customFormat="1" ht="27" customHeight="1">
      <c r="A26" s="902">
        <v>2019</v>
      </c>
      <c r="B26" s="903" t="s">
        <v>222</v>
      </c>
      <c r="C26" s="412">
        <v>15198.458656937402</v>
      </c>
      <c r="D26" s="412">
        <v>2441.7412569492358</v>
      </c>
      <c r="E26" s="412">
        <v>14725.174523451933</v>
      </c>
      <c r="F26" s="412">
        <v>632.92176366605679</v>
      </c>
      <c r="G26" s="412">
        <v>1019.2282289184521</v>
      </c>
      <c r="H26" s="412">
        <v>23.492189169451379</v>
      </c>
      <c r="I26" s="412">
        <v>379.07369864597092</v>
      </c>
      <c r="J26" s="756">
        <v>34420.080317738502</v>
      </c>
      <c r="K26" s="773">
        <v>14983.70740925157</v>
      </c>
      <c r="L26" s="412">
        <v>2370.5769165844758</v>
      </c>
      <c r="M26" s="412">
        <v>15352.912224099771</v>
      </c>
      <c r="N26" s="412">
        <v>476.89193432803791</v>
      </c>
      <c r="O26" s="412">
        <v>1085.6779818823018</v>
      </c>
      <c r="P26" s="412">
        <v>20.872385195</v>
      </c>
      <c r="Q26" s="413">
        <v>129.44113315799993</v>
      </c>
      <c r="R26" s="1461">
        <v>-9.999999999706688E-3</v>
      </c>
      <c r="S26" s="1461">
        <v>3.3323934704299063E-4</v>
      </c>
    </row>
    <row r="27" spans="1:32" s="1460" customFormat="1" ht="18" customHeight="1">
      <c r="A27" s="902"/>
      <c r="B27" s="903" t="s">
        <v>223</v>
      </c>
      <c r="C27" s="412">
        <f t="shared" ref="C27:Q27" si="4">C33</f>
        <v>15319.393635397284</v>
      </c>
      <c r="D27" s="412">
        <f t="shared" si="4"/>
        <v>2359.6817658352297</v>
      </c>
      <c r="E27" s="412">
        <f t="shared" si="4"/>
        <v>14644.262791775587</v>
      </c>
      <c r="F27" s="412">
        <f t="shared" si="4"/>
        <v>686.91983636101759</v>
      </c>
      <c r="G27" s="412">
        <f t="shared" si="4"/>
        <v>1134.6355022456387</v>
      </c>
      <c r="H27" s="412">
        <f t="shared" si="4"/>
        <v>24.108160590743491</v>
      </c>
      <c r="I27" s="412">
        <f t="shared" si="4"/>
        <v>359.92690893117992</v>
      </c>
      <c r="J27" s="756">
        <f t="shared" si="4"/>
        <v>34528.903980400682</v>
      </c>
      <c r="K27" s="773">
        <f t="shared" si="4"/>
        <v>14885.754082654792</v>
      </c>
      <c r="L27" s="412">
        <f t="shared" si="4"/>
        <v>2457.8025066821474</v>
      </c>
      <c r="M27" s="412">
        <f t="shared" si="4"/>
        <v>15068.529342882764</v>
      </c>
      <c r="N27" s="412">
        <f t="shared" si="4"/>
        <v>543.99558548299899</v>
      </c>
      <c r="O27" s="412">
        <f t="shared" si="4"/>
        <v>1458.527774799097</v>
      </c>
      <c r="P27" s="412">
        <f t="shared" si="4"/>
        <v>20.941007739</v>
      </c>
      <c r="Q27" s="413">
        <f t="shared" si="4"/>
        <v>93.391116844000052</v>
      </c>
      <c r="R27" s="1461">
        <f t="shared" ref="R27" si="5">J27-C27-D27-E27-F27-G27-H27-I27</f>
        <v>-2.4620735996734311E-2</v>
      </c>
      <c r="S27" s="1461">
        <f t="shared" ref="S27" si="6">J27-K27-L27-M27-N27-O27-P27-Q27</f>
        <v>-3.7436684116585184E-2</v>
      </c>
      <c r="T27" s="1467"/>
      <c r="U27" s="1467"/>
      <c r="V27" s="1467"/>
      <c r="W27" s="1467"/>
      <c r="X27" s="1467"/>
      <c r="Y27" s="1467"/>
      <c r="Z27" s="1467"/>
      <c r="AA27" s="1467"/>
      <c r="AB27" s="1467"/>
      <c r="AC27" s="1467"/>
      <c r="AD27" s="1467"/>
      <c r="AE27" s="1467"/>
      <c r="AF27" s="1467"/>
    </row>
    <row r="28" spans="1:32" s="1460" customFormat="1" ht="18" customHeight="1">
      <c r="A28" s="902"/>
      <c r="B28" s="903" t="s">
        <v>224</v>
      </c>
      <c r="C28" s="412">
        <f t="shared" ref="C28:Q28" si="7">C36</f>
        <v>15359.833789830365</v>
      </c>
      <c r="D28" s="412">
        <f t="shared" si="7"/>
        <v>2445.2731278815277</v>
      </c>
      <c r="E28" s="412">
        <f t="shared" si="7"/>
        <v>14747.597793002024</v>
      </c>
      <c r="F28" s="412">
        <f t="shared" si="7"/>
        <v>752.18458179215997</v>
      </c>
      <c r="G28" s="412">
        <f t="shared" si="7"/>
        <v>1001.4790485516792</v>
      </c>
      <c r="H28" s="412">
        <f t="shared" si="7"/>
        <v>71.590878010222383</v>
      </c>
      <c r="I28" s="412">
        <f t="shared" si="7"/>
        <v>335.13632280761374</v>
      </c>
      <c r="J28" s="756">
        <f t="shared" si="7"/>
        <v>34713.143109798591</v>
      </c>
      <c r="K28" s="773">
        <f t="shared" si="7"/>
        <v>15027.587019249493</v>
      </c>
      <c r="L28" s="412">
        <f t="shared" si="7"/>
        <v>2641.1733125305796</v>
      </c>
      <c r="M28" s="412">
        <f t="shared" si="7"/>
        <v>15100.615175280389</v>
      </c>
      <c r="N28" s="412">
        <f t="shared" si="7"/>
        <v>497.69811584969227</v>
      </c>
      <c r="O28" s="412">
        <f t="shared" si="7"/>
        <v>1336.2405516108461</v>
      </c>
      <c r="P28" s="412">
        <f t="shared" si="7"/>
        <v>35.086004756999998</v>
      </c>
      <c r="Q28" s="413">
        <f t="shared" si="7"/>
        <v>74.711434742999884</v>
      </c>
      <c r="R28" s="1461">
        <f t="shared" ref="R28" si="8">J28-C28-D28-E28-F28-G28-H28-I28</f>
        <v>4.7567923001224699E-2</v>
      </c>
      <c r="S28" s="1461">
        <f t="shared" ref="S28" si="9">J28-K28-L28-M28-N28-O28-P28-Q28</f>
        <v>3.149577759290878E-2</v>
      </c>
    </row>
    <row r="29" spans="1:32" s="1467" customFormat="1" ht="18" customHeight="1">
      <c r="A29" s="902"/>
      <c r="B29" s="903" t="s">
        <v>225</v>
      </c>
      <c r="C29" s="412">
        <f t="shared" ref="C29:Q29" si="10">C39</f>
        <v>15324.558939506498</v>
      </c>
      <c r="D29" s="412">
        <f t="shared" si="10"/>
        <v>2658.0382645028026</v>
      </c>
      <c r="E29" s="412">
        <f t="shared" si="10"/>
        <v>15520.493560314675</v>
      </c>
      <c r="F29" s="412">
        <f t="shared" si="10"/>
        <v>546.41696574771413</v>
      </c>
      <c r="G29" s="412">
        <f t="shared" si="10"/>
        <v>907.92306462330896</v>
      </c>
      <c r="H29" s="412">
        <f t="shared" si="10"/>
        <v>34.235041916440018</v>
      </c>
      <c r="I29" s="412">
        <f t="shared" si="10"/>
        <v>378.16713127278348</v>
      </c>
      <c r="J29" s="756">
        <f t="shared" si="10"/>
        <v>35369.833967884224</v>
      </c>
      <c r="K29" s="773">
        <f t="shared" si="10"/>
        <v>14947.892765251161</v>
      </c>
      <c r="L29" s="412">
        <f t="shared" si="10"/>
        <v>3168.3382739973372</v>
      </c>
      <c r="M29" s="412">
        <f t="shared" si="10"/>
        <v>15458.671910102514</v>
      </c>
      <c r="N29" s="412">
        <f t="shared" si="10"/>
        <v>443.74445464110158</v>
      </c>
      <c r="O29" s="412">
        <f t="shared" si="10"/>
        <v>1220.1151924091785</v>
      </c>
      <c r="P29" s="412">
        <f t="shared" si="10"/>
        <v>33.529388792999995</v>
      </c>
      <c r="Q29" s="413">
        <f t="shared" si="10"/>
        <v>97.601158596871983</v>
      </c>
      <c r="R29" s="1461">
        <f t="shared" ref="R29" si="11">J29-C29-D29-E29-F29-G29-H29-I29</f>
        <v>1.0000000021364031E-3</v>
      </c>
      <c r="S29" s="1461">
        <f t="shared" ref="S29" si="12">J29-K29-L29-M29-N29-O29-P29-Q29</f>
        <v>-5.9175906943252699E-2</v>
      </c>
    </row>
    <row r="30" spans="1:32" s="1460" customFormat="1" ht="21" customHeight="1">
      <c r="A30" s="1462">
        <v>2020</v>
      </c>
      <c r="B30" s="1463" t="s">
        <v>222</v>
      </c>
      <c r="C30" s="1464">
        <f t="shared" ref="C30:Q30" si="13">C42</f>
        <v>15700.143074102267</v>
      </c>
      <c r="D30" s="1464">
        <f t="shared" si="13"/>
        <v>2723.0107590415628</v>
      </c>
      <c r="E30" s="1464">
        <f t="shared" si="13"/>
        <v>15251.061086420788</v>
      </c>
      <c r="F30" s="1464">
        <f t="shared" si="13"/>
        <v>697.84155497372308</v>
      </c>
      <c r="G30" s="1464">
        <f t="shared" si="13"/>
        <v>988.06507993565378</v>
      </c>
      <c r="H30" s="1464">
        <f t="shared" si="13"/>
        <v>26.39176888223102</v>
      </c>
      <c r="I30" s="1464">
        <f t="shared" si="13"/>
        <v>365.84754098902715</v>
      </c>
      <c r="J30" s="1466">
        <f t="shared" si="13"/>
        <v>35752.33970395926</v>
      </c>
      <c r="K30" s="1687">
        <f t="shared" si="13"/>
        <v>15258.739834605341</v>
      </c>
      <c r="L30" s="1464">
        <f t="shared" si="13"/>
        <v>3464.140661623816</v>
      </c>
      <c r="M30" s="1464">
        <f t="shared" si="13"/>
        <v>15259.994994514407</v>
      </c>
      <c r="N30" s="1464">
        <f t="shared" si="13"/>
        <v>410.79326877411728</v>
      </c>
      <c r="O30" s="1464">
        <f t="shared" si="13"/>
        <v>1210.7336174980749</v>
      </c>
      <c r="P30" s="1464">
        <f t="shared" si="13"/>
        <v>24.687089738999997</v>
      </c>
      <c r="Q30" s="1465">
        <f t="shared" si="13"/>
        <v>123.27691195794296</v>
      </c>
      <c r="R30" s="376">
        <f t="shared" ref="R30" si="14">J30-C30-D30-E30-F30-G30-H30-I30</f>
        <v>-2.1160385991095154E-2</v>
      </c>
      <c r="S30" s="376">
        <f t="shared" ref="S30" si="15">J30-K30-L30-M30-N30-O30-P30-Q30</f>
        <v>-2.667475343999115E-2</v>
      </c>
    </row>
    <row r="31" spans="1:32" s="970" customFormat="1" ht="26.25" customHeight="1">
      <c r="A31" s="902">
        <v>2019</v>
      </c>
      <c r="B31" s="903" t="s">
        <v>399</v>
      </c>
      <c r="C31" s="412">
        <f>'[5]4'!$G$14-0.03</f>
        <v>15198.839098536135</v>
      </c>
      <c r="D31" s="412">
        <f>SUM('[5]4'!$G$21:$G$22)</f>
        <v>2364.1828618754962</v>
      </c>
      <c r="E31" s="413">
        <f>'[5]4'!$G$16</f>
        <v>14377.600693681725</v>
      </c>
      <c r="F31" s="413">
        <f>'[5]4'!$G$17</f>
        <v>658.25264037784802</v>
      </c>
      <c r="G31" s="413">
        <f>'[5]4'!$G$20</f>
        <v>780.42616772007489</v>
      </c>
      <c r="H31" s="413">
        <f>'[5]4'!$G$18</f>
        <v>17.222621494673458</v>
      </c>
      <c r="I31" s="412">
        <f>'[5]4'!$G$19+'[5]4'!$G$23+0.02</f>
        <v>349.55563033273853</v>
      </c>
      <c r="J31" s="756">
        <f>'[5]4'!$G$24</f>
        <v>33746.089714018686</v>
      </c>
      <c r="K31" s="773">
        <f>'[5]4'!$D$14-0.05</f>
        <v>14794.437473951919</v>
      </c>
      <c r="L31" s="412">
        <f>SUM('[5]4'!$D$21:$D$22)</f>
        <v>2356.4720138194552</v>
      </c>
      <c r="M31" s="413">
        <f>'[5]4'!$D$16</f>
        <v>14701.50610774638</v>
      </c>
      <c r="N31" s="413">
        <f>'[5]4'!$D$17</f>
        <v>647.66546179372779</v>
      </c>
      <c r="O31" s="413">
        <f>'[5]4'!$D$20</f>
        <v>1154.779578298122</v>
      </c>
      <c r="P31" s="413">
        <f>'[5]4'!$D$18</f>
        <v>14.605813431000001</v>
      </c>
      <c r="Q31" s="413">
        <f>'[5]4'!$D$19+'[5]4'!$D$23</f>
        <v>76.636393040000073</v>
      </c>
      <c r="R31" s="376">
        <f t="shared" ref="R31" si="16">J31-C31-D31-E31-F31-G31-H31-I31</f>
        <v>9.9999999983992893E-3</v>
      </c>
      <c r="S31" s="376">
        <f t="shared" ref="S31" si="17">J31-K31-L31-M31-N31-O31-P31-Q31</f>
        <v>-1.3128061915878675E-2</v>
      </c>
      <c r="T31" s="904"/>
      <c r="U31" s="195"/>
    </row>
    <row r="32" spans="1:32" s="970" customFormat="1" ht="16.5" customHeight="1">
      <c r="A32" s="902"/>
      <c r="B32" s="903" t="s">
        <v>400</v>
      </c>
      <c r="C32" s="412">
        <f>'[6]4'!$G$14+0.02</f>
        <v>15376.361612168143</v>
      </c>
      <c r="D32" s="412">
        <f>SUM('[6]4'!$G$21:$G$22)</f>
        <v>2391.8125193033206</v>
      </c>
      <c r="E32" s="413">
        <f>'[6]4'!$G$16-0.01</f>
        <v>14782.847061447073</v>
      </c>
      <c r="F32" s="413">
        <f>'[6]4'!$G$17</f>
        <v>617.95949859952214</v>
      </c>
      <c r="G32" s="413">
        <f>'[6]4'!$G$20</f>
        <v>764.71502670170639</v>
      </c>
      <c r="H32" s="413">
        <f>'[6]4'!$G$18</f>
        <v>29.959386346977222</v>
      </c>
      <c r="I32" s="412">
        <f>'[6]4'!$G$19+'[6]4'!$G$23-0.01</f>
        <v>380.54098902869595</v>
      </c>
      <c r="J32" s="756">
        <f>'[6]4'!$G$24</f>
        <v>34344.196093595441</v>
      </c>
      <c r="K32" s="773">
        <f>'[6]4'!$D$14</f>
        <v>14889.801629801988</v>
      </c>
      <c r="L32" s="412">
        <f>SUM('[6]4'!$D$21:$D$22)</f>
        <v>2403.4502404785781</v>
      </c>
      <c r="M32" s="413">
        <f>'[6]4'!$D$16</f>
        <v>15201.904597091732</v>
      </c>
      <c r="N32" s="413">
        <f>'[6]4'!$D$17</f>
        <v>483.31475573972779</v>
      </c>
      <c r="O32" s="413">
        <f>'[6]4'!$D$20</f>
        <v>1251.2944080045913</v>
      </c>
      <c r="P32" s="413">
        <f>'[6]4'!$D$18</f>
        <v>27.651450041999997</v>
      </c>
      <c r="Q32" s="413">
        <f>'[6]4'!$D$19+'[6]4'!$D$23</f>
        <v>86.709502321999921</v>
      </c>
      <c r="R32" s="376">
        <f t="shared" ref="R32" si="18">J32-C32-D32-E32-F32-G32-H32-I32</f>
        <v>5.9685589803848416E-12</v>
      </c>
      <c r="S32" s="376">
        <f t="shared" ref="S32" si="19">J32-K32-L32-M32-N32-O32-P32-Q32</f>
        <v>6.9510114825206415E-2</v>
      </c>
      <c r="T32" s="904"/>
      <c r="U32" s="195"/>
    </row>
    <row r="33" spans="1:21" s="970" customFormat="1" ht="16.5" customHeight="1">
      <c r="A33" s="902"/>
      <c r="B33" s="903" t="s">
        <v>401</v>
      </c>
      <c r="C33" s="412">
        <f>'[7]4'!$G$14</f>
        <v>15319.393635397284</v>
      </c>
      <c r="D33" s="412">
        <f>SUM('[7]4'!$G$21:$G$22)</f>
        <v>2359.6817658352297</v>
      </c>
      <c r="E33" s="413">
        <f>'[7]4'!$G$16</f>
        <v>14644.262791775587</v>
      </c>
      <c r="F33" s="413">
        <f>'[7]4'!$G$17</f>
        <v>686.91983636101759</v>
      </c>
      <c r="G33" s="413">
        <f>'[7]4'!$G$20</f>
        <v>1134.6355022456387</v>
      </c>
      <c r="H33" s="413">
        <f>'[7]4'!$G$18</f>
        <v>24.108160590743491</v>
      </c>
      <c r="I33" s="412">
        <f>'[7]4'!$G$19+'[7]4'!$G$23</f>
        <v>359.92690893117992</v>
      </c>
      <c r="J33" s="756">
        <f>'[7]4'!$G$24</f>
        <v>34528.903980400682</v>
      </c>
      <c r="K33" s="773">
        <f>'[7]4'!$D$14</f>
        <v>14885.754082654792</v>
      </c>
      <c r="L33" s="412">
        <f>SUM('[7]4'!$D$21:$D$22)</f>
        <v>2457.8025066821474</v>
      </c>
      <c r="M33" s="413">
        <f>'[7]4'!$D$16</f>
        <v>15068.529342882764</v>
      </c>
      <c r="N33" s="413">
        <f>'[7]4'!$D$17</f>
        <v>543.99558548299899</v>
      </c>
      <c r="O33" s="413">
        <f>'[7]4'!$D$20</f>
        <v>1458.527774799097</v>
      </c>
      <c r="P33" s="413">
        <f>'[7]4'!$D$18</f>
        <v>20.941007739</v>
      </c>
      <c r="Q33" s="413">
        <f>'[7]4'!$D$19+'[7]4'!$D$23</f>
        <v>93.391116844000052</v>
      </c>
      <c r="R33" s="376">
        <f t="shared" ref="R33" si="20">J33-C33-D33-E33-F33-G33-H33-I33</f>
        <v>-2.4620735996734311E-2</v>
      </c>
      <c r="S33" s="376">
        <f t="shared" ref="S33" si="21">J33-K33-L33-M33-N33-O33-P33-Q33</f>
        <v>-3.7436684116585184E-2</v>
      </c>
      <c r="T33" s="904"/>
      <c r="U33" s="195"/>
    </row>
    <row r="34" spans="1:21" s="970" customFormat="1" ht="16.5" customHeight="1">
      <c r="A34" s="902"/>
      <c r="B34" s="903" t="s">
        <v>402</v>
      </c>
      <c r="C34" s="412">
        <f>'[8]4'!$G$14</f>
        <v>15364.710169049245</v>
      </c>
      <c r="D34" s="412">
        <f>SUM('[8]4'!$G$21:$G$22)</f>
        <v>2383.1075717515423</v>
      </c>
      <c r="E34" s="413">
        <f>'[8]4'!$G$16</f>
        <v>14875.869018864618</v>
      </c>
      <c r="F34" s="413">
        <f>'[8]4'!$G$17</f>
        <v>704.13802979771265</v>
      </c>
      <c r="G34" s="413">
        <f>'[8]4'!$G$20</f>
        <v>965.13872823639974</v>
      </c>
      <c r="H34" s="413">
        <f>'[8]4'!$G$18</f>
        <v>25.959052583364112</v>
      </c>
      <c r="I34" s="412">
        <f>'[8]4'!$G$19+'[8]4'!$G$23-0.01</f>
        <v>351.14319631258149</v>
      </c>
      <c r="J34" s="756">
        <f>'[8]4'!$G$24-0.03</f>
        <v>34670.045415444467</v>
      </c>
      <c r="K34" s="773">
        <f>'[8]4'!$D$14</f>
        <v>14934.990081214561</v>
      </c>
      <c r="L34" s="412">
        <f>SUM('[8]4'!$D$21:$D$22)</f>
        <v>2461.5915706079695</v>
      </c>
      <c r="M34" s="413">
        <f>'[8]4'!$D$16</f>
        <v>15284.98383430924</v>
      </c>
      <c r="N34" s="413">
        <f>'[8]4'!$D$17</f>
        <v>458.23979594482364</v>
      </c>
      <c r="O34" s="413">
        <f>'[8]4'!$D$20</f>
        <v>1425.3668179934848</v>
      </c>
      <c r="P34" s="413">
        <f>'[8]4'!$D$18-0.01</f>
        <v>22.940232244000001</v>
      </c>
      <c r="Q34" s="413">
        <f>'[8]4'!$D$19+'[8]4'!$D$23</f>
        <v>81.949720213999967</v>
      </c>
      <c r="R34" s="376">
        <f t="shared" ref="R34" si="22">J34-C34-D34-E34-F34-G34-H34-I34</f>
        <v>-2.0351150995622902E-2</v>
      </c>
      <c r="S34" s="376">
        <f t="shared" ref="S34" si="23">J34-K34-L34-M34-N34-O34-P34-Q34</f>
        <v>-1.663708361029137E-2</v>
      </c>
      <c r="T34" s="904"/>
      <c r="U34" s="195"/>
    </row>
    <row r="35" spans="1:21" s="970" customFormat="1" ht="16.5" customHeight="1">
      <c r="A35" s="902"/>
      <c r="B35" s="903" t="s">
        <v>403</v>
      </c>
      <c r="C35" s="412">
        <f>'[9]4'!$G$14</f>
        <v>15316.040831239196</v>
      </c>
      <c r="D35" s="412">
        <f>SUM('[9]4'!$G$21:$G$22)</f>
        <v>2368.6365694817432</v>
      </c>
      <c r="E35" s="413">
        <f>'[9]4'!$G$16</f>
        <v>15215.261087641622</v>
      </c>
      <c r="F35" s="413">
        <f>'[9]4'!$G$17</f>
        <v>602.13905957975555</v>
      </c>
      <c r="G35" s="413">
        <f>'[9]4'!$G$20</f>
        <v>960.09758433299112</v>
      </c>
      <c r="H35" s="413">
        <f>'[9]4'!$G$18</f>
        <v>37.3676645763138</v>
      </c>
      <c r="I35" s="412">
        <f>'[9]4'!$G$19+'[9]4'!$G$23</f>
        <v>340.45525647217301</v>
      </c>
      <c r="J35" s="756">
        <f>'[9]4'!$G$24</f>
        <v>34839.994155449793</v>
      </c>
      <c r="K35" s="773">
        <f>'[9]4'!$D$14</f>
        <v>14907.715281337969</v>
      </c>
      <c r="L35" s="412">
        <f>SUM('[9]4'!$D$21:$D$22)</f>
        <v>2527.1858795946541</v>
      </c>
      <c r="M35" s="413">
        <f>'[9]4'!$D$16</f>
        <v>15376.304407717975</v>
      </c>
      <c r="N35" s="413">
        <f>'[9]4'!$D$17</f>
        <v>478.674533202931</v>
      </c>
      <c r="O35" s="413">
        <f>'[9]4'!$D$20</f>
        <v>1429.6978606481998</v>
      </c>
      <c r="P35" s="413">
        <f>'[9]4'!$D$18</f>
        <v>36.665916397999993</v>
      </c>
      <c r="Q35" s="413">
        <f>'[9]4'!$D$19+'[9]4'!$D$23</f>
        <v>83.711056767999892</v>
      </c>
      <c r="R35" s="376">
        <f t="shared" ref="R35" si="24">J35-C35-D35-E35-F35-G35-H35-I35</f>
        <v>-3.8978740016091251E-3</v>
      </c>
      <c r="S35" s="376">
        <f t="shared" ref="S35" si="25">J35-K35-L35-M35-N35-O35-P35-Q35</f>
        <v>3.9219782064805031E-2</v>
      </c>
      <c r="T35" s="904"/>
      <c r="U35" s="195"/>
    </row>
    <row r="36" spans="1:21" s="970" customFormat="1" ht="16.5" customHeight="1">
      <c r="A36" s="902"/>
      <c r="B36" s="903" t="s">
        <v>404</v>
      </c>
      <c r="C36" s="412">
        <f>'[10]4'!$G$14-0.05</f>
        <v>15359.833789830365</v>
      </c>
      <c r="D36" s="412">
        <f>SUM('[10]4'!$G$21:$G$22)</f>
        <v>2445.2731278815277</v>
      </c>
      <c r="E36" s="413">
        <f>'[10]4'!$G$16</f>
        <v>14747.597793002024</v>
      </c>
      <c r="F36" s="413">
        <f>'[10]4'!$G$17</f>
        <v>752.18458179215997</v>
      </c>
      <c r="G36" s="413">
        <f>'[10]4'!$G$20</f>
        <v>1001.4790485516792</v>
      </c>
      <c r="H36" s="413">
        <f>'[10]4'!$G$18</f>
        <v>71.590878010222383</v>
      </c>
      <c r="I36" s="412">
        <f>'[10]4'!$G$19+'[10]4'!$G$23-0.03</f>
        <v>335.13632280761374</v>
      </c>
      <c r="J36" s="756">
        <f>'[10]4'!$G$24-0.03</f>
        <v>34713.143109798591</v>
      </c>
      <c r="K36" s="773">
        <f>'[10]4'!$D$14</f>
        <v>15027.587019249493</v>
      </c>
      <c r="L36" s="412">
        <f>SUM('[10]4'!$D$21:$D$22)</f>
        <v>2641.1733125305796</v>
      </c>
      <c r="M36" s="413">
        <f>'[10]4'!$D$16</f>
        <v>15100.615175280389</v>
      </c>
      <c r="N36" s="413">
        <f>'[10]4'!$D$17</f>
        <v>497.69811584969227</v>
      </c>
      <c r="O36" s="413">
        <f>'[10]4'!$D$20-0.02</f>
        <v>1336.2405516108461</v>
      </c>
      <c r="P36" s="413">
        <f>'[10]4'!$D$18</f>
        <v>35.086004756999998</v>
      </c>
      <c r="Q36" s="413">
        <f>'[10]4'!$D$19+'[10]4'!$D$23</f>
        <v>74.711434742999884</v>
      </c>
      <c r="R36" s="376">
        <f t="shared" ref="R36" si="26">J36-C36-D36-E36-F36-G36-H36-I36</f>
        <v>4.7567923001224699E-2</v>
      </c>
      <c r="S36" s="376">
        <f t="shared" ref="S36" si="27">J36-K36-L36-M36-N36-O36-P36-Q36</f>
        <v>3.149577759290878E-2</v>
      </c>
      <c r="T36" s="904"/>
      <c r="U36" s="195"/>
    </row>
    <row r="37" spans="1:21" s="970" customFormat="1" ht="16.5" customHeight="1">
      <c r="A37" s="902"/>
      <c r="B37" s="903" t="s">
        <v>405</v>
      </c>
      <c r="C37" s="412">
        <f>'[11]4'!$G$14</f>
        <v>15345.771295196992</v>
      </c>
      <c r="D37" s="412">
        <f>SUM('[11]4'!$G$21:$G$22)</f>
        <v>2334.06044435787</v>
      </c>
      <c r="E37" s="413">
        <f>'[11]4'!$G$16</f>
        <v>15007.922663965204</v>
      </c>
      <c r="F37" s="413">
        <f>'[11]4'!$G$17</f>
        <v>732.17259041740886</v>
      </c>
      <c r="G37" s="413">
        <f>'[11]4'!$G$20</f>
        <v>976.42819353650179</v>
      </c>
      <c r="H37" s="413">
        <f>'[11]4'!$G$18</f>
        <v>40.947145067280921</v>
      </c>
      <c r="I37" s="412">
        <f>'[11]4'!$G$19+'[11]4'!$G$23</f>
        <v>398.61913541590138</v>
      </c>
      <c r="J37" s="756">
        <f>'[11]4'!$G$24</f>
        <v>34835.920511987162</v>
      </c>
      <c r="K37" s="773">
        <f>'[11]4'!$D$14-0.05</f>
        <v>14954.626998526041</v>
      </c>
      <c r="L37" s="412">
        <f>SUM('[11]4'!$D$21:$D$22)</f>
        <v>2581.6545778191239</v>
      </c>
      <c r="M37" s="413">
        <f>'[11]4'!$D$16</f>
        <v>15289.30109483175</v>
      </c>
      <c r="N37" s="413">
        <f>'[11]4'!$D$17</f>
        <v>490.63141481338624</v>
      </c>
      <c r="O37" s="413">
        <f>'[11]4'!$D$20</f>
        <v>1391.5700323475512</v>
      </c>
      <c r="P37" s="413">
        <f>'[11]4'!$D$18</f>
        <v>40.142766852999998</v>
      </c>
      <c r="Q37" s="413">
        <f>'[11]4'!$D$19+'[11]4'!$D$23+0.02</f>
        <v>87.959055879000047</v>
      </c>
      <c r="R37" s="376">
        <f t="shared" ref="R37" si="28">J37-C37-D37-E37-F37-G37-H37-I37</f>
        <v>-9.5596999705094277E-4</v>
      </c>
      <c r="S37" s="376">
        <f t="shared" ref="S37" si="29">J37-K37-L37-M37-N37-O37-P37-Q37</f>
        <v>3.4570917309594051E-2</v>
      </c>
      <c r="T37" s="904"/>
      <c r="U37" s="195"/>
    </row>
    <row r="38" spans="1:21" s="970" customFormat="1" ht="16.5" customHeight="1">
      <c r="A38" s="902"/>
      <c r="B38" s="903" t="s">
        <v>406</v>
      </c>
      <c r="C38" s="412">
        <f>'[12]4'!$G$14</f>
        <v>15431.701736357198</v>
      </c>
      <c r="D38" s="412">
        <f>SUM('[12]4'!$G$21:$G$22)</f>
        <v>2386.827521815299</v>
      </c>
      <c r="E38" s="413">
        <f>'[12]4'!$G$16</f>
        <v>15511.564284446986</v>
      </c>
      <c r="F38" s="413">
        <f>'[12]4'!$G$17-0.02</f>
        <v>644.63745266582566</v>
      </c>
      <c r="G38" s="413">
        <f>'[12]4'!$G$20</f>
        <v>976.32988853667587</v>
      </c>
      <c r="H38" s="413">
        <f>'[12]4'!$G$18</f>
        <v>40.275130081730545</v>
      </c>
      <c r="I38" s="412">
        <f>'[12]4'!$G$19+'[12]4'!$G$23-0.01</f>
        <v>376.0417803304768</v>
      </c>
      <c r="J38" s="756">
        <f>'[12]4'!$G$24-0.06</f>
        <v>35367.342803865198</v>
      </c>
      <c r="K38" s="773">
        <f>'[12]4'!$D$14</f>
        <v>15043.106599351227</v>
      </c>
      <c r="L38" s="412">
        <f>SUM('[12]4'!$D$21:$D$22)+0.02</f>
        <v>2840.856048333806</v>
      </c>
      <c r="M38" s="413">
        <f>'[12]4'!$D$16+0.03</f>
        <v>15585.061011620115</v>
      </c>
      <c r="N38" s="413">
        <f>'[12]4'!$D$17</f>
        <v>467.60251854557856</v>
      </c>
      <c r="O38" s="413">
        <f>'[12]4'!$D$20</f>
        <v>1311.0171104969199</v>
      </c>
      <c r="P38" s="413">
        <f>'[12]4'!$D$18</f>
        <v>39.171600937999997</v>
      </c>
      <c r="Q38" s="413">
        <f>'[12]4'!$D$19+'[12]4'!$D$23</f>
        <v>80.419780831382994</v>
      </c>
      <c r="R38" s="376">
        <f t="shared" ref="R38" si="30">J38-C38-D38-E38-F38-G38-H38-I38</f>
        <v>-3.4990368993362608E-2</v>
      </c>
      <c r="S38" s="376">
        <f t="shared" ref="S38" si="31">J38-K38-L38-M38-N38-O38-P38-Q38</f>
        <v>0.10813374816999044</v>
      </c>
      <c r="T38" s="904"/>
      <c r="U38" s="195"/>
    </row>
    <row r="39" spans="1:21" s="970" customFormat="1" ht="16.5" customHeight="1">
      <c r="A39" s="902"/>
      <c r="B39" s="903" t="s">
        <v>407</v>
      </c>
      <c r="C39" s="412">
        <f>'[13]4'!$G$14</f>
        <v>15324.558939506498</v>
      </c>
      <c r="D39" s="412">
        <f>SUM('[13]4'!$G$21:$G$22)</f>
        <v>2658.0382645028026</v>
      </c>
      <c r="E39" s="413">
        <f>'[13]4'!$G$16</f>
        <v>15520.493560314675</v>
      </c>
      <c r="F39" s="413">
        <f>'[13]4'!$G$17</f>
        <v>546.41696574771413</v>
      </c>
      <c r="G39" s="413">
        <f>'[13]4'!$G$20</f>
        <v>907.92306462330896</v>
      </c>
      <c r="H39" s="413">
        <f>'[13]4'!$G$18</f>
        <v>34.235041916440018</v>
      </c>
      <c r="I39" s="412">
        <f>'[13]4'!$G$19+'[13]4'!$G$23</f>
        <v>378.16713127278348</v>
      </c>
      <c r="J39" s="756">
        <f>'[13]4'!$G$24</f>
        <v>35369.833967884224</v>
      </c>
      <c r="K39" s="773">
        <f>'[13]4'!$D$14</f>
        <v>14947.892765251161</v>
      </c>
      <c r="L39" s="412">
        <f>SUM('[13]4'!$D$21:$D$22)-0.02</f>
        <v>3168.3382739973372</v>
      </c>
      <c r="M39" s="413">
        <f>'[13]4'!$D$16</f>
        <v>15458.671910102514</v>
      </c>
      <c r="N39" s="413">
        <f>'[13]4'!$D$17-0.01</f>
        <v>443.74445464110158</v>
      </c>
      <c r="O39" s="413">
        <f>'[13]4'!$D$20</f>
        <v>1220.1151924091785</v>
      </c>
      <c r="P39" s="413">
        <f>'[13]4'!$D$18</f>
        <v>33.529388792999995</v>
      </c>
      <c r="Q39" s="413">
        <f>'[13]4'!$D$19+'[13]4'!$D$23</f>
        <v>97.601158596871983</v>
      </c>
      <c r="R39" s="376">
        <f t="shared" ref="R39" si="32">J39-C39-D39-E39-F39-G39-H39-I39</f>
        <v>1.0000000021364031E-3</v>
      </c>
      <c r="S39" s="376">
        <f t="shared" ref="S39" si="33">J39-K39-L39-M39-N39-O39-P39-Q39</f>
        <v>-5.9175906943252699E-2</v>
      </c>
      <c r="T39" s="904"/>
      <c r="U39" s="195"/>
    </row>
    <row r="40" spans="1:21" s="970" customFormat="1" ht="26.25" customHeight="1">
      <c r="A40" s="902">
        <v>2020</v>
      </c>
      <c r="B40" s="903" t="s">
        <v>408</v>
      </c>
      <c r="C40" s="412">
        <f>'[14]4'!$G$14+0.11</f>
        <v>15521.357968994385</v>
      </c>
      <c r="D40" s="412">
        <f>SUM('[14]4'!$G$21:$G$22)-0.02</f>
        <v>2638.537765270924</v>
      </c>
      <c r="E40" s="413">
        <f>'[14]4'!$G$16</f>
        <v>14870.308143547571</v>
      </c>
      <c r="F40" s="413">
        <f>'[14]4'!$G$17-0.03</f>
        <v>700.04016183426245</v>
      </c>
      <c r="G40" s="413">
        <f>'[14]4'!$G$20</f>
        <v>941.50761174397917</v>
      </c>
      <c r="H40" s="413">
        <f>'[14]4'!$G$18</f>
        <v>40.232059618191556</v>
      </c>
      <c r="I40" s="412">
        <f>'[14]4'!$G$19+'[14]4'!$G$23</f>
        <v>371.18718007376498</v>
      </c>
      <c r="J40" s="756">
        <f>'[14]4'!$G$24</f>
        <v>35083.102523941081</v>
      </c>
      <c r="K40" s="773">
        <f>'[14]4'!$D$14+0.05</f>
        <v>15399.255449843175</v>
      </c>
      <c r="L40" s="412">
        <f>SUM('[14]4'!$D$21:$D$22)</f>
        <v>3325.7069965130113</v>
      </c>
      <c r="M40" s="413">
        <f>'[14]4'!$D$16</f>
        <v>14497.297963669243</v>
      </c>
      <c r="N40" s="413">
        <f>'[14]4'!$D$17</f>
        <v>525.56192936121931</v>
      </c>
      <c r="O40" s="413">
        <f>'[14]4'!$D$20</f>
        <v>1170.7193753877561</v>
      </c>
      <c r="P40" s="413">
        <f>'[14]4'!$D$18</f>
        <v>35.525311537999997</v>
      </c>
      <c r="Q40" s="413">
        <f>'[14]4'!$D$19+'[14]4'!$D$23-0.02</f>
        <v>129.04462226898298</v>
      </c>
      <c r="R40" s="376">
        <f t="shared" ref="R40" si="34">J40-C40-D40-E40-F40-G40-H40-I40</f>
        <v>-6.8367141999885916E-2</v>
      </c>
      <c r="S40" s="376">
        <f t="shared" ref="S40" si="35">J40-K40-L40-M40-N40-O40-P40-Q40</f>
        <v>-9.1246403059415115E-3</v>
      </c>
      <c r="T40" s="904"/>
      <c r="U40" s="195"/>
    </row>
    <row r="41" spans="1:21" s="970" customFormat="1" ht="16.5" customHeight="1">
      <c r="A41" s="1083"/>
      <c r="B41" s="1084" t="s">
        <v>409</v>
      </c>
      <c r="C41" s="412">
        <f>'[15]4'!$G$14-0.05</f>
        <v>15707.509265435994</v>
      </c>
      <c r="D41" s="412">
        <f>SUM('[15]4'!$G$21:$G$22)+0.02</f>
        <v>2571.8572004722573</v>
      </c>
      <c r="E41" s="413">
        <f>'[15]4'!$G$16</f>
        <v>15055.31383897562</v>
      </c>
      <c r="F41" s="413">
        <f>'[15]4'!$G$17</f>
        <v>773.67486946753741</v>
      </c>
      <c r="G41" s="413">
        <f>'[15]4'!$G$20</f>
        <v>994.16362920170491</v>
      </c>
      <c r="H41" s="413">
        <f>'[15]4'!$G$18</f>
        <v>31.413600623317713</v>
      </c>
      <c r="I41" s="412">
        <f>'[15]4'!$G$19+'[15]4'!$G$23</f>
        <v>433.65452521614395</v>
      </c>
      <c r="J41" s="756">
        <f>'[15]4'!$G$24+0.05</f>
        <v>35567.665982651575</v>
      </c>
      <c r="K41" s="773">
        <f>'[15]4'!$D$14-0.01</f>
        <v>15714.340227090226</v>
      </c>
      <c r="L41" s="412">
        <f>SUM('[15]4'!$D$21:$D$22)</f>
        <v>3182.141540930978</v>
      </c>
      <c r="M41" s="413">
        <f>'[15]4'!$D$16</f>
        <v>15004.774966252668</v>
      </c>
      <c r="N41" s="413">
        <f>'[15]4'!$D$17</f>
        <v>417.28926462071047</v>
      </c>
      <c r="O41" s="413">
        <f>'[15]4'!$D$20-0.03</f>
        <v>1076.3355193513432</v>
      </c>
      <c r="P41" s="413">
        <f>'[15]4'!$D$18</f>
        <v>47.609695843999994</v>
      </c>
      <c r="Q41" s="413">
        <f>'[15]4'!$D$19+'[15]4'!$D$23-0.02</f>
        <v>125.33089578494304</v>
      </c>
      <c r="R41" s="376">
        <f t="shared" ref="R41" si="36">J41-C41-D41-E41-F41-G41-H41-I41</f>
        <v>7.9053259000943399E-2</v>
      </c>
      <c r="S41" s="376">
        <f t="shared" ref="S41" si="37">J41-K41-L41-M41-N41-O41-P41-Q41</f>
        <v>-0.15612722329285589</v>
      </c>
      <c r="T41" s="904"/>
      <c r="U41" s="195"/>
    </row>
    <row r="42" spans="1:21" s="970" customFormat="1" ht="16.5" customHeight="1">
      <c r="A42" s="1083"/>
      <c r="B42" s="1084" t="s">
        <v>398</v>
      </c>
      <c r="C42" s="412">
        <f>'[16]4'!$G$14</f>
        <v>15700.143074102267</v>
      </c>
      <c r="D42" s="412">
        <f>SUM('[16]4'!$G$21:$G$22)</f>
        <v>2723.0107590415628</v>
      </c>
      <c r="E42" s="413">
        <f>'[16]4'!$G$16</f>
        <v>15251.061086420788</v>
      </c>
      <c r="F42" s="413">
        <f>'[16]4'!$G$17-0.01</f>
        <v>697.84155497372308</v>
      </c>
      <c r="G42" s="413">
        <f>'[16]4'!$G$20</f>
        <v>988.06507993565378</v>
      </c>
      <c r="H42" s="413">
        <f>'[16]4'!$G$18</f>
        <v>26.39176888223102</v>
      </c>
      <c r="I42" s="412">
        <f>'[16]4'!$G$19+'[16]4'!$G$23</f>
        <v>365.84754098902715</v>
      </c>
      <c r="J42" s="756">
        <f>'[16]4'!$G$24-0.02</f>
        <v>35752.33970395926</v>
      </c>
      <c r="K42" s="773">
        <f>'[16]4'!$D$14-0.03</f>
        <v>15258.739834605341</v>
      </c>
      <c r="L42" s="412">
        <f>SUM('[16]4'!$D$21:$D$22)-0.03</f>
        <v>3464.140661623816</v>
      </c>
      <c r="M42" s="413">
        <f>'[16]4'!$D$16</f>
        <v>15259.994994514407</v>
      </c>
      <c r="N42" s="413">
        <f>'[16]4'!$D$17</f>
        <v>410.79326877411728</v>
      </c>
      <c r="O42" s="413">
        <f>'[16]4'!$D$20</f>
        <v>1210.7336174980749</v>
      </c>
      <c r="P42" s="413">
        <f>'[16]4'!$D$18</f>
        <v>24.687089738999997</v>
      </c>
      <c r="Q42" s="413">
        <f>'[16]4'!$D$19+'[16]4'!$D$23</f>
        <v>123.27691195794296</v>
      </c>
      <c r="R42" s="376">
        <f t="shared" ref="R42" si="38">J42-C42-D42-E42-F42-G42-H42-I42</f>
        <v>-2.1160385991095154E-2</v>
      </c>
      <c r="S42" s="376">
        <f t="shared" ref="S42" si="39">J42-K42-L42-M42-N42-O42-P42-Q42</f>
        <v>-2.667475343999115E-2</v>
      </c>
      <c r="T42" s="904"/>
      <c r="U42" s="195"/>
    </row>
    <row r="43" spans="1:21" s="970" customFormat="1" ht="16.5" customHeight="1">
      <c r="A43" s="1083"/>
      <c r="B43" s="1084" t="s">
        <v>399</v>
      </c>
      <c r="C43" s="412">
        <f>'[17]4'!$G$14</f>
        <v>15521.213624724694</v>
      </c>
      <c r="D43" s="412">
        <f>SUM('[17]4'!$G$21:$G$22)</f>
        <v>2498.9473184059461</v>
      </c>
      <c r="E43" s="413">
        <f>'[17]4'!$G$16</f>
        <v>16010.368943910442</v>
      </c>
      <c r="F43" s="413">
        <f>'[17]4'!$G$17</f>
        <v>577.77553701696206</v>
      </c>
      <c r="G43" s="413">
        <f>'[17]4'!$G$20</f>
        <v>965.7817757010049</v>
      </c>
      <c r="H43" s="413">
        <f>'[17]4'!$G$18</f>
        <v>26.822002002716072</v>
      </c>
      <c r="I43" s="412">
        <f>'[17]4'!$G$19+'[17]4'!$G$23</f>
        <v>337.36400620228932</v>
      </c>
      <c r="J43" s="756">
        <f>'[17]4'!$G$24</f>
        <v>35938.263207964053</v>
      </c>
      <c r="K43" s="773">
        <f>'[17]4'!$D$14-0.05</f>
        <v>15330.731985615419</v>
      </c>
      <c r="L43" s="412">
        <f>SUM('[17]4'!$D$21:$D$22)+0.02</f>
        <v>3313.6587065246335</v>
      </c>
      <c r="M43" s="413">
        <f>'[17]4'!$D$16+0.02</f>
        <v>15286.161969279263</v>
      </c>
      <c r="N43" s="413">
        <f>'[17]4'!$D$17</f>
        <v>531.32815685918069</v>
      </c>
      <c r="O43" s="413">
        <f>'[17]4'!$D$20</f>
        <v>1339.4791996992262</v>
      </c>
      <c r="P43" s="413">
        <f>'[17]4'!$D$18</f>
        <v>24.516484676999998</v>
      </c>
      <c r="Q43" s="413">
        <f>'[17]4'!$D$19+'[17]4'!$D$23</f>
        <v>112.41444761394303</v>
      </c>
      <c r="R43" s="376">
        <f t="shared" ref="R43" si="40">J43-C43-D43-E43-F43-G43-H43-I43</f>
        <v>-1.000000000323098E-2</v>
      </c>
      <c r="S43" s="376">
        <f t="shared" ref="S43" si="41">J43-K43-L43-M43-N43-O43-P43-Q43</f>
        <v>-2.7742304615003377E-2</v>
      </c>
      <c r="T43" s="904"/>
      <c r="U43" s="195"/>
    </row>
    <row r="44" spans="1:21" ht="20.25" customHeight="1">
      <c r="A44" s="273" t="s">
        <v>928</v>
      </c>
      <c r="B44" s="405"/>
      <c r="C44" s="405"/>
      <c r="D44" s="405"/>
      <c r="E44" s="405"/>
      <c r="F44" s="405"/>
      <c r="G44" s="405"/>
      <c r="H44" s="405"/>
      <c r="I44" s="405"/>
      <c r="J44" s="405"/>
      <c r="K44" s="405"/>
      <c r="L44" s="405"/>
      <c r="M44" s="405"/>
      <c r="N44" s="405"/>
      <c r="O44" s="405"/>
      <c r="P44" s="405"/>
      <c r="Q44" s="272" t="s">
        <v>929</v>
      </c>
    </row>
    <row r="45" spans="1:21" ht="14.25">
      <c r="A45" s="381"/>
      <c r="B45" s="407"/>
      <c r="C45" s="1688"/>
      <c r="D45" s="1688"/>
      <c r="E45" s="1688"/>
      <c r="F45" s="1688"/>
      <c r="G45" s="1688"/>
      <c r="H45" s="1688"/>
      <c r="I45" s="1688"/>
      <c r="J45" s="1688"/>
      <c r="K45" s="1688"/>
      <c r="L45" s="1688"/>
      <c r="M45" s="1688"/>
      <c r="N45" s="1688"/>
      <c r="O45" s="1688"/>
      <c r="P45" s="1688"/>
      <c r="Q45" s="760"/>
    </row>
    <row r="46" spans="1:21" s="195" customFormat="1" ht="15">
      <c r="A46" s="296" t="s">
        <v>957</v>
      </c>
      <c r="B46" s="296"/>
      <c r="C46" s="296"/>
      <c r="D46" s="296"/>
      <c r="E46" s="296"/>
      <c r="F46" s="296"/>
      <c r="G46" s="296"/>
      <c r="H46" s="296"/>
      <c r="I46" s="296"/>
      <c r="J46" s="296"/>
      <c r="K46" s="296"/>
      <c r="L46" s="296"/>
      <c r="M46" s="296"/>
      <c r="N46" s="296"/>
      <c r="O46" s="296"/>
      <c r="P46" s="1088"/>
      <c r="Q46" s="296"/>
    </row>
    <row r="47" spans="1:21">
      <c r="C47" s="1689"/>
      <c r="D47" s="1689"/>
      <c r="E47" s="1689"/>
      <c r="F47" s="1689"/>
      <c r="G47" s="1689"/>
      <c r="H47" s="1689"/>
      <c r="I47" s="1689"/>
      <c r="J47" s="1689"/>
      <c r="K47" s="1689"/>
      <c r="L47" s="1689"/>
      <c r="M47" s="1689"/>
      <c r="N47" s="1689"/>
      <c r="O47" s="1689"/>
      <c r="P47" s="1689"/>
      <c r="Q47" s="1689"/>
    </row>
    <row r="48" spans="1:21">
      <c r="C48" s="1689"/>
      <c r="D48" s="1689"/>
      <c r="E48" s="1689"/>
      <c r="F48" s="1689"/>
      <c r="G48" s="1689"/>
      <c r="H48" s="1689"/>
      <c r="I48" s="1689"/>
      <c r="J48" s="1689"/>
      <c r="K48" s="1689"/>
      <c r="L48" s="1689"/>
      <c r="M48" s="1689"/>
      <c r="N48" s="1689"/>
      <c r="O48" s="1689"/>
      <c r="P48" s="1689"/>
      <c r="Q48" s="1689"/>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M63"/>
  <sheetViews>
    <sheetView zoomScale="75" workbookViewId="0">
      <pane ySplit="12" topLeftCell="A34" activePane="bottomLeft" state="frozen"/>
      <selection activeCell="A49" sqref="A1:XFD1048576"/>
      <selection pane="bottomLeft" activeCell="A49" sqref="A1:XFD1048576"/>
    </sheetView>
  </sheetViews>
  <sheetFormatPr defaultColWidth="7.85546875" defaultRowHeight="15"/>
  <cols>
    <col min="1" max="1" width="9.28515625" style="406" customWidth="1"/>
    <col min="2" max="2" width="9" style="406" customWidth="1"/>
    <col min="3" max="3" width="17.7109375" style="195" customWidth="1"/>
    <col min="4" max="4" width="20.7109375" style="195" customWidth="1"/>
    <col min="5" max="5" width="17.7109375" style="195" customWidth="1"/>
    <col min="6" max="6" width="16.85546875" style="195" customWidth="1"/>
    <col min="7" max="7" width="17.7109375" style="195" customWidth="1"/>
    <col min="8" max="8" width="18.140625" style="195" customWidth="1"/>
    <col min="9" max="9" width="17" style="195" customWidth="1"/>
    <col min="10" max="10" width="18.140625" style="195" customWidth="1"/>
    <col min="11" max="11" width="21.7109375" style="195" customWidth="1"/>
    <col min="12" max="16384" width="7.85546875" style="195"/>
  </cols>
  <sheetData>
    <row r="1" spans="1:11" ht="18">
      <c r="A1" s="297" t="s">
        <v>958</v>
      </c>
      <c r="B1" s="295"/>
      <c r="C1" s="296"/>
      <c r="D1" s="296"/>
      <c r="E1" s="296"/>
      <c r="F1" s="296"/>
      <c r="G1" s="296"/>
      <c r="H1" s="296"/>
      <c r="I1" s="296"/>
      <c r="J1" s="296"/>
      <c r="K1" s="296"/>
    </row>
    <row r="2" spans="1:11" ht="18">
      <c r="A2" s="1423" t="s">
        <v>797</v>
      </c>
      <c r="B2" s="295"/>
      <c r="C2" s="296"/>
      <c r="D2" s="296"/>
      <c r="E2" s="296"/>
      <c r="F2" s="296"/>
      <c r="G2" s="296"/>
      <c r="H2" s="296"/>
      <c r="I2" s="296"/>
      <c r="J2" s="296"/>
      <c r="K2" s="296"/>
    </row>
    <row r="3" spans="1:11" ht="18">
      <c r="A3" s="297" t="s">
        <v>798</v>
      </c>
      <c r="B3" s="295"/>
      <c r="C3" s="296"/>
      <c r="D3" s="296"/>
      <c r="E3" s="296"/>
      <c r="F3" s="296"/>
      <c r="G3" s="296"/>
      <c r="H3" s="296"/>
      <c r="I3" s="296"/>
      <c r="J3" s="296"/>
      <c r="K3" s="296"/>
    </row>
    <row r="4" spans="1:11" ht="18">
      <c r="A4" s="1423" t="s">
        <v>51</v>
      </c>
      <c r="B4" s="296"/>
      <c r="C4" s="296"/>
      <c r="D4" s="296"/>
      <c r="E4" s="296"/>
      <c r="F4" s="296"/>
      <c r="G4" s="296"/>
      <c r="H4" s="296"/>
      <c r="I4" s="296"/>
      <c r="J4" s="296"/>
      <c r="K4" s="296"/>
    </row>
    <row r="5" spans="1:11" ht="18" customHeight="1">
      <c r="A5" s="297" t="s">
        <v>50</v>
      </c>
      <c r="B5" s="296"/>
      <c r="C5" s="296"/>
      <c r="D5" s="296"/>
      <c r="E5" s="296"/>
      <c r="F5" s="296"/>
      <c r="G5" s="296"/>
      <c r="H5" s="296"/>
      <c r="I5" s="296"/>
      <c r="J5" s="296"/>
      <c r="K5" s="296"/>
    </row>
    <row r="6" spans="1:11" ht="1.5" hidden="1" customHeight="1">
      <c r="A6" s="297"/>
      <c r="B6" s="295"/>
      <c r="C6" s="296"/>
      <c r="D6" s="296" t="s">
        <v>799</v>
      </c>
      <c r="E6" s="296"/>
      <c r="F6" s="296"/>
      <c r="G6" s="296"/>
      <c r="H6" s="296"/>
      <c r="I6" s="296"/>
      <c r="J6" s="296"/>
      <c r="K6" s="296"/>
    </row>
    <row r="7" spans="1:11" ht="8.4499999999999993" hidden="1" customHeight="1">
      <c r="A7" s="297"/>
      <c r="B7" s="295"/>
      <c r="C7" s="296"/>
      <c r="D7" s="296"/>
      <c r="E7" s="296"/>
      <c r="F7" s="296"/>
      <c r="G7" s="296"/>
      <c r="H7" s="296"/>
      <c r="I7" s="296"/>
      <c r="J7" s="296"/>
      <c r="K7" s="296"/>
    </row>
    <row r="8" spans="1:11" ht="1.5" hidden="1" customHeight="1">
      <c r="A8" s="297"/>
      <c r="B8" s="295"/>
      <c r="C8" s="296"/>
      <c r="D8" s="296"/>
      <c r="E8" s="296"/>
      <c r="F8" s="296"/>
      <c r="G8" s="296"/>
      <c r="H8" s="296"/>
      <c r="I8" s="296"/>
      <c r="J8" s="296"/>
      <c r="K8" s="296"/>
    </row>
    <row r="9" spans="1:11" ht="0.6" customHeight="1">
      <c r="A9" s="297"/>
      <c r="B9" s="295"/>
      <c r="C9" s="296"/>
      <c r="D9" s="296"/>
      <c r="E9" s="296"/>
      <c r="F9" s="296"/>
      <c r="G9" s="296"/>
      <c r="H9" s="296"/>
      <c r="I9" s="296"/>
      <c r="J9" s="296"/>
      <c r="K9" s="296"/>
    </row>
    <row r="10" spans="1:11">
      <c r="A10" s="2130" t="s">
        <v>959</v>
      </c>
      <c r="B10" s="2130"/>
      <c r="C10" s="298"/>
      <c r="D10" s="298"/>
      <c r="E10" s="298"/>
      <c r="F10" s="298"/>
      <c r="G10" s="298"/>
      <c r="H10" s="298"/>
      <c r="I10" s="298"/>
      <c r="J10" s="298"/>
      <c r="K10" s="264" t="s">
        <v>960</v>
      </c>
    </row>
    <row r="11" spans="1:11" s="305" customFormat="1" ht="53.45" customHeight="1">
      <c r="A11" s="306" t="s">
        <v>364</v>
      </c>
      <c r="B11" s="307"/>
      <c r="C11" s="308" t="s">
        <v>961</v>
      </c>
      <c r="D11" s="308" t="s">
        <v>962</v>
      </c>
      <c r="E11" s="308" t="s">
        <v>963</v>
      </c>
      <c r="F11" s="1093" t="s">
        <v>964</v>
      </c>
      <c r="G11" s="1093" t="s">
        <v>965</v>
      </c>
      <c r="H11" s="1093" t="s">
        <v>966</v>
      </c>
      <c r="I11" s="308" t="s">
        <v>967</v>
      </c>
      <c r="J11" s="1093" t="s">
        <v>968</v>
      </c>
      <c r="K11" s="1093" t="s">
        <v>969</v>
      </c>
    </row>
    <row r="12" spans="1:11" s="172" customFormat="1" ht="53.45" customHeight="1">
      <c r="A12" s="193" t="s">
        <v>372</v>
      </c>
      <c r="B12" s="179"/>
      <c r="C12" s="180" t="s">
        <v>970</v>
      </c>
      <c r="D12" s="180" t="s">
        <v>971</v>
      </c>
      <c r="E12" s="180" t="s">
        <v>972</v>
      </c>
      <c r="F12" s="181" t="s">
        <v>973</v>
      </c>
      <c r="G12" s="181" t="s">
        <v>974</v>
      </c>
      <c r="H12" s="180" t="s">
        <v>975</v>
      </c>
      <c r="I12" s="181" t="s">
        <v>976</v>
      </c>
      <c r="J12" s="181" t="s">
        <v>977</v>
      </c>
      <c r="K12" s="181" t="s">
        <v>978</v>
      </c>
    </row>
    <row r="13" spans="1:11" s="327" customFormat="1" ht="20.25" customHeight="1">
      <c r="A13" s="1578">
        <v>2010</v>
      </c>
      <c r="B13" s="1678"/>
      <c r="C13" s="1679">
        <v>23.066296491504751</v>
      </c>
      <c r="D13" s="1679">
        <v>22.003713761803898</v>
      </c>
      <c r="E13" s="1679">
        <v>52.754957269543425</v>
      </c>
      <c r="F13" s="1679">
        <v>46.740933227278774</v>
      </c>
      <c r="G13" s="1679">
        <v>45.854346833155468</v>
      </c>
      <c r="H13" s="1679">
        <v>43.723467301188435</v>
      </c>
      <c r="I13" s="1679">
        <v>67.733440406033594</v>
      </c>
      <c r="J13" s="1679">
        <v>69.115279869520364</v>
      </c>
      <c r="K13" s="1679">
        <v>18.162037759865949</v>
      </c>
    </row>
    <row r="14" spans="1:11" s="435" customFormat="1" ht="14.25" customHeight="1">
      <c r="A14" s="380">
        <v>2011</v>
      </c>
      <c r="B14" s="434"/>
      <c r="C14" s="1680">
        <v>25.43633124896192</v>
      </c>
      <c r="D14" s="1680">
        <v>24.546544285382122</v>
      </c>
      <c r="E14" s="1681">
        <v>53.965496941903616</v>
      </c>
      <c r="F14" s="1681">
        <v>44.51577254930335</v>
      </c>
      <c r="G14" s="1681">
        <v>44.508501220773155</v>
      </c>
      <c r="H14" s="1681">
        <v>47.134433462820368</v>
      </c>
      <c r="I14" s="1681">
        <v>63.138580520709915</v>
      </c>
      <c r="J14" s="1681">
        <v>63.884588277334004</v>
      </c>
      <c r="K14" s="1681">
        <v>18.713192026806961</v>
      </c>
    </row>
    <row r="15" spans="1:11" s="435" customFormat="1" ht="14.25" customHeight="1">
      <c r="A15" s="380">
        <v>2012</v>
      </c>
      <c r="B15" s="434"/>
      <c r="C15" s="1680">
        <v>25.399908170987189</v>
      </c>
      <c r="D15" s="1680">
        <v>24.665578039916586</v>
      </c>
      <c r="E15" s="1681">
        <v>52.871133504277722</v>
      </c>
      <c r="F15" s="1681">
        <v>43.701229891897569</v>
      </c>
      <c r="G15" s="1681">
        <v>44.375797495428408</v>
      </c>
      <c r="H15" s="1681">
        <v>48.041164407667033</v>
      </c>
      <c r="I15" s="1681">
        <v>62.304801512334727</v>
      </c>
      <c r="J15" s="1681">
        <v>61.605824723822955</v>
      </c>
      <c r="K15" s="1681">
        <v>16.903926752488641</v>
      </c>
    </row>
    <row r="16" spans="1:11" s="435" customFormat="1" ht="14.25" customHeight="1">
      <c r="A16" s="380">
        <v>2013</v>
      </c>
      <c r="B16" s="434"/>
      <c r="C16" s="1680">
        <v>25.321244579757348</v>
      </c>
      <c r="D16" s="1680">
        <v>24.704070126625275</v>
      </c>
      <c r="E16" s="1681">
        <v>48.031326952472448</v>
      </c>
      <c r="F16" s="1681">
        <v>45.251114153125584</v>
      </c>
      <c r="G16" s="1681">
        <v>46.503628711820006</v>
      </c>
      <c r="H16" s="1681">
        <v>52.71818662185413</v>
      </c>
      <c r="I16" s="1681">
        <v>58.701153156266926</v>
      </c>
      <c r="J16" s="1681">
        <v>58.263489429471413</v>
      </c>
      <c r="K16" s="1681">
        <v>15.638828980691029</v>
      </c>
    </row>
    <row r="17" spans="1:13" s="435" customFormat="1" ht="14.25" customHeight="1">
      <c r="A17" s="380">
        <v>2014</v>
      </c>
      <c r="B17" s="434"/>
      <c r="C17" s="1680">
        <v>23.655361261403229</v>
      </c>
      <c r="D17" s="1680">
        <v>23.040157291028965</v>
      </c>
      <c r="E17" s="1681">
        <v>45.622760065015108</v>
      </c>
      <c r="F17" s="1681">
        <v>48.217960931846669</v>
      </c>
      <c r="G17" s="1681">
        <v>47.811008202621146</v>
      </c>
      <c r="H17" s="1681">
        <v>51.849912692026855</v>
      </c>
      <c r="I17" s="1681">
        <v>59.315340321667129</v>
      </c>
      <c r="J17" s="1681">
        <v>59.380563055394262</v>
      </c>
      <c r="K17" s="1681">
        <v>16.680610307419016</v>
      </c>
    </row>
    <row r="18" spans="1:13" s="435" customFormat="1" ht="14.25" customHeight="1">
      <c r="A18" s="380">
        <v>2015</v>
      </c>
      <c r="B18" s="434"/>
      <c r="C18" s="1680">
        <v>25.388624266789424</v>
      </c>
      <c r="D18" s="1680">
        <v>24.427082156925195</v>
      </c>
      <c r="E18" s="1681">
        <v>47.979932357113007</v>
      </c>
      <c r="F18" s="1681">
        <v>46.529695669283846</v>
      </c>
      <c r="G18" s="1681">
        <v>47.731689614943505</v>
      </c>
      <c r="H18" s="1681">
        <v>52.915089745902002</v>
      </c>
      <c r="I18" s="1681">
        <v>56.695584290403026</v>
      </c>
      <c r="J18" s="1681">
        <v>58.205021528360213</v>
      </c>
      <c r="K18" s="1681">
        <v>16.934715036862983</v>
      </c>
    </row>
    <row r="19" spans="1:13" s="435" customFormat="1" ht="14.25" customHeight="1">
      <c r="A19" s="380">
        <v>2016</v>
      </c>
      <c r="B19" s="434"/>
      <c r="C19" s="1680">
        <v>25.83081099929084</v>
      </c>
      <c r="D19" s="1680">
        <v>24.890837291875794</v>
      </c>
      <c r="E19" s="1681">
        <v>48.664323547122407</v>
      </c>
      <c r="F19" s="1681">
        <v>44.418336607058009</v>
      </c>
      <c r="G19" s="1681">
        <v>46.303040931277344</v>
      </c>
      <c r="H19" s="1681">
        <v>53.079564486863717</v>
      </c>
      <c r="I19" s="1681">
        <v>54.945917151097461</v>
      </c>
      <c r="J19" s="1681">
        <v>58.139690772407818</v>
      </c>
      <c r="K19" s="1681">
        <v>16.783021556601007</v>
      </c>
    </row>
    <row r="20" spans="1:13" s="435" customFormat="1" ht="14.25" customHeight="1">
      <c r="A20" s="380">
        <v>2017</v>
      </c>
      <c r="B20" s="434"/>
      <c r="C20" s="1680">
        <v>27.714459608507212</v>
      </c>
      <c r="D20" s="1680">
        <v>26.652959778508897</v>
      </c>
      <c r="E20" s="1681">
        <v>51.221743402580231</v>
      </c>
      <c r="F20" s="1681">
        <v>42.575579779019534</v>
      </c>
      <c r="G20" s="1681">
        <v>45.511107063417427</v>
      </c>
      <c r="H20" s="1681">
        <v>54.106826061510297</v>
      </c>
      <c r="I20" s="1681">
        <v>54.917181607166846</v>
      </c>
      <c r="J20" s="1681">
        <v>59.279004709879665</v>
      </c>
      <c r="K20" s="1681">
        <v>16.652050282337196</v>
      </c>
    </row>
    <row r="21" spans="1:13" s="411" customFormat="1" ht="14.25" customHeight="1">
      <c r="A21" s="905">
        <v>2018</v>
      </c>
      <c r="B21" s="1388"/>
      <c r="C21" s="1040">
        <f t="shared" ref="C21:K21" si="0">C25</f>
        <v>29.229392260732599</v>
      </c>
      <c r="D21" s="1040">
        <f t="shared" si="0"/>
        <v>28.42771628914825</v>
      </c>
      <c r="E21" s="1040">
        <f t="shared" si="0"/>
        <v>53.320863242578049</v>
      </c>
      <c r="F21" s="1040">
        <f t="shared" si="0"/>
        <v>41.848683130138589</v>
      </c>
      <c r="G21" s="1040">
        <f t="shared" si="0"/>
        <v>45.247495653375253</v>
      </c>
      <c r="H21" s="1040">
        <f t="shared" si="0"/>
        <v>54.817927698875273</v>
      </c>
      <c r="I21" s="1040">
        <f t="shared" si="0"/>
        <v>51.524442796780598</v>
      </c>
      <c r="J21" s="1040">
        <f t="shared" si="0"/>
        <v>57.7874563474154</v>
      </c>
      <c r="K21" s="1040">
        <f t="shared" si="0"/>
        <v>16.209179203885451</v>
      </c>
      <c r="L21" s="1682"/>
      <c r="M21" s="1062"/>
    </row>
    <row r="22" spans="1:13" s="411" customFormat="1" ht="14.25" customHeight="1">
      <c r="A22" s="1193">
        <v>2019</v>
      </c>
      <c r="B22" s="1683"/>
      <c r="C22" s="1684">
        <f t="shared" ref="C22:K22" si="1">C29</f>
        <v>27.527261202876627</v>
      </c>
      <c r="D22" s="1684">
        <f t="shared" si="1"/>
        <v>26.674734929943028</v>
      </c>
      <c r="E22" s="1684">
        <f t="shared" si="1"/>
        <v>54.197952287785419</v>
      </c>
      <c r="F22" s="1684">
        <f t="shared" si="1"/>
        <v>43.605652949504154</v>
      </c>
      <c r="G22" s="1684">
        <f t="shared" si="1"/>
        <v>46.373348297024215</v>
      </c>
      <c r="H22" s="1684">
        <f t="shared" si="1"/>
        <v>50.790223690942724</v>
      </c>
      <c r="I22" s="1684">
        <f t="shared" si="1"/>
        <v>55.166618264562779</v>
      </c>
      <c r="J22" s="1684">
        <f t="shared" si="1"/>
        <v>64.110254402548989</v>
      </c>
      <c r="K22" s="1684">
        <f t="shared" si="1"/>
        <v>16.580019082289585</v>
      </c>
      <c r="L22" s="1682"/>
      <c r="M22" s="1062"/>
    </row>
    <row r="23" spans="1:13" s="411" customFormat="1" ht="20.25" customHeight="1">
      <c r="A23" s="905">
        <v>2018</v>
      </c>
      <c r="B23" s="1388" t="s">
        <v>223</v>
      </c>
      <c r="C23" s="1040">
        <v>28.670634105595404</v>
      </c>
      <c r="D23" s="1040">
        <v>27.556197300790053</v>
      </c>
      <c r="E23" s="1040">
        <v>52.193701434434089</v>
      </c>
      <c r="F23" s="1040">
        <v>42.183937677552606</v>
      </c>
      <c r="G23" s="1040">
        <v>46.106341393230153</v>
      </c>
      <c r="H23" s="1040">
        <v>54.9312145290396</v>
      </c>
      <c r="I23" s="1040">
        <v>52.558892707552396</v>
      </c>
      <c r="J23" s="1040">
        <v>56.964425810428821</v>
      </c>
      <c r="K23" s="1040">
        <v>15.86805526810525</v>
      </c>
      <c r="M23" s="1062"/>
    </row>
    <row r="24" spans="1:13" s="411" customFormat="1" ht="14.25" customHeight="1">
      <c r="A24" s="905"/>
      <c r="B24" s="1388" t="s">
        <v>224</v>
      </c>
      <c r="C24" s="1040">
        <v>28.819035764187433</v>
      </c>
      <c r="D24" s="1040">
        <v>27.990458296258591</v>
      </c>
      <c r="E24" s="1040">
        <v>52.150426763261798</v>
      </c>
      <c r="F24" s="1040">
        <v>42.762733484788491</v>
      </c>
      <c r="G24" s="1040">
        <v>45.964605591287061</v>
      </c>
      <c r="H24" s="1040">
        <v>55.261361321187621</v>
      </c>
      <c r="I24" s="1040">
        <v>51.775051284032507</v>
      </c>
      <c r="J24" s="1040">
        <v>57.277656706594669</v>
      </c>
      <c r="K24" s="1040">
        <v>16.034020816018053</v>
      </c>
      <c r="L24" s="1682"/>
      <c r="M24" s="1062"/>
    </row>
    <row r="25" spans="1:13" s="411" customFormat="1" ht="14.25" customHeight="1">
      <c r="A25" s="905"/>
      <c r="B25" s="1388" t="s">
        <v>225</v>
      </c>
      <c r="C25" s="1040">
        <v>29.229392260732599</v>
      </c>
      <c r="D25" s="1040">
        <v>28.42771628914825</v>
      </c>
      <c r="E25" s="1040">
        <v>53.320863242578049</v>
      </c>
      <c r="F25" s="1040">
        <v>41.848683130138589</v>
      </c>
      <c r="G25" s="1040">
        <v>45.247495653375253</v>
      </c>
      <c r="H25" s="1040">
        <v>54.817927698875273</v>
      </c>
      <c r="I25" s="1040">
        <v>51.524442796780598</v>
      </c>
      <c r="J25" s="1040">
        <v>57.7874563474154</v>
      </c>
      <c r="K25" s="1040">
        <v>16.209179203885451</v>
      </c>
      <c r="L25" s="1682"/>
      <c r="M25" s="1062"/>
    </row>
    <row r="26" spans="1:13" s="411" customFormat="1" ht="20.25" customHeight="1">
      <c r="A26" s="905">
        <v>2019</v>
      </c>
      <c r="B26" s="1388" t="s">
        <v>222</v>
      </c>
      <c r="C26" s="1040">
        <v>27.957708607894034</v>
      </c>
      <c r="D26" s="1040">
        <v>27.064897957654782</v>
      </c>
      <c r="E26" s="1040">
        <v>54.339075275355505</v>
      </c>
      <c r="F26" s="1040">
        <v>42.139911916833924</v>
      </c>
      <c r="G26" s="1040">
        <v>45.757260896008169</v>
      </c>
      <c r="H26" s="1040">
        <v>51.450468132227748</v>
      </c>
      <c r="I26" s="1040">
        <v>54.559182407549478</v>
      </c>
      <c r="J26" s="1040">
        <v>60.815411201609272</v>
      </c>
      <c r="K26" s="1040">
        <v>16.749356293282965</v>
      </c>
      <c r="M26" s="1062"/>
    </row>
    <row r="27" spans="1:13" s="411" customFormat="1" ht="14.25" customHeight="1">
      <c r="A27" s="905"/>
      <c r="B27" s="1388" t="s">
        <v>223</v>
      </c>
      <c r="C27" s="1040">
        <f t="shared" ref="C27:K27" si="2">C33</f>
        <v>28.634893608663475</v>
      </c>
      <c r="D27" s="1040">
        <f t="shared" si="2"/>
        <v>27.643865844800281</v>
      </c>
      <c r="E27" s="1040">
        <f t="shared" si="2"/>
        <v>56.376303928343027</v>
      </c>
      <c r="F27" s="1040">
        <f t="shared" si="2"/>
        <v>42.115341129089657</v>
      </c>
      <c r="G27" s="1040">
        <f t="shared" si="2"/>
        <v>45.520899066234001</v>
      </c>
      <c r="H27" s="1040">
        <f t="shared" si="2"/>
        <v>50.792428047535346</v>
      </c>
      <c r="I27" s="1040">
        <f t="shared" si="2"/>
        <v>56.41594731083979</v>
      </c>
      <c r="J27" s="1040">
        <f t="shared" si="2"/>
        <v>64.242455358206499</v>
      </c>
      <c r="K27" s="1040">
        <f t="shared" si="2"/>
        <v>17.18287935036782</v>
      </c>
      <c r="M27" s="1062"/>
    </row>
    <row r="28" spans="1:13" s="411" customFormat="1" ht="14.25" customHeight="1">
      <c r="A28" s="905"/>
      <c r="B28" s="1388" t="s">
        <v>224</v>
      </c>
      <c r="C28" s="1040">
        <f t="shared" ref="C28:K28" si="3">C36</f>
        <v>28.184151325392936</v>
      </c>
      <c r="D28" s="1040">
        <f t="shared" si="3"/>
        <v>27.404468600912715</v>
      </c>
      <c r="E28" s="1040">
        <f t="shared" si="3"/>
        <v>56.783071176867239</v>
      </c>
      <c r="F28" s="1040">
        <f t="shared" si="3"/>
        <v>42.142674312610339</v>
      </c>
      <c r="G28" s="1040">
        <f t="shared" si="3"/>
        <v>45.381164046694359</v>
      </c>
      <c r="H28" s="1040">
        <f t="shared" si="3"/>
        <v>49.63477800910993</v>
      </c>
      <c r="I28" s="1040">
        <f t="shared" si="3"/>
        <v>57.159522250974916</v>
      </c>
      <c r="J28" s="1040">
        <f t="shared" si="3"/>
        <v>65.156625253367096</v>
      </c>
      <c r="K28" s="1040">
        <f t="shared" si="3"/>
        <v>16.621753127012674</v>
      </c>
      <c r="M28" s="1062"/>
    </row>
    <row r="29" spans="1:13" s="411" customFormat="1" ht="14.25" customHeight="1">
      <c r="A29" s="905"/>
      <c r="B29" s="1388" t="s">
        <v>225</v>
      </c>
      <c r="C29" s="1040">
        <f t="shared" ref="C29:K29" si="4">C39</f>
        <v>27.527261202876627</v>
      </c>
      <c r="D29" s="1040">
        <f t="shared" si="4"/>
        <v>26.674734929943028</v>
      </c>
      <c r="E29" s="1040">
        <f t="shared" si="4"/>
        <v>54.197952287785419</v>
      </c>
      <c r="F29" s="1040">
        <f t="shared" si="4"/>
        <v>43.605652949504154</v>
      </c>
      <c r="G29" s="1040">
        <f t="shared" si="4"/>
        <v>46.373348297024215</v>
      </c>
      <c r="H29" s="1040">
        <f t="shared" si="4"/>
        <v>50.790223690942724</v>
      </c>
      <c r="I29" s="1040">
        <f t="shared" si="4"/>
        <v>55.166618264562779</v>
      </c>
      <c r="J29" s="1040">
        <f t="shared" si="4"/>
        <v>64.110254402548989</v>
      </c>
      <c r="K29" s="1040">
        <f t="shared" si="4"/>
        <v>16.580019082289585</v>
      </c>
      <c r="M29" s="1062"/>
    </row>
    <row r="30" spans="1:13" s="411" customFormat="1" ht="21" customHeight="1">
      <c r="A30" s="1193">
        <v>2020</v>
      </c>
      <c r="B30" s="1683" t="s">
        <v>222</v>
      </c>
      <c r="C30" s="1684">
        <f t="shared" ref="C30:K30" si="5">C42</f>
        <v>28.321439727086016</v>
      </c>
      <c r="D30" s="1684">
        <f t="shared" si="5"/>
        <v>27.086658334140747</v>
      </c>
      <c r="E30" s="1684">
        <f t="shared" si="5"/>
        <v>58.091368032229582</v>
      </c>
      <c r="F30" s="1684">
        <f t="shared" si="5"/>
        <v>42.142064521998421</v>
      </c>
      <c r="G30" s="1684">
        <f t="shared" si="5"/>
        <v>46.527833028616776</v>
      </c>
      <c r="H30" s="1684">
        <f t="shared" si="5"/>
        <v>48.75326694212648</v>
      </c>
      <c r="I30" s="1684">
        <f t="shared" si="5"/>
        <v>58.077765558764824</v>
      </c>
      <c r="J30" s="1684">
        <f t="shared" si="5"/>
        <v>67.445753838380568</v>
      </c>
      <c r="K30" s="1684">
        <f t="shared" si="5"/>
        <v>18.08419537991707</v>
      </c>
      <c r="M30" s="1062"/>
    </row>
    <row r="31" spans="1:13" s="411" customFormat="1" ht="20.25" customHeight="1">
      <c r="A31" s="905">
        <v>2019</v>
      </c>
      <c r="B31" s="1061" t="s">
        <v>399</v>
      </c>
      <c r="C31" s="1040">
        <f>SUM('[5]1'!$C$76:$D$76)/'[5]1'!$I$98%</f>
        <v>28.799866350487438</v>
      </c>
      <c r="D31" s="1040">
        <f>SUM('[5]1'!$C$79:$D$83)/'[5]1'!$I$98%</f>
        <v>27.885421273853677</v>
      </c>
      <c r="E31" s="1040">
        <f>SUM('[5]1'!$C$76:$D$76)/('[5]2'!$I$15+'[5]2'!$I$23+'[5]2'!$K$15+'[5]2'!$K$23)%</f>
        <v>55.450335866195786</v>
      </c>
      <c r="F31" s="1040">
        <f>SUM('[5]1'!$E$98:$H$98)/'[5]1'!$I$98%</f>
        <v>41.137584354092205</v>
      </c>
      <c r="G31" s="1040">
        <f>SUM('[5]1'!$E$38:$H$38)/'[5]1'!$I$38%</f>
        <v>45.135353301390232</v>
      </c>
      <c r="H31" s="1040">
        <f>('[5]2'!$I$15+'[5]2'!$I$23+'[5]2'!$K$15+'[5]2'!$K$23)/'[5]1'!$I$98%</f>
        <v>51.938127877138278</v>
      </c>
      <c r="I31" s="1040">
        <f>('[5]2'!$I$15+'[5]2'!$K$15)/('[5]2'!$I$15+'[5]2'!$I$23+'[5]2'!$K$15+'[5]2'!$K$23)%</f>
        <v>55.862015154684173</v>
      </c>
      <c r="J31" s="1040">
        <f>(SUM('[5]2'!$E$15:$H$15)+SUM('[5]2'!$E$23:$H$23))/('[5]2'!$I$15+'[5]2'!$I$23+'[5]2'!$K$15+'[5]2'!$K$23)%</f>
        <v>62.551808381828344</v>
      </c>
      <c r="K31" s="1040">
        <f>(SUM('[5]2'!$E$16:$H$16)+SUM('[5]2'!$E$24:$H$24))/('[5]2'!$I$15+'[5]2'!$I$23+'[5]2'!$K$15+'[5]2'!$K$23)%</f>
        <v>17.195424780594834</v>
      </c>
      <c r="M31" s="1062"/>
    </row>
    <row r="32" spans="1:13" s="411" customFormat="1" ht="14.25" customHeight="1">
      <c r="A32" s="905"/>
      <c r="B32" s="1061" t="s">
        <v>400</v>
      </c>
      <c r="C32" s="1040">
        <f>SUM('[6]1'!$C$76:$D$76)/'[6]1'!$I$98%</f>
        <v>28.502623873828732</v>
      </c>
      <c r="D32" s="1040">
        <f>SUM('[6]1'!$C$79:$D$83)/'[6]1'!$I$98%</f>
        <v>27.569601004037271</v>
      </c>
      <c r="E32" s="1040">
        <f>SUM('[6]1'!$C$76:$D$76)/('[6]2'!$I$15+'[6]2'!$I$23+'[6]2'!$K$15+'[6]2'!$K$23)%</f>
        <v>56.634634174218277</v>
      </c>
      <c r="F32" s="1040">
        <f>SUM('[6]1'!$E$98:$H$98)/'[6]1'!$I$98%</f>
        <v>41.878424748928829</v>
      </c>
      <c r="G32" s="1040">
        <f>SUM('[6]1'!$E$38:$H$38)/'[6]1'!$I$38%</f>
        <v>45.45740375833315</v>
      </c>
      <c r="H32" s="1040">
        <f>('[6]2'!$I$15+'[6]2'!$I$23+'[6]2'!$K$15+'[6]2'!$K$23)/'[6]1'!$I$98%</f>
        <v>50.327196934210882</v>
      </c>
      <c r="I32" s="1040">
        <f>('[6]2'!$I$15+'[6]2'!$K$15)/('[6]2'!$I$15+'[6]2'!$I$23+'[6]2'!$K$15+'[6]2'!$K$23)%</f>
        <v>57.160090305308294</v>
      </c>
      <c r="J32" s="1040">
        <f>(SUM('[6]2'!$E$15:$H$15)+SUM('[6]2'!$E$23:$H$23))/('[6]2'!$I$15+'[6]2'!$I$23+'[6]2'!$K$15+'[6]2'!$K$23)%</f>
        <v>63.30100165302359</v>
      </c>
      <c r="K32" s="1040">
        <f>(SUM('[6]2'!$E$16:$H$16)+SUM('[6]2'!$E$24:$H$24))/('[6]2'!$I$15+'[6]2'!$I$23+'[6]2'!$K$15+'[6]2'!$K$23)%</f>
        <v>16.74135616858662</v>
      </c>
      <c r="M32" s="1062"/>
    </row>
    <row r="33" spans="1:13" s="411" customFormat="1" ht="14.25" customHeight="1">
      <c r="A33" s="905"/>
      <c r="B33" s="1061" t="s">
        <v>401</v>
      </c>
      <c r="C33" s="1040">
        <f>SUM('[7]1'!$C$76:$D$76)/'[7]1'!$I$98%</f>
        <v>28.634893608663475</v>
      </c>
      <c r="D33" s="1040">
        <f>SUM('[7]1'!$C$79:$D$83)/'[7]1'!$I$98%</f>
        <v>27.643865844800281</v>
      </c>
      <c r="E33" s="1040">
        <f>SUM('[7]1'!$C$76:$D$76)/('[7]2'!$I$15+'[7]2'!$I$23+'[7]2'!$K$15+'[7]2'!$K$23)%</f>
        <v>56.376303928343027</v>
      </c>
      <c r="F33" s="1040">
        <f>SUM('[7]1'!$E$98:$H$98)/'[7]1'!$I$98%</f>
        <v>42.115341129089657</v>
      </c>
      <c r="G33" s="1040">
        <f>SUM('[7]1'!$E$38:$H$38)/'[7]1'!$I$38%</f>
        <v>45.520899066234001</v>
      </c>
      <c r="H33" s="1040">
        <f>('[7]2'!$I$15+'[7]2'!$I$23+'[7]2'!$K$15+'[7]2'!$K$23)/'[7]1'!$I$98%</f>
        <v>50.792428047535346</v>
      </c>
      <c r="I33" s="1040">
        <f>('[7]2'!$I$15+'[7]2'!$K$15)/('[7]2'!$I$15+'[7]2'!$I$23+'[7]2'!$K$15+'[7]2'!$K$23)%</f>
        <v>56.41594731083979</v>
      </c>
      <c r="J33" s="1040">
        <f>(SUM('[7]2'!$E$15:$H$15)+SUM('[7]2'!$E$23:$H$23))/('[7]2'!$I$15+'[7]2'!$I$23+'[7]2'!$K$15+'[7]2'!$K$23)%</f>
        <v>64.242455358206499</v>
      </c>
      <c r="K33" s="1040">
        <f>(SUM('[7]2'!$E$16:$H$16)+SUM('[7]2'!$E$24:$H$24))/('[7]2'!$I$15+'[7]2'!$I$23+'[7]2'!$K$15+'[7]2'!$K$23)%</f>
        <v>17.18287935036782</v>
      </c>
      <c r="M33" s="1062"/>
    </row>
    <row r="34" spans="1:13" s="411" customFormat="1" ht="14.25" customHeight="1">
      <c r="A34" s="905"/>
      <c r="B34" s="1061" t="s">
        <v>402</v>
      </c>
      <c r="C34" s="1040">
        <f>SUM('[8]1'!$C$76:$D$76)/'[8]1'!$I$98%</f>
        <v>28.315007752509182</v>
      </c>
      <c r="D34" s="1040">
        <f>SUM('[8]1'!$C$79:$D$83)/'[8]1'!$I$98%</f>
        <v>27.404528128019614</v>
      </c>
      <c r="E34" s="1040">
        <f>SUM('[8]1'!$C$76:$D$76)/('[8]2'!$I$15+'[8]2'!$I$23+'[8]2'!$K$15+'[8]2'!$K$23)%</f>
        <v>56.975557549874267</v>
      </c>
      <c r="F34" s="1040">
        <f>SUM('[8]1'!$E$98:$H$98)/'[8]1'!$I$98%</f>
        <v>42.436203217785319</v>
      </c>
      <c r="G34" s="1040">
        <f>SUM('[8]1'!$E$38:$H$38)/'[8]1'!$I$38%</f>
        <v>45.859815115489276</v>
      </c>
      <c r="H34" s="1040">
        <f>('[8]2'!$I$15+'[8]2'!$I$23+'[8]2'!$K$15+'[8]2'!$K$23)/'[8]1'!$I$98%</f>
        <v>49.696762910522267</v>
      </c>
      <c r="I34" s="1040">
        <f>('[8]2'!$I$15+'[8]2'!$K$15)/('[8]2'!$I$15+'[8]2'!$I$23+'[8]2'!$K$15+'[8]2'!$K$23)%</f>
        <v>56.652876759095051</v>
      </c>
      <c r="J34" s="1040">
        <f>(SUM('[8]2'!$E$15:$H$15)+SUM('[8]2'!$E$23:$H$23))/('[8]2'!$I$15+'[8]2'!$I$23+'[8]2'!$K$15+'[8]2'!$K$23)%</f>
        <v>64.248010405317686</v>
      </c>
      <c r="K34" s="1040">
        <f>(SUM('[8]2'!$E$16:$H$16)+SUM('[8]2'!$E$24:$H$24))/('[8]2'!$I$15+'[8]2'!$I$23+'[8]2'!$K$15+'[8]2'!$K$23)%</f>
        <v>17.07696353583566</v>
      </c>
      <c r="M34" s="1062"/>
    </row>
    <row r="35" spans="1:13" s="411" customFormat="1" ht="14.25" customHeight="1">
      <c r="A35" s="905"/>
      <c r="B35" s="1061" t="s">
        <v>403</v>
      </c>
      <c r="C35" s="1040">
        <f>SUM('[9]1'!$C$76:$D$76)/'[9]1'!$I$98%</f>
        <v>28.214396072432219</v>
      </c>
      <c r="D35" s="1040">
        <f>SUM('[9]1'!$C$79:$D$83)/'[9]1'!$I$98%</f>
        <v>27.388134830207459</v>
      </c>
      <c r="E35" s="1040">
        <f>SUM('[9]1'!$C$76:$D$76)/('[9]2'!$I$15+'[9]2'!$I$23+'[9]2'!$K$15+'[9]2'!$K$23)%</f>
        <v>56.10339778349266</v>
      </c>
      <c r="F35" s="1040">
        <f>SUM('[9]1'!$E$98:$H$98)/'[9]1'!$I$98%</f>
        <v>42.905367684691193</v>
      </c>
      <c r="G35" s="1040">
        <f>SUM('[9]1'!$E$38:$H$38)/'[9]1'!$I$38%</f>
        <v>46.107520516086034</v>
      </c>
      <c r="H35" s="1040">
        <f>('[9]2'!$I$15+'[9]2'!$I$23+'[9]2'!$K$15+'[9]2'!$K$23)/'[9]1'!$I$98%</f>
        <v>50.289995235785454</v>
      </c>
      <c r="I35" s="1040">
        <f>('[9]2'!$I$15+'[9]2'!$K$15)/('[9]2'!$I$15+'[9]2'!$I$23+'[9]2'!$K$15+'[9]2'!$K$23)%</f>
        <v>56.391593266208766</v>
      </c>
      <c r="J35" s="1040">
        <f>(SUM('[9]2'!$E$15:$H$15)+SUM('[9]2'!$E$23:$H$23))/('[9]2'!$I$15+'[9]2'!$I$23+'[9]2'!$K$15+'[9]2'!$K$23)%</f>
        <v>64.151461227867827</v>
      </c>
      <c r="K35" s="1040">
        <f>(SUM('[9]2'!$E$16:$H$16)+SUM('[9]2'!$E$24:$H$24))/('[9]2'!$I$15+'[9]2'!$I$23+'[9]2'!$K$15+'[9]2'!$K$23)%</f>
        <v>16.226847877819139</v>
      </c>
      <c r="M35" s="1062"/>
    </row>
    <row r="36" spans="1:13" s="411" customFormat="1" ht="14.25" customHeight="1">
      <c r="A36" s="905"/>
      <c r="B36" s="1061" t="s">
        <v>404</v>
      </c>
      <c r="C36" s="1040">
        <f>SUM('[10]1'!$C$76:$D$76)/'[10]1'!$I$98%</f>
        <v>28.184151325392936</v>
      </c>
      <c r="D36" s="1040">
        <f>SUM('[10]1'!$C$79:$D$83)/'[10]1'!$I$98%</f>
        <v>27.404468600912715</v>
      </c>
      <c r="E36" s="1040">
        <f>SUM('[10]1'!$C$76:$D$76)/('[10]2'!$I$15+'[10]2'!$I$23+'[10]2'!$K$15+'[10]2'!$K$23)%</f>
        <v>56.783071176867239</v>
      </c>
      <c r="F36" s="1040">
        <f>SUM('[10]1'!$E$98:$H$98)/'[10]1'!$I$98%</f>
        <v>42.142674312610339</v>
      </c>
      <c r="G36" s="1040">
        <f>SUM('[10]1'!$E$38:$H$38)/'[10]1'!$I$38%</f>
        <v>45.381164046694359</v>
      </c>
      <c r="H36" s="1040">
        <f>('[10]2'!$I$15+'[10]2'!$I$23+'[10]2'!$K$15+'[10]2'!$K$23)/'[10]1'!$I$98%</f>
        <v>49.63477800910993</v>
      </c>
      <c r="I36" s="1040">
        <f>('[10]2'!$I$15+'[10]2'!$K$15)/('[10]2'!$I$15+'[10]2'!$I$23+'[10]2'!$K$15+'[10]2'!$K$23)%</f>
        <v>57.159522250974916</v>
      </c>
      <c r="J36" s="1040">
        <f>(SUM('[10]2'!$E$15:$H$15)+SUM('[10]2'!$E$23:$H$23))/('[10]2'!$I$15+'[10]2'!$I$23+'[10]2'!$K$15+'[10]2'!$K$23)%</f>
        <v>65.156625253367096</v>
      </c>
      <c r="K36" s="1040">
        <f>(SUM('[10]2'!$E$16:$H$16)+SUM('[10]2'!$E$24:$H$24))/('[10]2'!$I$15+'[10]2'!$I$23+'[10]2'!$K$15+'[10]2'!$K$23)%</f>
        <v>16.621753127012674</v>
      </c>
      <c r="M36" s="1062"/>
    </row>
    <row r="37" spans="1:13" s="411" customFormat="1" ht="14.25" customHeight="1">
      <c r="A37" s="905"/>
      <c r="B37" s="1061" t="s">
        <v>405</v>
      </c>
      <c r="C37" s="1040">
        <f>SUM('[11]1'!$C$76:$D$76)/'[11]1'!$I$98%</f>
        <v>28.117177042700895</v>
      </c>
      <c r="D37" s="1040">
        <f>SUM('[11]1'!$C$79:$D$83)/'[11]1'!$I$98%</f>
        <v>27.373403818704993</v>
      </c>
      <c r="E37" s="1040">
        <f>SUM('[11]1'!$C$76:$D$76)/('[11]2'!$I$15+'[11]2'!$I$23+'[11]2'!$K$15+'[11]2'!$K$23)%</f>
        <v>55.127563027941612</v>
      </c>
      <c r="F37" s="1040">
        <f>SUM('[11]1'!$E$98:$H$98)/'[11]1'!$I$98%</f>
        <v>42.738567633891051</v>
      </c>
      <c r="G37" s="1040">
        <f>SUM('[11]1'!$E$38:$H$38)/'[11]1'!$I$38%</f>
        <v>45.887947061859194</v>
      </c>
      <c r="H37" s="1040">
        <f>('[11]2'!$I$15+'[11]2'!$I$23+'[11]2'!$K$15+'[11]2'!$K$23)/'[11]1'!$I$98%</f>
        <v>51.003845441978996</v>
      </c>
      <c r="I37" s="1040">
        <f>('[11]2'!$I$15+'[11]2'!$K$15)/('[11]2'!$I$15+'[11]2'!$I$23+'[11]2'!$K$15+'[11]2'!$K$23)%</f>
        <v>55.356407065248064</v>
      </c>
      <c r="J37" s="1040">
        <f>(SUM('[11]2'!$E$15:$H$15)+SUM('[11]2'!$E$23:$H$23))/('[11]2'!$I$15+'[11]2'!$I$23+'[11]2'!$K$15+'[11]2'!$K$23)%</f>
        <v>64.181867092601323</v>
      </c>
      <c r="K37" s="1040">
        <f>(SUM('[11]2'!$E$16:$H$16)+SUM('[11]2'!$E$24:$H$24))/('[11]2'!$I$15+'[11]2'!$I$23+'[11]2'!$K$15+'[11]2'!$K$23)%</f>
        <v>16.226640414789749</v>
      </c>
      <c r="M37" s="1062"/>
    </row>
    <row r="38" spans="1:13" s="411" customFormat="1" ht="14.25" customHeight="1">
      <c r="A38" s="905"/>
      <c r="B38" s="1061" t="s">
        <v>406</v>
      </c>
      <c r="C38" s="1040">
        <f>SUM('[12]1'!$C$76:$D$76)/'[12]1'!$I$98%</f>
        <v>27.66032677621013</v>
      </c>
      <c r="D38" s="1040">
        <f>SUM('[12]1'!$C$79:$D$83)/'[12]1'!$I$98%</f>
        <v>26.905187447505046</v>
      </c>
      <c r="E38" s="1040">
        <f>SUM('[12]1'!$C$76:$D$76)/('[12]2'!$I$15+'[12]2'!$I$23+'[12]2'!$K$15+'[12]2'!$K$23)%</f>
        <v>53.631708238095818</v>
      </c>
      <c r="F38" s="1040">
        <f>SUM('[12]1'!$E$98:$H$98)/'[12]1'!$I$98%</f>
        <v>43.646273250866081</v>
      </c>
      <c r="G38" s="1040">
        <f>SUM('[12]1'!$E$38:$H$38)/'[12]1'!$I$38%</f>
        <v>46.605134188219409</v>
      </c>
      <c r="H38" s="1040">
        <f>('[12]2'!$I$15+'[12]2'!$I$23+'[12]2'!$K$15+'[12]2'!$K$23)/'[12]1'!$I$98%</f>
        <v>51.574577213564076</v>
      </c>
      <c r="I38" s="1040">
        <f>('[12]2'!$I$15+'[12]2'!$K$15)/('[12]2'!$I$15+'[12]2'!$I$23+'[12]2'!$K$15+'[12]2'!$K$23)%</f>
        <v>53.981007843983761</v>
      </c>
      <c r="J38" s="1040">
        <f>(SUM('[12]2'!$E$15:$H$15)+SUM('[12]2'!$E$23:$H$23))/('[12]2'!$I$15+'[12]2'!$I$23+'[12]2'!$K$15+'[12]2'!$K$23)%</f>
        <v>62.666494647400071</v>
      </c>
      <c r="K38" s="1040">
        <f>(SUM('[12]2'!$E$16:$H$16)+SUM('[12]2'!$E$24:$H$24))/('[12]2'!$I$15+'[12]2'!$I$23+'[12]2'!$K$15+'[12]2'!$K$23)%</f>
        <v>16.305130776671973</v>
      </c>
      <c r="M38" s="1062"/>
    </row>
    <row r="39" spans="1:13" s="411" customFormat="1" ht="14.25" customHeight="1">
      <c r="A39" s="905"/>
      <c r="B39" s="1061" t="s">
        <v>407</v>
      </c>
      <c r="C39" s="1040">
        <f>SUM('[13]1'!$C$76:$D$76)/'[13]1'!$I$98%</f>
        <v>27.527261202876627</v>
      </c>
      <c r="D39" s="1040">
        <f>SUM('[13]1'!$C$79:$D$83)/'[13]1'!$I$98%</f>
        <v>26.674734929943028</v>
      </c>
      <c r="E39" s="1040">
        <f>SUM('[13]1'!$C$76:$D$76)/('[13]2'!$I$15+'[13]2'!$I$23+'[13]2'!$K$15+'[13]2'!$K$23)%</f>
        <v>54.197952287785419</v>
      </c>
      <c r="F39" s="1040">
        <f>SUM('[13]1'!$E$98:$H$98)/'[13]1'!$I$98%</f>
        <v>43.605652949504154</v>
      </c>
      <c r="G39" s="1040">
        <f>SUM('[13]1'!$E$38:$H$38)/'[13]1'!$I$38%</f>
        <v>46.373348297024215</v>
      </c>
      <c r="H39" s="1040">
        <f>('[13]2'!$I$15+'[13]2'!$I$23+'[13]2'!$K$15+'[13]2'!$K$23)/'[13]1'!$I$98%</f>
        <v>50.790223690942724</v>
      </c>
      <c r="I39" s="1040">
        <f>('[13]2'!$I$15+'[13]2'!$K$15)/('[13]2'!$I$15+'[13]2'!$I$23+'[13]2'!$K$15+'[13]2'!$K$23)%</f>
        <v>55.166618264562779</v>
      </c>
      <c r="J39" s="1040">
        <f>(SUM('[13]2'!$E$15:$H$15)+SUM('[13]2'!$E$23:$H$23))/('[13]2'!$I$15+'[13]2'!$I$23+'[13]2'!$K$15+'[13]2'!$K$23)%</f>
        <v>64.110254402548989</v>
      </c>
      <c r="K39" s="1040">
        <f>(SUM('[13]2'!$E$16:$H$16)+SUM('[13]2'!$E$24:$H$24))/('[13]2'!$I$15+'[13]2'!$I$23+'[13]2'!$K$15+'[13]2'!$K$23)%</f>
        <v>16.580019082289585</v>
      </c>
      <c r="M39" s="1062"/>
    </row>
    <row r="40" spans="1:13" s="411" customFormat="1" ht="20.25" customHeight="1">
      <c r="A40" s="905">
        <v>2020</v>
      </c>
      <c r="B40" s="1061" t="s">
        <v>408</v>
      </c>
      <c r="C40" s="1040">
        <f>SUM('[14]1'!$C$76:$D$76)/'[14]1'!$I$98%</f>
        <v>27.576342182756985</v>
      </c>
      <c r="D40" s="1040">
        <f>SUM('[14]1'!$C$79:$D$83)/'[14]1'!$I$98%</f>
        <v>26.831421752355702</v>
      </c>
      <c r="E40" s="1040">
        <f>SUM('[14]1'!$C$76:$D$76)/('[14]2'!$I$15+'[14]2'!$I$23+'[14]2'!$K$15+'[14]2'!$K$23)%</f>
        <v>55.067625672104697</v>
      </c>
      <c r="F40" s="1040">
        <f>SUM('[14]1'!$E$98:$H$98)/'[14]1'!$I$98%</f>
        <v>42.366781980572966</v>
      </c>
      <c r="G40" s="1040">
        <f>SUM('[14]1'!$E$38:$H$38)/'[14]1'!$I$38%</f>
        <v>44.088452742569402</v>
      </c>
      <c r="H40" s="1040">
        <f>('[14]2'!$I$15+'[14]2'!$I$23+'[14]2'!$K$15+'[14]2'!$K$23)/'[14]1'!$I$98%</f>
        <v>50.077231124795304</v>
      </c>
      <c r="I40" s="1040">
        <f>('[14]2'!$I$15+'[14]2'!$K$15)/('[14]2'!$I$15+'[14]2'!$I$23+'[14]2'!$K$15+'[14]2'!$K$23)%</f>
        <v>57.455800110944296</v>
      </c>
      <c r="J40" s="1040">
        <f>(SUM('[14]2'!$E$15:$H$15)+SUM('[14]2'!$E$23:$H$23))/('[14]2'!$I$15+'[14]2'!$I$23+'[14]2'!$K$15+'[14]2'!$K$23)%</f>
        <v>66.754741460504306</v>
      </c>
      <c r="K40" s="1040">
        <f>(SUM('[14]2'!$E$16:$H$16)+SUM('[14]2'!$E$24:$H$24))/('[14]2'!$I$15+'[14]2'!$I$23+'[14]2'!$K$15+'[14]2'!$K$23)%</f>
        <v>16.966235686345957</v>
      </c>
      <c r="M40" s="1062"/>
    </row>
    <row r="41" spans="1:13" s="411" customFormat="1" ht="14.25" customHeight="1">
      <c r="A41" s="1082"/>
      <c r="B41" s="1388" t="s">
        <v>409</v>
      </c>
      <c r="C41" s="1040">
        <f>SUM('[15]1'!$C$76:$D$76)/'[15]1'!$I$98%</f>
        <v>27.52679967537766</v>
      </c>
      <c r="D41" s="1040">
        <f>SUM('[15]1'!$C$79:$D$83)/'[15]1'!$I$98%</f>
        <v>26.576037493665439</v>
      </c>
      <c r="E41" s="1040">
        <f>SUM('[15]1'!$C$76:$D$76)/('[15]2'!$I$15+'[15]2'!$I$23+'[15]2'!$K$15+'[15]2'!$K$23)%</f>
        <v>56.740444269893295</v>
      </c>
      <c r="F41" s="1040">
        <f>SUM('[15]1'!$E$98:$H$98)/'[15]1'!$I$98%</f>
        <v>42.330347515409628</v>
      </c>
      <c r="G41" s="1040">
        <f>SUM('[15]1'!$E$38:$H$38)/'[15]1'!$I$38%</f>
        <v>45.73377663830555</v>
      </c>
      <c r="H41" s="1040">
        <f>('[15]2'!$I$15+'[15]2'!$I$23+'[15]2'!$K$15+'[15]2'!$K$23)/'[15]1'!$I$98%</f>
        <v>48.513542728785943</v>
      </c>
      <c r="I41" s="1040">
        <f>('[15]2'!$I$15+'[15]2'!$K$15)/('[15]2'!$I$15+'[15]2'!$I$23+'[15]2'!$K$15+'[15]2'!$K$23)%</f>
        <v>58.532479173521011</v>
      </c>
      <c r="J41" s="1040">
        <f>(SUM('[15]2'!$E$15:$H$15)+SUM('[15]2'!$E$23:$H$23))/('[15]2'!$I$15+'[15]2'!$I$23+'[15]2'!$K$15+'[15]2'!$K$23)%</f>
        <v>67.621502707697942</v>
      </c>
      <c r="K41" s="1040">
        <f>(SUM('[15]2'!$E$16:$H$16)+SUM('[15]2'!$E$24:$H$24))/('[15]2'!$I$15+'[15]2'!$I$23+'[15]2'!$K$15+'[15]2'!$K$23)%</f>
        <v>17.180749223540243</v>
      </c>
      <c r="M41" s="1062"/>
    </row>
    <row r="42" spans="1:13" s="411" customFormat="1" ht="14.25" customHeight="1">
      <c r="A42" s="1082"/>
      <c r="B42" s="1388" t="s">
        <v>398</v>
      </c>
      <c r="C42" s="1040">
        <f>SUM('[16]1'!$C$76:$D$76)/'[16]1'!$I$98%</f>
        <v>28.321439727086016</v>
      </c>
      <c r="D42" s="1040">
        <f>SUM('[16]1'!$C$79:$D$83)/'[16]1'!$I$98%</f>
        <v>27.086658334140747</v>
      </c>
      <c r="E42" s="1040">
        <f>SUM('[16]1'!$C$76:$D$76)/('[16]2'!$I$15+'[16]2'!$I$23+'[16]2'!$K$15+'[16]2'!$K$23)%</f>
        <v>58.091368032229582</v>
      </c>
      <c r="F42" s="1040">
        <f>SUM('[16]1'!$E$98:$H$98)/'[16]1'!$I$98%</f>
        <v>42.142064521998421</v>
      </c>
      <c r="G42" s="1040">
        <f>SUM('[16]1'!$E$38:$H$38)/'[16]1'!$I$38%</f>
        <v>46.527833028616776</v>
      </c>
      <c r="H42" s="1040">
        <f>('[16]2'!$I$15+'[16]2'!$I$23+'[16]2'!$K$15+'[16]2'!$K$23)/'[16]1'!$I$98%</f>
        <v>48.75326694212648</v>
      </c>
      <c r="I42" s="1040">
        <f>('[16]2'!$I$15+'[16]2'!$K$15)/('[16]2'!$I$15+'[16]2'!$I$23+'[16]2'!$K$15+'[16]2'!$K$23)%</f>
        <v>58.077765558764824</v>
      </c>
      <c r="J42" s="1040">
        <f>(SUM('[16]2'!$E$15:$H$15)+SUM('[16]2'!$E$23:$H$23))/('[16]2'!$I$15+'[16]2'!$I$23+'[16]2'!$K$15+'[16]2'!$K$23)%</f>
        <v>67.445753838380568</v>
      </c>
      <c r="K42" s="1040">
        <f>(SUM('[16]2'!$E$16:$H$16)+SUM('[16]2'!$E$24:$H$24))/('[16]2'!$I$15+'[16]2'!$I$23+'[16]2'!$K$15+'[16]2'!$K$23)%</f>
        <v>18.08419537991707</v>
      </c>
      <c r="M42" s="1062"/>
    </row>
    <row r="43" spans="1:13" s="411" customFormat="1" ht="14.25" customHeight="1">
      <c r="A43" s="1082"/>
      <c r="B43" s="1388" t="s">
        <v>399</v>
      </c>
      <c r="C43" s="1040">
        <f>SUM('[17]1'!$C$76:$D$76)/'[17]1'!$I$98%</f>
        <v>28.364000898518434</v>
      </c>
      <c r="D43" s="1040">
        <f>SUM('[17]1'!$C$79:$D$83)/'[17]1'!$I$98%</f>
        <v>27.195501161743337</v>
      </c>
      <c r="E43" s="1040">
        <f>SUM('[17]1'!$C$76:$D$76)/('[17]2'!$I$15+'[17]2'!$I$23+'[17]2'!$K$15+'[17]2'!$K$23)%</f>
        <v>57.196396731492605</v>
      </c>
      <c r="F43" s="1040">
        <f>SUM('[17]1'!$E$98:$H$98)/'[17]1'!$I$98%</f>
        <v>42.651172157600676</v>
      </c>
      <c r="G43" s="1040">
        <f>SUM('[17]1'!$E$38:$H$38)/'[17]1'!$I$38%</f>
        <v>46.867837467023492</v>
      </c>
      <c r="H43" s="1040">
        <f>('[17]2'!$I$15+'[17]2'!$I$23+'[17]2'!$K$15+'[17]2'!$K$23)/'[17]1'!$I$98%</f>
        <v>49.590538074754427</v>
      </c>
      <c r="I43" s="1040">
        <f>('[17]2'!$I$15+'[17]2'!$K$15)/('[17]2'!$I$15+'[17]2'!$I$23+'[17]2'!$K$15+'[17]2'!$K$23)%</f>
        <v>56.790782078516749</v>
      </c>
      <c r="J43" s="1040">
        <f>(SUM('[17]2'!$E$15:$H$15)+SUM('[17]2'!$E$23:$H$23))/('[17]2'!$I$15+'[17]2'!$I$23+'[17]2'!$K$15+'[17]2'!$K$23)%</f>
        <v>67.14739751687614</v>
      </c>
      <c r="K43" s="1040">
        <f>(SUM('[17]2'!$E$16:$H$16)+SUM('[17]2'!$E$24:$H$24))/('[17]2'!$I$15+'[17]2'!$I$23+'[17]2'!$K$15+'[17]2'!$K$23)%</f>
        <v>17.522604965369403</v>
      </c>
      <c r="M43" s="1062"/>
    </row>
    <row r="44" spans="1:13" ht="20.25" customHeight="1">
      <c r="A44" s="299"/>
      <c r="B44" s="300"/>
      <c r="C44" s="300"/>
      <c r="D44" s="300"/>
      <c r="E44" s="300"/>
      <c r="F44" s="300"/>
      <c r="G44" s="300"/>
      <c r="H44" s="300"/>
      <c r="I44" s="300"/>
      <c r="J44" s="300"/>
      <c r="K44" s="300"/>
    </row>
    <row r="45" spans="1:13">
      <c r="C45" s="372"/>
      <c r="D45" s="372"/>
      <c r="E45" s="372"/>
      <c r="F45" s="372"/>
      <c r="G45" s="372"/>
      <c r="H45" s="372"/>
      <c r="I45" s="372"/>
      <c r="J45" s="372"/>
      <c r="K45" s="372"/>
    </row>
    <row r="46" spans="1:13" ht="12.75" customHeight="1">
      <c r="A46" s="160"/>
      <c r="B46" s="301"/>
      <c r="C46" s="763"/>
      <c r="D46" s="763"/>
      <c r="E46" s="1496"/>
      <c r="F46" s="763"/>
      <c r="G46" s="763"/>
      <c r="H46" s="763"/>
      <c r="I46" s="763"/>
      <c r="J46" s="763"/>
      <c r="K46" s="763"/>
    </row>
    <row r="47" spans="1:13" ht="12.75" customHeight="1">
      <c r="A47" s="341" t="s">
        <v>979</v>
      </c>
      <c r="B47" s="342"/>
      <c r="C47" s="342"/>
      <c r="D47" s="342"/>
      <c r="E47" s="342"/>
      <c r="F47" s="342"/>
      <c r="G47" s="342"/>
      <c r="H47" s="342"/>
      <c r="I47" s="342"/>
      <c r="J47" s="302"/>
      <c r="K47" s="302"/>
    </row>
    <row r="48" spans="1:13" ht="16.5">
      <c r="B48" s="303"/>
      <c r="C48" s="296"/>
      <c r="E48" s="1685"/>
      <c r="F48" s="1686"/>
      <c r="I48" s="372"/>
    </row>
    <row r="49" spans="1:9" ht="16.5">
      <c r="A49" s="302" t="s">
        <v>980</v>
      </c>
      <c r="B49" s="303"/>
      <c r="C49" s="296"/>
      <c r="E49" s="1685"/>
      <c r="F49" s="1686"/>
      <c r="I49" s="372"/>
    </row>
    <row r="50" spans="1:9" ht="16.5">
      <c r="A50" s="265">
        <v>37538.41607013889</v>
      </c>
      <c r="B50" s="304"/>
      <c r="E50" s="1685"/>
      <c r="F50" s="1686"/>
      <c r="I50" s="372"/>
    </row>
    <row r="51" spans="1:9" ht="16.5">
      <c r="E51" s="1685"/>
      <c r="F51" s="1686"/>
      <c r="I51" s="372"/>
    </row>
    <row r="52" spans="1:9" ht="16.5">
      <c r="E52" s="1685"/>
      <c r="F52" s="1686"/>
      <c r="I52" s="372"/>
    </row>
    <row r="53" spans="1:9" ht="16.5">
      <c r="E53" s="1685"/>
      <c r="F53" s="1686"/>
      <c r="I53" s="372"/>
    </row>
    <row r="54" spans="1:9" ht="16.5">
      <c r="E54" s="1685"/>
      <c r="F54" s="1686"/>
      <c r="I54" s="372"/>
    </row>
    <row r="55" spans="1:9" ht="16.5">
      <c r="E55" s="376"/>
      <c r="F55" s="1686"/>
      <c r="I55" s="372"/>
    </row>
    <row r="56" spans="1:9">
      <c r="E56" s="376"/>
      <c r="F56" s="377"/>
      <c r="I56" s="372"/>
    </row>
    <row r="57" spans="1:9">
      <c r="E57" s="376"/>
      <c r="F57" s="377"/>
    </row>
    <row r="58" spans="1:9">
      <c r="E58" s="376"/>
      <c r="F58" s="377"/>
    </row>
    <row r="59" spans="1:9">
      <c r="E59" s="376"/>
      <c r="F59" s="377"/>
    </row>
    <row r="60" spans="1:9">
      <c r="E60" s="376"/>
      <c r="F60" s="377"/>
    </row>
    <row r="61" spans="1:9">
      <c r="E61" s="376"/>
      <c r="F61" s="377"/>
    </row>
    <row r="62" spans="1:9">
      <c r="E62" s="376"/>
      <c r="F62" s="377"/>
    </row>
    <row r="63" spans="1:9">
      <c r="E63" s="376"/>
      <c r="F63" s="377"/>
    </row>
  </sheetData>
  <mergeCells count="1">
    <mergeCell ref="A10:B10"/>
  </mergeCells>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S49"/>
  <sheetViews>
    <sheetView topLeftCell="A3" zoomScale="85" zoomScaleNormal="85" workbookViewId="0">
      <pane ySplit="9" topLeftCell="A35" activePane="bottomLeft" state="frozen"/>
      <selection activeCell="A49" sqref="A1:XFD1048576"/>
      <selection pane="bottomLeft" activeCell="A49" sqref="A1:XFD1048576"/>
    </sheetView>
  </sheetViews>
  <sheetFormatPr defaultRowHeight="12.75"/>
  <cols>
    <col min="1" max="2" width="9.7109375" style="29" customWidth="1"/>
    <col min="3" max="3" width="9.42578125" style="29" customWidth="1"/>
    <col min="4" max="4" width="12.7109375" style="29" customWidth="1"/>
    <col min="5" max="5" width="14.7109375" style="29" customWidth="1"/>
    <col min="6" max="6" width="12" style="29" customWidth="1"/>
    <col min="7" max="7" width="10.140625" style="29" customWidth="1"/>
    <col min="8" max="8" width="10.7109375" style="29" customWidth="1"/>
    <col min="9" max="9" width="12.7109375" style="29" customWidth="1"/>
    <col min="10" max="10" width="14.7109375" style="29" customWidth="1"/>
    <col min="11" max="11" width="11.7109375" style="29" customWidth="1"/>
    <col min="12" max="12" width="13.42578125" style="29" customWidth="1"/>
    <col min="13" max="13" width="11" style="29" customWidth="1"/>
    <col min="14" max="14" width="11.28515625" style="29" customWidth="1"/>
    <col min="15" max="15" width="11.85546875" style="29" customWidth="1"/>
    <col min="16" max="16" width="10.7109375" style="29" customWidth="1"/>
    <col min="17" max="16384" width="9.140625" style="29"/>
  </cols>
  <sheetData>
    <row r="1" spans="1:19" s="9" customFormat="1" ht="18" customHeight="1">
      <c r="A1" s="1471" t="s">
        <v>1615</v>
      </c>
      <c r="B1" s="1470"/>
      <c r="C1" s="1470"/>
      <c r="D1" s="1470"/>
      <c r="E1" s="1470"/>
      <c r="F1" s="1470"/>
      <c r="G1" s="1470"/>
      <c r="H1" s="1470"/>
      <c r="I1" s="1470"/>
      <c r="J1" s="1470"/>
      <c r="K1" s="1470"/>
      <c r="L1" s="1470"/>
      <c r="M1" s="1470"/>
      <c r="N1" s="1470"/>
      <c r="O1" s="1470"/>
      <c r="P1" s="1470"/>
      <c r="Q1" s="31"/>
      <c r="R1" s="31"/>
      <c r="S1" s="31"/>
    </row>
    <row r="2" spans="1:19" s="9" customFormat="1" ht="18" customHeight="1">
      <c r="A2" s="1469" t="s">
        <v>981</v>
      </c>
      <c r="B2" s="1470"/>
      <c r="C2" s="1470"/>
      <c r="D2" s="1470"/>
      <c r="E2" s="1470"/>
      <c r="F2" s="1470"/>
      <c r="G2" s="1470"/>
      <c r="H2" s="1470"/>
      <c r="I2" s="1470"/>
      <c r="J2" s="1470"/>
      <c r="K2" s="1470"/>
      <c r="L2" s="1470"/>
      <c r="M2" s="1470"/>
      <c r="N2" s="1470"/>
      <c r="O2" s="1470"/>
      <c r="P2" s="1470"/>
      <c r="Q2" s="31"/>
      <c r="R2" s="31"/>
      <c r="S2" s="31"/>
    </row>
    <row r="3" spans="1:19" s="9" customFormat="1" ht="18" customHeight="1">
      <c r="A3" s="1471" t="s">
        <v>982</v>
      </c>
      <c r="B3" s="1470"/>
      <c r="C3" s="1470"/>
      <c r="D3" s="1470"/>
      <c r="E3" s="1470"/>
      <c r="F3" s="1470"/>
      <c r="G3" s="1470"/>
      <c r="H3" s="1470"/>
      <c r="I3" s="1470"/>
      <c r="J3" s="1470"/>
      <c r="K3" s="1470"/>
      <c r="L3" s="1470"/>
      <c r="M3" s="1470"/>
      <c r="N3" s="1470"/>
      <c r="O3" s="1470"/>
      <c r="P3" s="1470"/>
      <c r="Q3" s="31"/>
      <c r="R3" s="31"/>
      <c r="S3" s="31"/>
    </row>
    <row r="4" spans="1:19" s="9" customFormat="1" ht="18" customHeight="1">
      <c r="A4" s="1471" t="s">
        <v>983</v>
      </c>
      <c r="B4" s="1470"/>
      <c r="C4" s="1470"/>
      <c r="D4" s="1470"/>
      <c r="E4" s="1470"/>
      <c r="F4" s="1470"/>
      <c r="G4" s="1470"/>
      <c r="H4" s="1470"/>
      <c r="I4" s="1470"/>
      <c r="J4" s="1470"/>
      <c r="K4" s="1470"/>
      <c r="L4" s="1470"/>
      <c r="M4" s="1470"/>
      <c r="N4" s="1470"/>
      <c r="O4" s="1470"/>
      <c r="P4" s="1470"/>
      <c r="Q4" s="31"/>
      <c r="R4" s="31"/>
      <c r="S4" s="31"/>
    </row>
    <row r="5" spans="1:19" ht="20.25" customHeight="1">
      <c r="A5" s="18" t="s">
        <v>984</v>
      </c>
      <c r="B5" s="4"/>
      <c r="C5" s="3"/>
      <c r="D5" s="3"/>
      <c r="E5" s="3"/>
      <c r="F5" s="3"/>
      <c r="G5" s="3"/>
      <c r="H5" s="3"/>
      <c r="I5" s="3"/>
      <c r="J5" s="3"/>
      <c r="K5" s="3"/>
      <c r="L5" s="3"/>
      <c r="M5" s="3"/>
      <c r="N5" s="3"/>
      <c r="O5" s="3"/>
      <c r="P5" s="3"/>
    </row>
    <row r="6" spans="1:19" ht="13.5" customHeight="1">
      <c r="A6" s="9" t="s">
        <v>354</v>
      </c>
      <c r="O6" s="9"/>
      <c r="P6" s="9" t="s">
        <v>355</v>
      </c>
    </row>
    <row r="7" spans="1:19" s="52" customFormat="1" ht="23.25" customHeight="1">
      <c r="A7" s="49"/>
      <c r="B7" s="50"/>
      <c r="C7" s="1487" t="s">
        <v>474</v>
      </c>
      <c r="D7" s="45"/>
      <c r="E7" s="133"/>
      <c r="F7" s="133"/>
      <c r="G7" s="1488"/>
      <c r="H7" s="1489" t="s">
        <v>985</v>
      </c>
      <c r="I7" s="1490" t="s">
        <v>986</v>
      </c>
      <c r="J7" s="45"/>
      <c r="K7" s="133"/>
      <c r="L7" s="133"/>
      <c r="M7" s="1488"/>
      <c r="N7" s="1491" t="s">
        <v>987</v>
      </c>
      <c r="O7" s="1475"/>
      <c r="P7" s="1475"/>
    </row>
    <row r="8" spans="1:19" s="44" customFormat="1" ht="16.5" customHeight="1">
      <c r="A8" s="395" t="s">
        <v>364</v>
      </c>
      <c r="B8" s="88"/>
      <c r="D8" s="290" t="s">
        <v>988</v>
      </c>
      <c r="E8" s="290" t="s">
        <v>988</v>
      </c>
      <c r="F8" s="290" t="s">
        <v>988</v>
      </c>
      <c r="H8" s="290"/>
      <c r="I8" s="290" t="s">
        <v>988</v>
      </c>
      <c r="J8" s="290" t="s">
        <v>988</v>
      </c>
      <c r="K8" s="396"/>
      <c r="L8" s="397" t="s">
        <v>989</v>
      </c>
      <c r="N8" s="396"/>
      <c r="O8" s="290" t="s">
        <v>416</v>
      </c>
      <c r="P8" s="290" t="s">
        <v>990</v>
      </c>
    </row>
    <row r="9" spans="1:19" s="44" customFormat="1" ht="16.5" customHeight="1">
      <c r="A9" s="68" t="s">
        <v>372</v>
      </c>
      <c r="B9" s="80"/>
      <c r="C9" s="290" t="s">
        <v>802</v>
      </c>
      <c r="D9" s="86" t="s">
        <v>418</v>
      </c>
      <c r="E9" s="291" t="s">
        <v>845</v>
      </c>
      <c r="F9" s="103" t="s">
        <v>376</v>
      </c>
      <c r="G9" s="290" t="s">
        <v>377</v>
      </c>
      <c r="H9" s="290" t="s">
        <v>367</v>
      </c>
      <c r="I9" s="86" t="s">
        <v>418</v>
      </c>
      <c r="J9" s="291" t="s">
        <v>845</v>
      </c>
      <c r="K9" s="290" t="s">
        <v>808</v>
      </c>
      <c r="L9" s="397" t="s">
        <v>991</v>
      </c>
      <c r="M9" s="290" t="s">
        <v>377</v>
      </c>
      <c r="N9" s="398" t="s">
        <v>367</v>
      </c>
      <c r="O9" s="69" t="s">
        <v>357</v>
      </c>
      <c r="P9" s="69" t="s">
        <v>992</v>
      </c>
    </row>
    <row r="10" spans="1:19" s="44" customFormat="1" ht="16.5" customHeight="1">
      <c r="A10" s="89"/>
      <c r="B10" s="80"/>
      <c r="C10" s="399" t="s">
        <v>805</v>
      </c>
      <c r="D10" s="115" t="s">
        <v>993</v>
      </c>
      <c r="E10" s="115" t="s">
        <v>993</v>
      </c>
      <c r="F10" s="115" t="s">
        <v>993</v>
      </c>
      <c r="G10" s="245" t="s">
        <v>994</v>
      </c>
      <c r="H10" s="399" t="s">
        <v>378</v>
      </c>
      <c r="I10" s="115" t="s">
        <v>993</v>
      </c>
      <c r="J10" s="115" t="s">
        <v>993</v>
      </c>
      <c r="K10" s="245" t="s">
        <v>815</v>
      </c>
      <c r="L10" s="400" t="s">
        <v>995</v>
      </c>
      <c r="M10" s="245" t="s">
        <v>994</v>
      </c>
      <c r="N10" s="401" t="s">
        <v>378</v>
      </c>
      <c r="O10" s="399" t="s">
        <v>378</v>
      </c>
      <c r="P10" s="399" t="s">
        <v>996</v>
      </c>
    </row>
    <row r="11" spans="1:19" s="44" customFormat="1" ht="16.5" customHeight="1">
      <c r="A11" s="89"/>
      <c r="B11" s="80"/>
      <c r="C11" s="399"/>
      <c r="D11" s="115" t="s">
        <v>997</v>
      </c>
      <c r="E11" s="115" t="s">
        <v>998</v>
      </c>
      <c r="F11" s="115" t="s">
        <v>999</v>
      </c>
      <c r="G11" s="245"/>
      <c r="H11" s="245"/>
      <c r="I11" s="115" t="s">
        <v>997</v>
      </c>
      <c r="J11" s="115" t="s">
        <v>998</v>
      </c>
      <c r="K11" s="82"/>
      <c r="L11" s="400" t="s">
        <v>1000</v>
      </c>
      <c r="M11" s="245"/>
      <c r="N11" s="402"/>
      <c r="O11" s="245" t="s">
        <v>356</v>
      </c>
      <c r="P11" s="245" t="s">
        <v>762</v>
      </c>
    </row>
    <row r="12" spans="1:19" s="44" customFormat="1" ht="16.5" customHeight="1">
      <c r="A12" s="94"/>
      <c r="B12" s="106"/>
      <c r="C12" s="403"/>
      <c r="D12" s="149" t="s">
        <v>813</v>
      </c>
      <c r="E12" s="404" t="s">
        <v>395</v>
      </c>
      <c r="F12" s="149"/>
      <c r="G12" s="148"/>
      <c r="H12" s="148"/>
      <c r="I12" s="149"/>
      <c r="J12" s="404" t="s">
        <v>395</v>
      </c>
      <c r="K12" s="140"/>
      <c r="L12" s="149"/>
      <c r="M12" s="148"/>
      <c r="N12" s="247"/>
      <c r="O12" s="148" t="s">
        <v>812</v>
      </c>
      <c r="P12" s="148" t="s">
        <v>1001</v>
      </c>
    </row>
    <row r="13" spans="1:19" s="44" customFormat="1" ht="16.5" hidden="1" customHeight="1">
      <c r="A13" s="89"/>
      <c r="B13" s="66"/>
      <c r="C13" s="401"/>
      <c r="D13" s="891"/>
      <c r="E13" s="892"/>
      <c r="F13" s="115"/>
      <c r="G13" s="245"/>
      <c r="H13" s="245"/>
      <c r="I13" s="891"/>
      <c r="J13" s="893"/>
      <c r="K13" s="82"/>
      <c r="L13" s="115"/>
      <c r="M13" s="245"/>
      <c r="N13" s="402"/>
      <c r="O13" s="245"/>
      <c r="P13" s="245"/>
    </row>
    <row r="14" spans="1:19" s="44" customFormat="1" ht="16.5" hidden="1" customHeight="1">
      <c r="A14" s="89"/>
      <c r="B14" s="66"/>
      <c r="C14" s="401"/>
      <c r="D14" s="891"/>
      <c r="E14" s="892"/>
      <c r="F14" s="115"/>
      <c r="G14" s="245"/>
      <c r="H14" s="245"/>
      <c r="I14" s="891"/>
      <c r="J14" s="893"/>
      <c r="K14" s="82"/>
      <c r="L14" s="115"/>
      <c r="M14" s="245"/>
      <c r="N14" s="402"/>
      <c r="O14" s="245"/>
      <c r="P14" s="245"/>
    </row>
    <row r="15" spans="1:19" s="44" customFormat="1" ht="16.5" hidden="1" customHeight="1">
      <c r="A15" s="89"/>
      <c r="B15" s="66"/>
      <c r="C15" s="401"/>
      <c r="D15" s="891"/>
      <c r="E15" s="892"/>
      <c r="F15" s="115"/>
      <c r="G15" s="245"/>
      <c r="H15" s="245"/>
      <c r="I15" s="891"/>
      <c r="J15" s="893"/>
      <c r="K15" s="82"/>
      <c r="L15" s="115"/>
      <c r="M15" s="245"/>
      <c r="N15" s="402"/>
      <c r="O15" s="245"/>
      <c r="P15" s="245"/>
    </row>
    <row r="16" spans="1:19" s="44" customFormat="1" ht="19.5" customHeight="1">
      <c r="A16" s="1578">
        <v>2013</v>
      </c>
      <c r="B16" s="66"/>
      <c r="C16" s="1634">
        <v>0.64100500999999999</v>
      </c>
      <c r="D16" s="1635">
        <v>927.59162767099974</v>
      </c>
      <c r="E16" s="1636">
        <v>422.35418146224191</v>
      </c>
      <c r="F16" s="1637">
        <v>92.385415740000013</v>
      </c>
      <c r="G16" s="1584">
        <v>7.2797160251600008</v>
      </c>
      <c r="H16" s="1638">
        <v>1450.2619459084019</v>
      </c>
      <c r="I16" s="1639">
        <v>61.261678180999994</v>
      </c>
      <c r="J16" s="1640">
        <v>355.43999999999994</v>
      </c>
      <c r="K16" s="1641">
        <v>38.160000000000004</v>
      </c>
      <c r="L16" s="1642">
        <v>0</v>
      </c>
      <c r="M16" s="1643">
        <v>0</v>
      </c>
      <c r="N16" s="1644">
        <v>454.86167818099995</v>
      </c>
      <c r="O16" s="1645">
        <v>1905.1736240894018</v>
      </c>
      <c r="P16" s="878">
        <v>0.5</v>
      </c>
      <c r="Q16" s="411">
        <f>H16-C16-D16-E16-F16-G16</f>
        <v>1.000000000017387E-2</v>
      </c>
      <c r="R16" s="411">
        <f t="shared" ref="R16:R19" si="0">N16-I16-J16-K16-L16-M16</f>
        <v>2.1316282072803006E-14</v>
      </c>
      <c r="S16" s="411">
        <f>O16-H16-N16</f>
        <v>4.9999999999897682E-2</v>
      </c>
    </row>
    <row r="17" spans="1:19" s="44" customFormat="1" ht="14.25" customHeight="1">
      <c r="A17" s="432">
        <v>2014</v>
      </c>
      <c r="B17" s="66"/>
      <c r="C17" s="966">
        <v>4.5999999999999996</v>
      </c>
      <c r="D17" s="967">
        <v>261.37722301264432</v>
      </c>
      <c r="E17" s="739">
        <v>632.93328884140726</v>
      </c>
      <c r="F17" s="881">
        <v>81.045073546999987</v>
      </c>
      <c r="G17" s="866">
        <v>9.5965948720573238</v>
      </c>
      <c r="H17" s="880">
        <v>989.5421802731089</v>
      </c>
      <c r="I17" s="884">
        <v>48.85</v>
      </c>
      <c r="J17" s="879">
        <v>420.4199999999999</v>
      </c>
      <c r="K17" s="936">
        <v>45.69</v>
      </c>
      <c r="L17" s="968">
        <v>0</v>
      </c>
      <c r="M17" s="969">
        <v>0</v>
      </c>
      <c r="N17" s="883">
        <v>514.96</v>
      </c>
      <c r="O17" s="938">
        <v>1504.5121802731089</v>
      </c>
      <c r="P17" s="943">
        <v>0</v>
      </c>
      <c r="Q17" s="411">
        <f t="shared" ref="Q17:Q19" si="1">H17-C17-D17-E17-F17-G17</f>
        <v>-1.0000000000019327E-2</v>
      </c>
      <c r="R17" s="411">
        <f t="shared" si="0"/>
        <v>1.1368683772161603E-13</v>
      </c>
      <c r="S17" s="411">
        <f t="shared" ref="S17:S19" si="2">O17-H17-N17</f>
        <v>9.9999999999909051E-3</v>
      </c>
    </row>
    <row r="18" spans="1:19" s="44" customFormat="1" ht="14.25" customHeight="1">
      <c r="A18" s="432">
        <v>2015</v>
      </c>
      <c r="B18" s="66"/>
      <c r="C18" s="966">
        <v>6.9</v>
      </c>
      <c r="D18" s="967">
        <v>212.70446641127054</v>
      </c>
      <c r="E18" s="739">
        <v>787.1063363523466</v>
      </c>
      <c r="F18" s="881">
        <v>78.858999999999995</v>
      </c>
      <c r="G18" s="866">
        <v>13.202649906999994</v>
      </c>
      <c r="H18" s="880">
        <v>1098.7520484537035</v>
      </c>
      <c r="I18" s="884">
        <v>105.125</v>
      </c>
      <c r="J18" s="879">
        <v>362.375</v>
      </c>
      <c r="K18" s="936">
        <v>37.207648045829998</v>
      </c>
      <c r="L18" s="968">
        <v>0</v>
      </c>
      <c r="M18" s="969">
        <v>0.41</v>
      </c>
      <c r="N18" s="883">
        <v>505.11764804582998</v>
      </c>
      <c r="O18" s="938">
        <v>1603.8696145215558</v>
      </c>
      <c r="P18" s="943">
        <v>0</v>
      </c>
      <c r="Q18" s="411">
        <f t="shared" si="1"/>
        <v>-2.0404216913718187E-2</v>
      </c>
      <c r="R18" s="411">
        <f t="shared" si="0"/>
        <v>-1.7597034940308731E-14</v>
      </c>
      <c r="S18" s="411">
        <f t="shared" si="2"/>
        <v>-8.1977977686165104E-5</v>
      </c>
    </row>
    <row r="19" spans="1:19" s="44" customFormat="1" ht="14.25" customHeight="1">
      <c r="A19" s="432">
        <v>2016</v>
      </c>
      <c r="B19" s="66"/>
      <c r="C19" s="966">
        <v>6.3999999999999995</v>
      </c>
      <c r="D19" s="967">
        <v>197.20931514773042</v>
      </c>
      <c r="E19" s="739">
        <v>755.69671795778845</v>
      </c>
      <c r="F19" s="881">
        <v>80.622</v>
      </c>
      <c r="G19" s="866">
        <v>22.357629524000004</v>
      </c>
      <c r="H19" s="880">
        <v>1062.2756626295188</v>
      </c>
      <c r="I19" s="884">
        <v>180.065</v>
      </c>
      <c r="J19" s="879">
        <v>384.46875376100002</v>
      </c>
      <c r="K19" s="936">
        <v>26.543474660969999</v>
      </c>
      <c r="L19" s="968">
        <v>0</v>
      </c>
      <c r="M19" s="969">
        <v>4.5</v>
      </c>
      <c r="N19" s="883">
        <v>595.57722842197006</v>
      </c>
      <c r="O19" s="938">
        <v>1657.852891051489</v>
      </c>
      <c r="P19" s="943">
        <v>8.9</v>
      </c>
      <c r="Q19" s="411">
        <f t="shared" si="1"/>
        <v>-1.0000000000147224E-2</v>
      </c>
      <c r="R19" s="411">
        <f t="shared" si="0"/>
        <v>4.9737991503207013E-14</v>
      </c>
      <c r="S19" s="411">
        <f t="shared" si="2"/>
        <v>0</v>
      </c>
    </row>
    <row r="20" spans="1:19" s="44" customFormat="1" ht="14.25" customHeight="1">
      <c r="A20" s="432">
        <v>2017</v>
      </c>
      <c r="B20" s="66"/>
      <c r="C20" s="966">
        <v>0.7</v>
      </c>
      <c r="D20" s="967">
        <v>105.05272791200001</v>
      </c>
      <c r="E20" s="739">
        <v>733.13499523712005</v>
      </c>
      <c r="F20" s="881">
        <v>46.446999999999996</v>
      </c>
      <c r="G20" s="866">
        <v>8.6514088931465647</v>
      </c>
      <c r="H20" s="880">
        <v>893.98613204226672</v>
      </c>
      <c r="I20" s="884">
        <v>88.11999999999999</v>
      </c>
      <c r="J20" s="879">
        <v>421.15999999999997</v>
      </c>
      <c r="K20" s="936">
        <v>10.07</v>
      </c>
      <c r="L20" s="968">
        <v>0</v>
      </c>
      <c r="M20" s="969">
        <v>3.5</v>
      </c>
      <c r="N20" s="883">
        <v>522.85</v>
      </c>
      <c r="O20" s="938">
        <v>1416.8561320422666</v>
      </c>
      <c r="P20" s="943">
        <v>0</v>
      </c>
      <c r="Q20" s="411">
        <v>3.730349362740526E-14</v>
      </c>
      <c r="R20" s="411">
        <v>4.9737991503207013E-14</v>
      </c>
      <c r="S20" s="411">
        <v>1.9999999999868123E-2</v>
      </c>
    </row>
    <row r="21" spans="1:19" s="1646" customFormat="1" ht="14.25" customHeight="1">
      <c r="A21" s="432">
        <v>2018</v>
      </c>
      <c r="B21" s="1591"/>
      <c r="C21" s="966">
        <f t="shared" ref="C21:P21" si="3">C25</f>
        <v>0.8</v>
      </c>
      <c r="D21" s="967">
        <f t="shared" si="3"/>
        <v>98.873211310999977</v>
      </c>
      <c r="E21" s="739">
        <f t="shared" si="3"/>
        <v>720.34329391263725</v>
      </c>
      <c r="F21" s="881">
        <f t="shared" si="3"/>
        <v>62.382044116378168</v>
      </c>
      <c r="G21" s="866">
        <f t="shared" si="3"/>
        <v>4.0184891994038079</v>
      </c>
      <c r="H21" s="880">
        <f t="shared" si="3"/>
        <v>886.43703853941918</v>
      </c>
      <c r="I21" s="884">
        <f t="shared" si="3"/>
        <v>90.295329178711086</v>
      </c>
      <c r="J21" s="879">
        <f t="shared" si="3"/>
        <v>412.38831199569279</v>
      </c>
      <c r="K21" s="936">
        <f t="shared" si="3"/>
        <v>53.839999999999996</v>
      </c>
      <c r="L21" s="968">
        <f t="shared" si="3"/>
        <v>0</v>
      </c>
      <c r="M21" s="969">
        <f t="shared" si="3"/>
        <v>3.7646708212889157</v>
      </c>
      <c r="N21" s="883">
        <f t="shared" si="3"/>
        <v>560.28831199569277</v>
      </c>
      <c r="O21" s="938">
        <f t="shared" si="3"/>
        <v>1446.7253505351118</v>
      </c>
      <c r="P21" s="943">
        <f t="shared" si="3"/>
        <v>0</v>
      </c>
      <c r="Q21" s="411">
        <f t="shared" ref="Q21" si="4">H21-C21-D21-E21-F21-G21</f>
        <v>2.0000000000019114E-2</v>
      </c>
      <c r="R21" s="411">
        <f t="shared" ref="R21" si="5">N21-I21-J21-K21-L21-M21</f>
        <v>-2.042810365310288E-14</v>
      </c>
      <c r="S21" s="411">
        <f t="shared" ref="S21" si="6">O21-H21-N21</f>
        <v>0</v>
      </c>
    </row>
    <row r="22" spans="1:19" s="1646" customFormat="1" ht="14.25" customHeight="1">
      <c r="A22" s="851">
        <v>2019</v>
      </c>
      <c r="B22" s="1602"/>
      <c r="C22" s="1647">
        <f t="shared" ref="C22:P22" si="7">C29</f>
        <v>0.9</v>
      </c>
      <c r="D22" s="1648">
        <f t="shared" si="7"/>
        <v>106.15606847700001</v>
      </c>
      <c r="E22" s="1649">
        <f t="shared" si="7"/>
        <v>767.07447262767494</v>
      </c>
      <c r="F22" s="1650">
        <f t="shared" si="7"/>
        <v>54.099999999999994</v>
      </c>
      <c r="G22" s="867">
        <f t="shared" si="7"/>
        <v>7.1979842229950259</v>
      </c>
      <c r="H22" s="1651">
        <f t="shared" si="7"/>
        <v>935.45852532766992</v>
      </c>
      <c r="I22" s="1652">
        <f t="shared" si="7"/>
        <v>43.6</v>
      </c>
      <c r="J22" s="1653">
        <f t="shared" si="7"/>
        <v>388.43530578772834</v>
      </c>
      <c r="K22" s="1654">
        <f t="shared" si="7"/>
        <v>101.77</v>
      </c>
      <c r="L22" s="1655">
        <f t="shared" si="7"/>
        <v>0</v>
      </c>
      <c r="M22" s="1656">
        <f t="shared" si="7"/>
        <v>9.2000000000000011</v>
      </c>
      <c r="N22" s="1657">
        <f t="shared" si="7"/>
        <v>543.03530578772836</v>
      </c>
      <c r="O22" s="1658">
        <f t="shared" si="7"/>
        <v>1478.4637997781185</v>
      </c>
      <c r="P22" s="1613">
        <f t="shared" si="7"/>
        <v>0</v>
      </c>
      <c r="Q22" s="411">
        <f t="shared" ref="Q22" si="8">H22-C22-D22-E22-F22-G22</f>
        <v>3.0000000000021565E-2</v>
      </c>
      <c r="R22" s="411">
        <f t="shared" ref="R22" si="9">N22-I22-J22-K22-L22-M22</f>
        <v>3.0000000000002913E-2</v>
      </c>
      <c r="S22" s="411">
        <f t="shared" ref="S22" si="10">O22-H22-N22</f>
        <v>-3.0031337279751824E-2</v>
      </c>
    </row>
    <row r="23" spans="1:19" s="1646" customFormat="1" ht="20.25" customHeight="1">
      <c r="A23" s="432">
        <v>2018</v>
      </c>
      <c r="B23" s="1659" t="s">
        <v>223</v>
      </c>
      <c r="C23" s="966">
        <v>0.7</v>
      </c>
      <c r="D23" s="967">
        <v>99.985732940999995</v>
      </c>
      <c r="E23" s="739">
        <v>701.92397029120832</v>
      </c>
      <c r="F23" s="881">
        <v>44.50444977579</v>
      </c>
      <c r="G23" s="866">
        <v>5.0621937730000077</v>
      </c>
      <c r="H23" s="880">
        <v>852.1763467809983</v>
      </c>
      <c r="I23" s="884">
        <v>98.47</v>
      </c>
      <c r="J23" s="879">
        <v>436.62</v>
      </c>
      <c r="K23" s="936">
        <v>31.229999999999997</v>
      </c>
      <c r="L23" s="968">
        <v>0</v>
      </c>
      <c r="M23" s="969">
        <v>3.4</v>
      </c>
      <c r="N23" s="883">
        <v>569.72</v>
      </c>
      <c r="O23" s="938">
        <v>1421.8963467809983</v>
      </c>
      <c r="P23" s="943">
        <v>0.25558196195367128</v>
      </c>
      <c r="Q23" s="411">
        <f t="shared" ref="Q23" si="11">H23-C23-D23-E23-F23-G23</f>
        <v>-1.1013412404281553E-13</v>
      </c>
      <c r="R23" s="411">
        <f t="shared" ref="R23" si="12">N23-I23-J23-K23-L23-M23</f>
        <v>0</v>
      </c>
      <c r="S23" s="411">
        <f t="shared" ref="S23" si="13">O23-H23-N23</f>
        <v>0</v>
      </c>
    </row>
    <row r="24" spans="1:19" s="1646" customFormat="1" ht="14.25" customHeight="1">
      <c r="A24" s="432"/>
      <c r="B24" s="1591" t="s">
        <v>224</v>
      </c>
      <c r="C24" s="966">
        <v>0.8</v>
      </c>
      <c r="D24" s="967">
        <v>119.934992053</v>
      </c>
      <c r="E24" s="739">
        <v>707.80027116165206</v>
      </c>
      <c r="F24" s="881">
        <v>39.422044116378167</v>
      </c>
      <c r="G24" s="866">
        <v>7.0656420683620311</v>
      </c>
      <c r="H24" s="880">
        <v>875.01294939939226</v>
      </c>
      <c r="I24" s="884">
        <v>108.20733556471707</v>
      </c>
      <c r="J24" s="879">
        <v>442.83919501080351</v>
      </c>
      <c r="K24" s="936">
        <v>68.66</v>
      </c>
      <c r="L24" s="968">
        <v>0</v>
      </c>
      <c r="M24" s="969">
        <v>3.7226644352829341</v>
      </c>
      <c r="N24" s="883">
        <v>623.40919501080339</v>
      </c>
      <c r="O24" s="938">
        <v>1498.4221444101956</v>
      </c>
      <c r="P24" s="943">
        <v>0</v>
      </c>
      <c r="Q24" s="411">
        <v>-9.9999999999340616E-3</v>
      </c>
      <c r="R24" s="411">
        <v>-2.0000000000078622E-2</v>
      </c>
      <c r="S24" s="411">
        <v>0</v>
      </c>
    </row>
    <row r="25" spans="1:19" s="1646" customFormat="1" ht="14.25" customHeight="1">
      <c r="A25" s="432"/>
      <c r="B25" s="1591" t="s">
        <v>225</v>
      </c>
      <c r="C25" s="966">
        <v>0.8</v>
      </c>
      <c r="D25" s="967">
        <v>98.873211310999977</v>
      </c>
      <c r="E25" s="739">
        <v>720.34329391263725</v>
      </c>
      <c r="F25" s="881">
        <v>62.382044116378168</v>
      </c>
      <c r="G25" s="866">
        <v>4.0184891994038079</v>
      </c>
      <c r="H25" s="880">
        <v>886.43703853941918</v>
      </c>
      <c r="I25" s="884">
        <v>90.295329178711086</v>
      </c>
      <c r="J25" s="879">
        <v>412.38831199569279</v>
      </c>
      <c r="K25" s="936">
        <v>53.839999999999996</v>
      </c>
      <c r="L25" s="968">
        <v>0</v>
      </c>
      <c r="M25" s="969">
        <v>3.7646708212889157</v>
      </c>
      <c r="N25" s="883">
        <v>560.28831199569277</v>
      </c>
      <c r="O25" s="938">
        <v>1446.7253505351118</v>
      </c>
      <c r="P25" s="943">
        <v>0</v>
      </c>
      <c r="Q25" s="411">
        <v>2.0000000000019114E-2</v>
      </c>
      <c r="R25" s="411">
        <v>-2.042810365310288E-14</v>
      </c>
      <c r="S25" s="411">
        <v>0</v>
      </c>
    </row>
    <row r="26" spans="1:19" s="381" customFormat="1" ht="20.25" customHeight="1">
      <c r="A26" s="432">
        <v>2019</v>
      </c>
      <c r="B26" s="821" t="s">
        <v>222</v>
      </c>
      <c r="C26" s="1660">
        <v>0.7</v>
      </c>
      <c r="D26" s="1661">
        <v>91.102047009999993</v>
      </c>
      <c r="E26" s="818">
        <v>718.68889153153407</v>
      </c>
      <c r="F26" s="1561">
        <v>66.3</v>
      </c>
      <c r="G26" s="796">
        <v>2.0190977131003804</v>
      </c>
      <c r="H26" s="808">
        <v>878.81003625463427</v>
      </c>
      <c r="I26" s="1662">
        <v>35.952210810782972</v>
      </c>
      <c r="J26" s="1663">
        <v>389.58432345429384</v>
      </c>
      <c r="K26" s="1664">
        <v>57.12</v>
      </c>
      <c r="L26" s="1665">
        <v>0</v>
      </c>
      <c r="M26" s="767">
        <v>4.307789189217031</v>
      </c>
      <c r="N26" s="1666">
        <v>486.96432345429383</v>
      </c>
      <c r="O26" s="803">
        <v>1365.7743597089282</v>
      </c>
      <c r="P26" s="882">
        <v>0</v>
      </c>
      <c r="Q26" s="411">
        <v>-2.0028423364237824E-13</v>
      </c>
      <c r="R26" s="411">
        <v>8.8817841970012523E-15</v>
      </c>
      <c r="S26" s="411">
        <v>0</v>
      </c>
    </row>
    <row r="27" spans="1:19" s="381" customFormat="1" ht="14.25" customHeight="1">
      <c r="A27" s="432"/>
      <c r="B27" s="821" t="s">
        <v>223</v>
      </c>
      <c r="C27" s="1660">
        <f t="shared" ref="C27:P27" si="14">C33</f>
        <v>0.7</v>
      </c>
      <c r="D27" s="1661">
        <f t="shared" si="14"/>
        <v>84.605541748999997</v>
      </c>
      <c r="E27" s="818">
        <f t="shared" si="14"/>
        <v>730.24708063876892</v>
      </c>
      <c r="F27" s="1561">
        <f t="shared" si="14"/>
        <v>71.209999999999994</v>
      </c>
      <c r="G27" s="796">
        <f t="shared" si="14"/>
        <v>2.289852854770003</v>
      </c>
      <c r="H27" s="808">
        <f t="shared" si="14"/>
        <v>889.00247524253882</v>
      </c>
      <c r="I27" s="1662">
        <f t="shared" si="14"/>
        <v>96.197805410224532</v>
      </c>
      <c r="J27" s="1663">
        <f t="shared" si="14"/>
        <v>404.07213623744076</v>
      </c>
      <c r="K27" s="1664">
        <f t="shared" si="14"/>
        <v>62.78</v>
      </c>
      <c r="L27" s="1665">
        <f t="shared" si="14"/>
        <v>0</v>
      </c>
      <c r="M27" s="767">
        <f t="shared" si="14"/>
        <v>7.1221945897754724</v>
      </c>
      <c r="N27" s="1666">
        <f t="shared" si="14"/>
        <v>570.22213623744074</v>
      </c>
      <c r="O27" s="803">
        <f t="shared" si="14"/>
        <v>1459.2246114799796</v>
      </c>
      <c r="P27" s="882">
        <f t="shared" si="14"/>
        <v>0</v>
      </c>
      <c r="Q27" s="411">
        <f t="shared" ref="Q27" si="15">H27-C27-D27-E27-F27-G27</f>
        <v>-5.0000000000081535E-2</v>
      </c>
      <c r="R27" s="411">
        <f t="shared" ref="R27" si="16">N27-I27-J27-K27-L27-M27</f>
        <v>4.9999999999971401E-2</v>
      </c>
      <c r="S27" s="411">
        <f t="shared" ref="S27" si="17">O27-H27-N27</f>
        <v>0</v>
      </c>
    </row>
    <row r="28" spans="1:19" s="381" customFormat="1" ht="14.25" customHeight="1">
      <c r="A28" s="432"/>
      <c r="B28" s="821" t="s">
        <v>224</v>
      </c>
      <c r="C28" s="1660">
        <f t="shared" ref="C28:P28" si="18">C36</f>
        <v>0.8</v>
      </c>
      <c r="D28" s="1661">
        <f t="shared" si="18"/>
        <v>83.297766334999991</v>
      </c>
      <c r="E28" s="818">
        <f t="shared" si="18"/>
        <v>724.34674992035445</v>
      </c>
      <c r="F28" s="1561">
        <f t="shared" si="18"/>
        <v>36.953103736879996</v>
      </c>
      <c r="G28" s="796">
        <f t="shared" si="18"/>
        <v>7.4109418841700112</v>
      </c>
      <c r="H28" s="808">
        <f t="shared" si="18"/>
        <v>852.8085618764045</v>
      </c>
      <c r="I28" s="1662">
        <f t="shared" si="18"/>
        <v>48.704169835782963</v>
      </c>
      <c r="J28" s="1663">
        <f t="shared" si="18"/>
        <v>380.85087529595825</v>
      </c>
      <c r="K28" s="1664">
        <f t="shared" si="18"/>
        <v>75.19</v>
      </c>
      <c r="L28" s="1665">
        <f t="shared" si="18"/>
        <v>0</v>
      </c>
      <c r="M28" s="767">
        <f t="shared" si="18"/>
        <v>9.6058301642170374</v>
      </c>
      <c r="N28" s="1666">
        <f t="shared" si="18"/>
        <v>514.3508752959583</v>
      </c>
      <c r="O28" s="803">
        <f t="shared" si="18"/>
        <v>1367.1594371723627</v>
      </c>
      <c r="P28" s="882">
        <f t="shared" si="18"/>
        <v>0</v>
      </c>
      <c r="Q28" s="411">
        <f t="shared" ref="Q28" si="19">H28-C28-D28-E28-F28-G28</f>
        <v>7.460698725481052E-14</v>
      </c>
      <c r="R28" s="411">
        <f t="shared" ref="R28" si="20">N28-I28-J28-K28-L28-M28</f>
        <v>4.4408920985006262E-14</v>
      </c>
      <c r="S28" s="411">
        <f t="shared" ref="S28" si="21">O28-H28-N28</f>
        <v>0</v>
      </c>
    </row>
    <row r="29" spans="1:19" s="381" customFormat="1" ht="14.25" customHeight="1">
      <c r="A29" s="432"/>
      <c r="B29" s="821" t="s">
        <v>225</v>
      </c>
      <c r="C29" s="1660">
        <f t="shared" ref="C29:P29" si="22">C39</f>
        <v>0.9</v>
      </c>
      <c r="D29" s="1661">
        <f t="shared" si="22"/>
        <v>106.15606847700001</v>
      </c>
      <c r="E29" s="818">
        <f t="shared" si="22"/>
        <v>767.07447262767494</v>
      </c>
      <c r="F29" s="1561">
        <f t="shared" si="22"/>
        <v>54.099999999999994</v>
      </c>
      <c r="G29" s="796">
        <f t="shared" si="22"/>
        <v>7.1979842229950259</v>
      </c>
      <c r="H29" s="808">
        <f t="shared" si="22"/>
        <v>935.45852532766992</v>
      </c>
      <c r="I29" s="1662">
        <f t="shared" si="22"/>
        <v>43.6</v>
      </c>
      <c r="J29" s="1663">
        <f t="shared" si="22"/>
        <v>388.43530578772834</v>
      </c>
      <c r="K29" s="1664">
        <f t="shared" si="22"/>
        <v>101.77</v>
      </c>
      <c r="L29" s="1665">
        <f t="shared" si="22"/>
        <v>0</v>
      </c>
      <c r="M29" s="767">
        <f t="shared" si="22"/>
        <v>9.2000000000000011</v>
      </c>
      <c r="N29" s="1666">
        <f t="shared" si="22"/>
        <v>543.03530578772836</v>
      </c>
      <c r="O29" s="803">
        <f t="shared" si="22"/>
        <v>1478.4637997781185</v>
      </c>
      <c r="P29" s="882">
        <f t="shared" si="22"/>
        <v>0</v>
      </c>
      <c r="Q29" s="411">
        <f t="shared" ref="Q29" si="23">H29-C29-D29-E29-F29-G29</f>
        <v>3.0000000000021565E-2</v>
      </c>
      <c r="R29" s="411">
        <f t="shared" ref="R29" si="24">N29-I29-J29-K29-L29-M29</f>
        <v>3.0000000000002913E-2</v>
      </c>
      <c r="S29" s="411">
        <f t="shared" ref="S29" si="25">O29-H29-N29</f>
        <v>-3.0031337279751824E-2</v>
      </c>
    </row>
    <row r="30" spans="1:19" s="381" customFormat="1" ht="21" customHeight="1">
      <c r="A30" s="851">
        <v>2020</v>
      </c>
      <c r="B30" s="973" t="s">
        <v>222</v>
      </c>
      <c r="C30" s="1667">
        <f t="shared" ref="C30:P30" si="26">C42</f>
        <v>0.8</v>
      </c>
      <c r="D30" s="1668">
        <f t="shared" si="26"/>
        <v>80.362133021000005</v>
      </c>
      <c r="E30" s="1669">
        <f t="shared" si="26"/>
        <v>807.63693089459207</v>
      </c>
      <c r="F30" s="1670">
        <f t="shared" si="26"/>
        <v>53.78</v>
      </c>
      <c r="G30" s="863">
        <f t="shared" si="26"/>
        <v>9.6124482400327018</v>
      </c>
      <c r="H30" s="1671">
        <f t="shared" si="26"/>
        <v>952.17151215562467</v>
      </c>
      <c r="I30" s="1672">
        <f t="shared" si="26"/>
        <v>93.820000000000007</v>
      </c>
      <c r="J30" s="1673">
        <f t="shared" si="26"/>
        <v>354.22130648462525</v>
      </c>
      <c r="K30" s="1674">
        <f t="shared" si="26"/>
        <v>147.44999999999999</v>
      </c>
      <c r="L30" s="1675">
        <f t="shared" si="26"/>
        <v>0</v>
      </c>
      <c r="M30" s="1386">
        <f t="shared" si="26"/>
        <v>25.02</v>
      </c>
      <c r="N30" s="1676">
        <f t="shared" si="26"/>
        <v>620.51130648462538</v>
      </c>
      <c r="O30" s="1677">
        <f t="shared" si="26"/>
        <v>1572.6828186402497</v>
      </c>
      <c r="P30" s="976">
        <f t="shared" si="26"/>
        <v>0</v>
      </c>
      <c r="Q30" s="411">
        <f t="shared" ref="Q30" si="27">H30-C30-D30-E30-F30-G30</f>
        <v>-2.0000000000035101E-2</v>
      </c>
      <c r="R30" s="411">
        <f t="shared" ref="R30" si="28">N30-I30-J30-K30-L30-M30</f>
        <v>9.5923269327613525E-14</v>
      </c>
      <c r="S30" s="411">
        <f t="shared" ref="S30" si="29">O30-H30-N30</f>
        <v>0</v>
      </c>
    </row>
    <row r="31" spans="1:19" s="411" customFormat="1" ht="20.25" customHeight="1">
      <c r="A31" s="905">
        <v>2019</v>
      </c>
      <c r="B31" s="906" t="s">
        <v>399</v>
      </c>
      <c r="C31" s="966">
        <f>SUM('[32]1'!$C$64:$D$64)</f>
        <v>0.8</v>
      </c>
      <c r="D31" s="967">
        <f>SUM('[32]1'!$C$65:$D$65)+SUM('[32]1'!$C$68:$D$68)+SUM('[32]1'!$C$91:$D$91)</f>
        <v>84.336112063999991</v>
      </c>
      <c r="E31" s="739">
        <f>SUM('[32]1'!$C$75:$D$79)+SUM('[32]1'!$C$85:$D$85)+SUM('[32]1'!$C$88:$D$88)</f>
        <v>725.87821759235499</v>
      </c>
      <c r="F31" s="881">
        <f>SUM('[32]1'!$C$73:$D$74)+SUM('[32]1'!$C$82:$D$82)</f>
        <v>67.97999999999999</v>
      </c>
      <c r="G31" s="866">
        <f>SUM('[32]1'!$C$89:$D$89)+SUM('[32]1'!$C$92:$D$93)</f>
        <v>2.7087426465366438</v>
      </c>
      <c r="H31" s="880">
        <f>SUM('[32]1'!$C$94:$D$94)</f>
        <v>881.70307230289154</v>
      </c>
      <c r="I31" s="884">
        <f>SUM('[32]1'!$E$65:$H$65)+SUM('[32]1'!$E$68:$H$68)</f>
        <v>35.958511496234919</v>
      </c>
      <c r="J31" s="879">
        <f>SUM('[32]1'!$E$72:$H$72)</f>
        <v>391.01228556165302</v>
      </c>
      <c r="K31" s="936">
        <f>SUM('[32]1'!$E$80:$H$80)</f>
        <v>61.27</v>
      </c>
      <c r="L31" s="968">
        <f>SUM('[32]1'!$E$91:$H$91)</f>
        <v>0</v>
      </c>
      <c r="M31" s="969">
        <f>SUM('[32]1'!$E$89:$H$89)+SUM('[32]1'!$E$90:$H$90)+SUM('[32]1'!$E$93:$H$93)</f>
        <v>5.2114885037650804</v>
      </c>
      <c r="N31" s="883">
        <f>SUM('[32]1'!$E$94:$H$94)</f>
        <v>493.45228556165307</v>
      </c>
      <c r="O31" s="938">
        <f>'[32]1'!$I$94</f>
        <v>1375.1553578645444</v>
      </c>
      <c r="P31" s="943">
        <f>SUM('[32]1'!$I$96:$I$98)</f>
        <v>0</v>
      </c>
      <c r="Q31" s="411">
        <f t="shared" ref="Q31" si="30">H31-C31-D31-E31-F31-G31</f>
        <v>5.3290705182007514E-15</v>
      </c>
      <c r="R31" s="411">
        <f t="shared" ref="R31" si="31">N31-I31-J31-K31-L31-M31</f>
        <v>6.5725203057809267E-14</v>
      </c>
      <c r="S31" s="411">
        <f t="shared" ref="S31" si="32">O31-H31-N31</f>
        <v>0</v>
      </c>
    </row>
    <row r="32" spans="1:19" s="411" customFormat="1" ht="14.25" customHeight="1">
      <c r="A32" s="905"/>
      <c r="B32" s="906" t="s">
        <v>400</v>
      </c>
      <c r="C32" s="966">
        <f>SUM('[33]1'!$C$64:$D$64)</f>
        <v>0.6</v>
      </c>
      <c r="D32" s="967">
        <f>SUM('[33]1'!$C$65:$D$65)+SUM('[33]1'!$C$68:$D$68)+SUM('[33]1'!$C$91:$D$91)-0.01</f>
        <v>83.740526569999972</v>
      </c>
      <c r="E32" s="739">
        <f>SUM('[33]1'!$C$75:$D$79)+SUM('[33]1'!$C$85:$D$85)+SUM('[33]1'!$C$88:$D$88)</f>
        <v>726.47444426276263</v>
      </c>
      <c r="F32" s="881">
        <f>SUM('[33]1'!$C$73:$D$74)+SUM('[33]1'!$C$82:$D$82)</f>
        <v>65.84</v>
      </c>
      <c r="G32" s="866">
        <f>SUM('[33]1'!$C$89:$D$89)+SUM('[33]1'!$C$92:$D$93)</f>
        <v>2.1530608703438867</v>
      </c>
      <c r="H32" s="880">
        <f>SUM('[33]1'!$C$94:$D$94)</f>
        <v>878.81803170310639</v>
      </c>
      <c r="I32" s="884">
        <f>SUM('[33]1'!$E$65:$H$65)+SUM('[33]1'!$E$68:$H$68)+0.01</f>
        <v>35.858641137728419</v>
      </c>
      <c r="J32" s="879">
        <f>SUM('[33]1'!$E$72:$H$72)</f>
        <v>390.11728095656997</v>
      </c>
      <c r="K32" s="936">
        <f>SUM('[33]1'!$E$80:$H$80)</f>
        <v>66.239999999999995</v>
      </c>
      <c r="L32" s="968">
        <f>SUM('[33]1'!$E$91:$H$91)</f>
        <v>0</v>
      </c>
      <c r="M32" s="969">
        <f>SUM('[33]1'!$E$89:$H$89)+SUM('[33]1'!$E$90:$H$90)+SUM('[33]1'!$E$93:$H$93)</f>
        <v>6.6513588622715769</v>
      </c>
      <c r="N32" s="883">
        <f>SUM('[33]1'!$E$94:$H$94)</f>
        <v>498.85728095656998</v>
      </c>
      <c r="O32" s="938">
        <f>'[33]1'!$I$94</f>
        <v>1377.6753126596766</v>
      </c>
      <c r="P32" s="943">
        <f>SUM('[33]1'!$I$96:$I$98)</f>
        <v>0</v>
      </c>
      <c r="Q32" s="411">
        <f t="shared" ref="Q32" si="33">H32-C32-D32-E32-F32-G32</f>
        <v>9.9999999999118572E-3</v>
      </c>
      <c r="R32" s="411">
        <f t="shared" ref="R32" si="34">N32-I32-J32-K32-L32-M32</f>
        <v>-9.999999999960707E-3</v>
      </c>
      <c r="S32" s="411">
        <f t="shared" ref="S32" si="35">O32-H32-N32</f>
        <v>0</v>
      </c>
    </row>
    <row r="33" spans="1:19" s="411" customFormat="1" ht="14.25" customHeight="1">
      <c r="A33" s="905"/>
      <c r="B33" s="906" t="s">
        <v>401</v>
      </c>
      <c r="C33" s="966">
        <f>SUM('[34]1'!$C$64:$D$64)</f>
        <v>0.7</v>
      </c>
      <c r="D33" s="967">
        <f>SUM('[34]1'!$C$65:$D$65)+SUM('[34]1'!$C$68:$D$68)+SUM('[34]1'!$C$91:$D$91)</f>
        <v>84.605541748999997</v>
      </c>
      <c r="E33" s="739">
        <f>SUM('[34]1'!$C$75:$D$79)+SUM('[34]1'!$C$85:$D$85)+SUM('[34]1'!$C$88:$D$88)</f>
        <v>730.24708063876892</v>
      </c>
      <c r="F33" s="881">
        <f>SUM('[34]1'!$C$73:$D$74)+SUM('[34]1'!$C$82:$D$82)</f>
        <v>71.209999999999994</v>
      </c>
      <c r="G33" s="866">
        <f>SUM('[34]1'!$C$89:$D$89)+SUM('[34]1'!$C$92:$D$93)+0.05</f>
        <v>2.289852854770003</v>
      </c>
      <c r="H33" s="880">
        <f>SUM('[34]1'!$C$94:$D$94)</f>
        <v>889.00247524253882</v>
      </c>
      <c r="I33" s="884">
        <f>SUM('[34]1'!$E$65:$H$65)+SUM('[34]1'!$E$68:$H$68)</f>
        <v>96.197805410224532</v>
      </c>
      <c r="J33" s="879">
        <f>SUM('[34]1'!$E$72:$H$72)</f>
        <v>404.07213623744076</v>
      </c>
      <c r="K33" s="936">
        <f>SUM('[34]1'!$E$80:$H$80)</f>
        <v>62.78</v>
      </c>
      <c r="L33" s="982">
        <f>SUM('[34]1'!$E$91:$H$91)</f>
        <v>0</v>
      </c>
      <c r="M33" s="969">
        <f>SUM('[34]1'!$E$89:$H$89)+SUM('[34]1'!$E$90:$H$90)+SUM('[34]1'!$E$93:$H$93)-0.05</f>
        <v>7.1221945897754724</v>
      </c>
      <c r="N33" s="883">
        <f>SUM('[34]1'!$E$94:$H$94)</f>
        <v>570.22213623744074</v>
      </c>
      <c r="O33" s="938">
        <f>'[34]1'!$I$94</f>
        <v>1459.2246114799796</v>
      </c>
      <c r="P33" s="943">
        <f>SUM('[34]1'!$I$96:$I$98)</f>
        <v>0</v>
      </c>
      <c r="Q33" s="411">
        <f t="shared" ref="Q33" si="36">H33-C33-D33-E33-F33-G33</f>
        <v>-5.0000000000081535E-2</v>
      </c>
      <c r="R33" s="411">
        <f t="shared" ref="R33" si="37">N33-I33-J33-K33-L33-M33</f>
        <v>4.9999999999971401E-2</v>
      </c>
      <c r="S33" s="411">
        <f t="shared" ref="S33" si="38">O33-H33-N33</f>
        <v>0</v>
      </c>
    </row>
    <row r="34" spans="1:19" s="411" customFormat="1" ht="14.25" customHeight="1">
      <c r="A34" s="905"/>
      <c r="B34" s="906" t="s">
        <v>402</v>
      </c>
      <c r="C34" s="966">
        <f>SUM('[35]1'!$C$64:$D$64)</f>
        <v>0.8</v>
      </c>
      <c r="D34" s="967">
        <f>SUM('[35]1'!$C$65:$D$65)+SUM('[35]1'!$C$68:$D$68)+SUM('[35]1'!$C$91:$D$91)</f>
        <v>80.949512219999988</v>
      </c>
      <c r="E34" s="739">
        <f>SUM('[35]1'!$C$75:$D$79)+SUM('[35]1'!$C$85:$D$85)+SUM('[35]1'!$C$88:$D$88)</f>
        <v>730.34896352123155</v>
      </c>
      <c r="F34" s="881">
        <f>SUM('[35]1'!$C$73:$D$74)+SUM('[35]1'!$C$82:$D$82)</f>
        <v>71.099999999999994</v>
      </c>
      <c r="G34" s="866">
        <f>SUM('[35]1'!$C$89:$D$89)+SUM('[35]1'!$C$92:$D$93)+0.14</f>
        <v>5.4893211158743016E-3</v>
      </c>
      <c r="H34" s="880">
        <f>SUM('[35]1'!$C$94:$D$94)</f>
        <v>883.06396506234739</v>
      </c>
      <c r="I34" s="884">
        <f>SUM('[35]1'!$E$65:$H$65)+SUM('[35]1'!$E$68:$H$68)</f>
        <v>45.163833560782969</v>
      </c>
      <c r="J34" s="879">
        <f>SUM('[35]1'!$E$72:$H$72)</f>
        <v>398.52612994378751</v>
      </c>
      <c r="K34" s="936">
        <f>SUM('[35]1'!$E$80:$H$80)</f>
        <v>70.09</v>
      </c>
      <c r="L34" s="982">
        <f>SUM('[35]1'!$E$91:$H$91)</f>
        <v>0</v>
      </c>
      <c r="M34" s="969">
        <f>SUM('[35]1'!$E$89:$H$89)+SUM('[35]1'!$E$90:$H$90)+SUM('[35]1'!$E$93:$H$93)</f>
        <v>6.9461664392170315</v>
      </c>
      <c r="N34" s="883">
        <f>SUM('[35]1'!$E$94:$H$94)</f>
        <v>520.72612994378744</v>
      </c>
      <c r="O34" s="938">
        <f>'[35]1'!$I$94</f>
        <v>1403.7900950061348</v>
      </c>
      <c r="P34" s="943">
        <f>SUM('[35]1'!$I$96:$I$98)</f>
        <v>0</v>
      </c>
      <c r="Q34" s="411">
        <f t="shared" ref="Q34" si="39">H34-C34-D34-E34-F34-G34</f>
        <v>-0.13999999999995805</v>
      </c>
      <c r="R34" s="411">
        <f t="shared" ref="R34" si="40">N34-I34-J34-K34-L34-M34</f>
        <v>-6.4837024638109142E-14</v>
      </c>
      <c r="S34" s="411">
        <f t="shared" ref="S34" si="41">O34-H34-N34</f>
        <v>0</v>
      </c>
    </row>
    <row r="35" spans="1:19" s="411" customFormat="1" ht="14.25" customHeight="1">
      <c r="A35" s="905"/>
      <c r="B35" s="906" t="s">
        <v>403</v>
      </c>
      <c r="C35" s="966">
        <f>SUM('[36]1'!$C$64:$D$64)</f>
        <v>0.6</v>
      </c>
      <c r="D35" s="967">
        <f>SUM('[36]1'!$C$65:$D$65)+SUM('[36]1'!$C$68:$D$68)+SUM('[36]1'!$C$91:$D$91)</f>
        <v>80.652208226999988</v>
      </c>
      <c r="E35" s="739">
        <f>SUM('[36]1'!$C$75:$D$79)+SUM('[36]1'!$C$85:$D$85)+SUM('[36]1'!$C$88:$D$88)</f>
        <v>731.10672900485974</v>
      </c>
      <c r="F35" s="881">
        <f>SUM('[36]1'!$C$73:$D$74)+SUM('[36]1'!$C$82:$D$82)</f>
        <v>72.91</v>
      </c>
      <c r="G35" s="866">
        <f>SUM('[36]1'!$C$89:$D$89)+SUM('[36]1'!$C$92:$D$93)</f>
        <v>8.8204349967700111</v>
      </c>
      <c r="H35" s="880">
        <f>SUM('[36]1'!$C$94:$D$94)</f>
        <v>894.0893722286296</v>
      </c>
      <c r="I35" s="884">
        <f>SUM('[36]1'!$E$65:$H$65)+SUM('[36]1'!$E$68:$H$68)-0.02</f>
        <v>45.135402860782968</v>
      </c>
      <c r="J35" s="879">
        <f>SUM('[36]1'!$E$72:$H$72)</f>
        <v>390.1982789479909</v>
      </c>
      <c r="K35" s="936">
        <f>SUM('[36]1'!$E$80:$H$80)</f>
        <v>72.569999999999993</v>
      </c>
      <c r="L35" s="982">
        <f>SUM('[36]1'!$E$91:$H$91)</f>
        <v>0</v>
      </c>
      <c r="M35" s="969">
        <f>SUM('[36]1'!$E$89:$H$89)+SUM('[36]1'!$E$90:$H$90)+SUM('[36]1'!$E$93:$H$93)</f>
        <v>11.114597139217031</v>
      </c>
      <c r="N35" s="883">
        <f>SUM('[36]1'!$E$94:$H$94)</f>
        <v>519.03827894799088</v>
      </c>
      <c r="O35" s="938">
        <f>'[36]1'!$I$94</f>
        <v>1413.1276511766205</v>
      </c>
      <c r="P35" s="943">
        <f>SUM('[36]1'!$I$96:$I$98)</f>
        <v>0</v>
      </c>
      <c r="Q35" s="411">
        <f t="shared" ref="Q35" si="42">H35-C35-D35-E35-F35-G35</f>
        <v>-1.3500311979441904E-13</v>
      </c>
      <c r="R35" s="411">
        <f t="shared" ref="R35" si="43">N35-I35-J35-K35-L35-M35</f>
        <v>1.9999999999990692E-2</v>
      </c>
      <c r="S35" s="411">
        <f t="shared" ref="S35" si="44">O35-H35-N35</f>
        <v>0</v>
      </c>
    </row>
    <row r="36" spans="1:19" s="411" customFormat="1" ht="14.25" customHeight="1">
      <c r="A36" s="905"/>
      <c r="B36" s="906" t="s">
        <v>404</v>
      </c>
      <c r="C36" s="966">
        <f>SUM('[37]1'!$C$64:$D$64)</f>
        <v>0.8</v>
      </c>
      <c r="D36" s="967">
        <f>SUM('[37]1'!$C$65:$D$65)+SUM('[37]1'!$C$68:$D$68)+SUM('[37]1'!$C$91:$D$91)</f>
        <v>83.297766334999991</v>
      </c>
      <c r="E36" s="739">
        <f>SUM('[37]1'!$C$75:$D$79)+SUM('[37]1'!$C$85:$D$85)+SUM('[37]1'!$C$88:$D$88)</f>
        <v>724.34674992035445</v>
      </c>
      <c r="F36" s="881">
        <f>SUM('[37]1'!$C$73:$D$74)+SUM('[37]1'!$C$82:$D$82)</f>
        <v>36.953103736879996</v>
      </c>
      <c r="G36" s="866">
        <f>SUM('[37]1'!$C$89:$D$89)+SUM('[37]1'!$C$92:$D$93)</f>
        <v>7.4109418841700112</v>
      </c>
      <c r="H36" s="880">
        <f>SUM('[37]1'!$C$94:$D$94)</f>
        <v>852.8085618764045</v>
      </c>
      <c r="I36" s="884">
        <f>SUM('[37]1'!$E$65:$H$65)+SUM('[37]1'!$E$68:$H$68)</f>
        <v>48.704169835782963</v>
      </c>
      <c r="J36" s="879">
        <f>SUM('[37]1'!$E$72:$H$72)</f>
        <v>380.85087529595825</v>
      </c>
      <c r="K36" s="936">
        <f>SUM('[37]1'!$E$80:$H$80)</f>
        <v>75.19</v>
      </c>
      <c r="L36" s="982">
        <f>SUM('[37]1'!$E$91:$H$91)</f>
        <v>0</v>
      </c>
      <c r="M36" s="969">
        <f>SUM('[37]1'!$E$89:$H$89)+SUM('[37]1'!$E$90:$H$90)+SUM('[37]1'!$E$93:$H$93)</f>
        <v>9.6058301642170374</v>
      </c>
      <c r="N36" s="883">
        <f>SUM('[37]1'!$E$94:$H$94)</f>
        <v>514.3508752959583</v>
      </c>
      <c r="O36" s="938">
        <f>'[37]1'!$I$94</f>
        <v>1367.1594371723627</v>
      </c>
      <c r="P36" s="943">
        <f>SUM('[37]1'!$I$96:$I$98)</f>
        <v>0</v>
      </c>
      <c r="Q36" s="411">
        <f t="shared" ref="Q36" si="45">H36-C36-D36-E36-F36-G36</f>
        <v>7.460698725481052E-14</v>
      </c>
      <c r="R36" s="411">
        <f t="shared" ref="R36" si="46">N36-I36-J36-K36-L36-M36</f>
        <v>4.4408920985006262E-14</v>
      </c>
      <c r="S36" s="411">
        <f t="shared" ref="S36" si="47">O36-H36-N36</f>
        <v>0</v>
      </c>
    </row>
    <row r="37" spans="1:19" s="411" customFormat="1" ht="14.25" customHeight="1">
      <c r="A37" s="905"/>
      <c r="B37" s="906" t="s">
        <v>405</v>
      </c>
      <c r="C37" s="966">
        <f>SUM('[38]1'!$C$64:$D$64)</f>
        <v>0.7</v>
      </c>
      <c r="D37" s="967">
        <f>SUM('[38]1'!$C$65:$D$65)+SUM('[38]1'!$C$68:$D$68)+SUM('[38]1'!$C$91:$D$91)</f>
        <v>76.581618358</v>
      </c>
      <c r="E37" s="739">
        <f>SUM('[38]1'!$C$75:$D$79)+SUM('[38]1'!$C$85:$D$85)+SUM('[38]1'!$C$88:$D$88)</f>
        <v>733.34392350293786</v>
      </c>
      <c r="F37" s="881">
        <f>SUM('[38]1'!$C$73:$D$74)+SUM('[38]1'!$C$82:$D$82)</f>
        <v>56.859286776459996</v>
      </c>
      <c r="G37" s="866">
        <f>SUM('[38]1'!$C$89:$D$89)+SUM('[38]1'!$C$92:$D$93)</f>
        <v>7.7099295431699781</v>
      </c>
      <c r="H37" s="880">
        <f>SUM('[38]1'!$C$94:$D$94)</f>
        <v>875.19475818056753</v>
      </c>
      <c r="I37" s="884">
        <f>SUM('[38]1'!$E$65:$H$65)+SUM('[38]1'!$E$68:$H$68)</f>
        <v>26.444478160782964</v>
      </c>
      <c r="J37" s="879">
        <f>SUM('[38]1'!$E$72:$H$72)</f>
        <v>380.41195675215863</v>
      </c>
      <c r="K37" s="936">
        <f>SUM('[38]1'!$E$80:$H$80)</f>
        <v>117.68054435281377</v>
      </c>
      <c r="L37" s="982">
        <f>SUM('[38]1'!$E$91:$H$91)</f>
        <v>0</v>
      </c>
      <c r="M37" s="969">
        <f>SUM('[38]1'!$E$89:$H$89)+SUM('[38]1'!$E$90:$H$90)+SUM('[38]1'!$E$93:$H$93)</f>
        <v>10.565521839217034</v>
      </c>
      <c r="N37" s="883">
        <f>SUM('[38]1'!$E$94:$H$94)</f>
        <v>535.10250110497248</v>
      </c>
      <c r="O37" s="938">
        <f>'[38]1'!$I$94</f>
        <v>1410.2972592855401</v>
      </c>
      <c r="P37" s="943">
        <f>SUM('[38]1'!$I$96:$I$98)</f>
        <v>0</v>
      </c>
      <c r="Q37" s="411">
        <f t="shared" ref="Q37" si="48">H37-C37-D37-E37-F37-G37</f>
        <v>-3.5615954629975022E-13</v>
      </c>
      <c r="R37" s="411">
        <f t="shared" ref="R37" si="49">N37-I37-J37-K37-L37-M37</f>
        <v>6.3948846218409017E-14</v>
      </c>
      <c r="S37" s="411">
        <f t="shared" ref="S37" si="50">O37-H37-N37</f>
        <v>0</v>
      </c>
    </row>
    <row r="38" spans="1:19" s="411" customFormat="1" ht="14.25" customHeight="1">
      <c r="A38" s="905"/>
      <c r="B38" s="906" t="s">
        <v>406</v>
      </c>
      <c r="C38" s="966">
        <f>SUM('[39]1'!$C$64:$D$64)</f>
        <v>0.70000000000000007</v>
      </c>
      <c r="D38" s="967">
        <f>SUM('[39]1'!$C$65:$D$65)+SUM('[39]1'!$C$68:$D$68)+SUM('[39]1'!$C$91:$D$91)</f>
        <v>85.909831947000001</v>
      </c>
      <c r="E38" s="739">
        <f>SUM('[39]1'!$C$75:$D$79)+SUM('[39]1'!$C$85:$D$85)+SUM('[39]1'!$C$88:$D$88)</f>
        <v>771.2929707176288</v>
      </c>
      <c r="F38" s="881">
        <f>SUM('[39]1'!$C$73:$D$74)+SUM('[39]1'!$C$82:$D$82)</f>
        <v>59.21</v>
      </c>
      <c r="G38" s="866">
        <f>SUM('[39]1'!$C$89:$D$89)+SUM('[39]1'!$C$92:$D$93)</f>
        <v>8.560384455884261</v>
      </c>
      <c r="H38" s="880">
        <f>SUM('[39]1'!$C$94:$D$94)</f>
        <v>925.67318712051292</v>
      </c>
      <c r="I38" s="884">
        <f>SUM('[39]1'!$E$65:$H$65)+SUM('[39]1'!$E$68:$H$68)</f>
        <v>45</v>
      </c>
      <c r="J38" s="879">
        <f>SUM('[39]1'!$E$72:$H$72)</f>
        <v>379.62999999999994</v>
      </c>
      <c r="K38" s="936">
        <f>SUM('[39]1'!$E$80:$H$80)</f>
        <v>102.91999999999999</v>
      </c>
      <c r="L38" s="982">
        <f>SUM('[39]1'!$E$91:$H$91)</f>
        <v>0</v>
      </c>
      <c r="M38" s="969">
        <f>SUM('[39]1'!$E$89:$H$89)+SUM('[39]1'!$E$90:$H$90)+SUM('[39]1'!$E$93:$H$93)</f>
        <v>9.3099999999999969</v>
      </c>
      <c r="N38" s="883">
        <f>SUM('[39]1'!$E$94:$H$94)-0.02</f>
        <v>536.83999999999992</v>
      </c>
      <c r="O38" s="938">
        <f>'[39]1'!$I$94</f>
        <v>1462.533187120513</v>
      </c>
      <c r="P38" s="943">
        <f>SUM('[39]1'!$I$96:$I$98)</f>
        <v>0</v>
      </c>
      <c r="Q38" s="411">
        <f t="shared" ref="Q38" si="51">H38-C38-D38-E38-F38-G38</f>
        <v>-2.3447910280083306E-13</v>
      </c>
      <c r="R38" s="411">
        <f t="shared" ref="R38" si="52">N38-I38-J38-K38-L38-M38</f>
        <v>-2.0000000000004903E-2</v>
      </c>
      <c r="S38" s="411">
        <f t="shared" ref="S38" si="53">O38-H38-N38</f>
        <v>2.0000000000209184E-2</v>
      </c>
    </row>
    <row r="39" spans="1:19" s="411" customFormat="1" ht="14.25" customHeight="1">
      <c r="A39" s="905"/>
      <c r="B39" s="906" t="s">
        <v>407</v>
      </c>
      <c r="C39" s="966">
        <f>SUM('[40]1'!$C$64:$D$64)</f>
        <v>0.9</v>
      </c>
      <c r="D39" s="967">
        <f>SUM('[40]1'!$C$65:$D$65)+SUM('[40]1'!$C$68:$D$68)+SUM('[40]1'!$C$91:$D$91)</f>
        <v>106.15606847700001</v>
      </c>
      <c r="E39" s="739">
        <f>SUM('[40]1'!$C$75:$D$79)+SUM('[40]1'!$C$85:$D$85)+SUM('[40]1'!$C$88:$D$88)</f>
        <v>767.07447262767494</v>
      </c>
      <c r="F39" s="881">
        <f>SUM('[40]1'!$C$73:$D$74)+SUM('[40]1'!$C$82:$D$82)</f>
        <v>54.099999999999994</v>
      </c>
      <c r="G39" s="866">
        <f>SUM('[40]1'!$C$89:$D$89)+SUM('[40]1'!$C$92:$D$93)</f>
        <v>7.1979842229950259</v>
      </c>
      <c r="H39" s="880">
        <f>SUM('[40]1'!$C$94:$D$94)+0.03</f>
        <v>935.45852532766992</v>
      </c>
      <c r="I39" s="884">
        <f>SUM('[40]1'!$E$65:$H$65)+SUM('[40]1'!$E$68:$H$68)</f>
        <v>43.6</v>
      </c>
      <c r="J39" s="879">
        <f>SUM('[40]1'!$E$72:$H$72)-0.03</f>
        <v>388.43530578772834</v>
      </c>
      <c r="K39" s="936">
        <f>SUM('[40]1'!$E$80:$H$80)</f>
        <v>101.77</v>
      </c>
      <c r="L39" s="982">
        <f>SUM('[40]1'!$E$91:$H$91)</f>
        <v>0</v>
      </c>
      <c r="M39" s="969">
        <f>SUM('[40]1'!$E$89:$H$89)+SUM('[40]1'!$E$90:$H$90)+SUM('[40]1'!$E$93:$H$93)</f>
        <v>9.2000000000000011</v>
      </c>
      <c r="N39" s="883">
        <f>SUM('[40]1'!$E$94:$H$94)</f>
        <v>543.03530578772836</v>
      </c>
      <c r="O39" s="938">
        <f>'[40]1'!$I$94</f>
        <v>1478.4637997781185</v>
      </c>
      <c r="P39" s="943">
        <f>SUM('[40]1'!$I$96:$I$98)</f>
        <v>0</v>
      </c>
      <c r="Q39" s="411">
        <f t="shared" ref="Q39" si="54">H39-C39-D39-E39-F39-G39</f>
        <v>3.0000000000021565E-2</v>
      </c>
      <c r="R39" s="411">
        <f t="shared" ref="R39" si="55">N39-I39-J39-K39-L39-M39</f>
        <v>3.0000000000002913E-2</v>
      </c>
      <c r="S39" s="411">
        <f t="shared" ref="S39" si="56">O39-H39-N39</f>
        <v>-3.0031337279751824E-2</v>
      </c>
    </row>
    <row r="40" spans="1:19" s="411" customFormat="1" ht="20.25" customHeight="1">
      <c r="A40" s="905">
        <v>2020</v>
      </c>
      <c r="B40" s="906" t="s">
        <v>408</v>
      </c>
      <c r="C40" s="966">
        <f>SUM('[41]1'!$C$64:$D$64)</f>
        <v>0.6</v>
      </c>
      <c r="D40" s="967">
        <f>SUM('[41]1'!$C$65:$D$65)+SUM('[41]1'!$C$68:$D$68)+SUM('[41]1'!$C$91:$D$91)</f>
        <v>93.408644816999995</v>
      </c>
      <c r="E40" s="739">
        <f>SUM('[41]1'!$C$75:$D$79)+SUM('[41]1'!$C$85:$D$85)+SUM('[41]1'!$C$88:$D$88)</f>
        <v>770.89732322027919</v>
      </c>
      <c r="F40" s="881">
        <f>SUM('[41]1'!$C$73:$D$74)+SUM('[41]1'!$C$82:$D$82)</f>
        <v>54.69</v>
      </c>
      <c r="G40" s="866">
        <f>SUM('[41]1'!$C$89:$D$89)+SUM('[41]1'!$C$92:$D$93)</f>
        <v>6.0075681932901244</v>
      </c>
      <c r="H40" s="880">
        <f>SUM('[41]1'!$C$94:$D$94)</f>
        <v>925.60353623056938</v>
      </c>
      <c r="I40" s="884">
        <f>SUM('[41]1'!$E$65:$H$65)+SUM('[41]1'!$E$68:$H$68)</f>
        <v>49.69</v>
      </c>
      <c r="J40" s="879">
        <f>SUM('[41]1'!$E$72:$H$72)</f>
        <v>386.96152483783277</v>
      </c>
      <c r="K40" s="936">
        <f>SUM('[41]1'!$E$80:$H$80)</f>
        <v>110.1982835112</v>
      </c>
      <c r="L40" s="968">
        <f>SUM('[41]1'!$E$91:$H$91)</f>
        <v>0</v>
      </c>
      <c r="M40" s="969">
        <f>SUM('[41]1'!$E$89:$H$89)+SUM('[41]1'!$E$90:$H$90)+SUM('[41]1'!$E$93:$H$93)</f>
        <v>12.62</v>
      </c>
      <c r="N40" s="883">
        <f>SUM('[41]1'!$E$94:$H$94)</f>
        <v>559.46980834903275</v>
      </c>
      <c r="O40" s="938">
        <f>'[41]1'!$I$94</f>
        <v>1485.073344579602</v>
      </c>
      <c r="P40" s="943">
        <f>SUM('[41]1'!$I$96:$I$98)</f>
        <v>0</v>
      </c>
      <c r="Q40" s="411">
        <f t="shared" ref="Q40" si="57">H40-C40-D40-E40-F40-G40</f>
        <v>5.8619775700208265E-14</v>
      </c>
      <c r="R40" s="411">
        <f t="shared" ref="R40" si="58">N40-I40-J40-K40-L40-M40</f>
        <v>-2.3092638912203256E-14</v>
      </c>
      <c r="S40" s="411">
        <f t="shared" ref="S40" si="59">O40-H40-N40</f>
        <v>0</v>
      </c>
    </row>
    <row r="41" spans="1:19" s="411" customFormat="1" ht="14.25" customHeight="1">
      <c r="A41" s="1082"/>
      <c r="B41" s="906" t="s">
        <v>409</v>
      </c>
      <c r="C41" s="966">
        <f>SUM('[42]1'!$C$64:$D$64)</f>
        <v>0.7</v>
      </c>
      <c r="D41" s="967">
        <f>SUM('[42]1'!$C$65:$D$65)+SUM('[42]1'!$C$68:$D$68)+SUM('[42]1'!$C$91:$D$91)</f>
        <v>87.389263218000011</v>
      </c>
      <c r="E41" s="739">
        <f>SUM('[42]1'!$C$75:$D$79)+SUM('[42]1'!$C$85:$D$85)+SUM('[42]1'!$C$88:$D$88)</f>
        <v>782.97118875117405</v>
      </c>
      <c r="F41" s="881">
        <f>SUM('[42]1'!$C$73:$D$74)+SUM('[42]1'!$C$82:$D$82)</f>
        <v>55.28</v>
      </c>
      <c r="G41" s="866">
        <f>SUM('[42]1'!$C$89:$D$89)+SUM('[42]1'!$C$92:$D$93)</f>
        <v>8.6491127763108224</v>
      </c>
      <c r="H41" s="880">
        <f>SUM('[42]1'!$C$94:$D$94)</f>
        <v>934.98956474548481</v>
      </c>
      <c r="I41" s="884">
        <f>SUM('[42]1'!$E$65:$H$65)+SUM('[42]1'!$E$68:$H$68)</f>
        <v>51.2</v>
      </c>
      <c r="J41" s="879">
        <f>SUM('[42]1'!$E$72:$H$72)+0.02</f>
        <v>367.2608417780109</v>
      </c>
      <c r="K41" s="936">
        <f>SUM('[42]1'!$E$80:$H$80)</f>
        <v>122.03309663662</v>
      </c>
      <c r="L41" s="968">
        <f>SUM('[42]1'!$E$91:$H$91)</f>
        <v>0</v>
      </c>
      <c r="M41" s="969">
        <f>SUM('[42]1'!$E$89:$H$89)+SUM('[42]1'!$E$90:$H$90)+SUM('[42]1'!$E$93:$H$93)</f>
        <v>18.29</v>
      </c>
      <c r="N41" s="883">
        <f>SUM('[42]1'!$E$94:$H$94)</f>
        <v>558.76393841463096</v>
      </c>
      <c r="O41" s="938">
        <f>'[42]1'!$I$94</f>
        <v>1493.753503160116</v>
      </c>
      <c r="P41" s="943">
        <f>SUM('[42]1'!$I$96:$I$98)</f>
        <v>0</v>
      </c>
      <c r="Q41" s="411">
        <f t="shared" ref="Q41" si="60">H41-C41-D41-E41-F41-G41</f>
        <v>-1.0658141036401503E-13</v>
      </c>
      <c r="R41" s="411">
        <f t="shared" ref="R41" si="61">N41-I41-J41-K41-L41-M41</f>
        <v>-1.9999999999932072E-2</v>
      </c>
      <c r="S41" s="411">
        <f t="shared" ref="S41" si="62">O41-H41-N41</f>
        <v>0</v>
      </c>
    </row>
    <row r="42" spans="1:19" s="411" customFormat="1" ht="14.25" customHeight="1">
      <c r="A42" s="1082"/>
      <c r="B42" s="906" t="s">
        <v>398</v>
      </c>
      <c r="C42" s="966">
        <f>SUM('[43]1'!$C$64:$D$64)</f>
        <v>0.8</v>
      </c>
      <c r="D42" s="967">
        <f>SUM('[43]1'!$C$65:$D$65)+SUM('[43]1'!$C$68:$D$68)+SUM('[43]1'!$C$91:$D$91)+0.02</f>
        <v>80.362133021000005</v>
      </c>
      <c r="E42" s="739">
        <f>SUM('[43]1'!$C$75:$D$79)+SUM('[43]1'!$C$85:$D$85)+SUM('[43]1'!$C$88:$D$88)</f>
        <v>807.63693089459207</v>
      </c>
      <c r="F42" s="881">
        <f>SUM('[43]1'!$C$73:$D$74)+SUM('[43]1'!$C$82:$D$82)</f>
        <v>53.78</v>
      </c>
      <c r="G42" s="866">
        <f>SUM('[43]1'!$C$89:$D$89)+SUM('[43]1'!$C$92:$D$93)</f>
        <v>9.6124482400327018</v>
      </c>
      <c r="H42" s="880">
        <f>SUM('[43]1'!$C$94:$D$94)</f>
        <v>952.17151215562467</v>
      </c>
      <c r="I42" s="884">
        <f>SUM('[43]1'!$E$65:$H$65)+SUM('[43]1'!$E$68:$H$68)</f>
        <v>93.820000000000007</v>
      </c>
      <c r="J42" s="879">
        <f>SUM('[43]1'!$E$72:$H$72)</f>
        <v>354.22130648462525</v>
      </c>
      <c r="K42" s="936">
        <f>SUM('[43]1'!$E$80:$H$80)</f>
        <v>147.44999999999999</v>
      </c>
      <c r="L42" s="968">
        <f>SUM('[43]1'!$E$91:$H$91)</f>
        <v>0</v>
      </c>
      <c r="M42" s="969">
        <f>SUM('[43]1'!$E$89:$H$89)+SUM('[43]1'!$E$90:$H$90)+SUM('[43]1'!$E$93:$H$93)</f>
        <v>25.02</v>
      </c>
      <c r="N42" s="883">
        <f>SUM('[43]1'!$E$94:$H$94)</f>
        <v>620.51130648462538</v>
      </c>
      <c r="O42" s="938">
        <f>'[43]1'!$I$94</f>
        <v>1572.6828186402497</v>
      </c>
      <c r="P42" s="943">
        <f>SUM('[43]1'!$I$96:$I$98)</f>
        <v>0</v>
      </c>
      <c r="Q42" s="411">
        <f t="shared" ref="Q42" si="63">H42-C42-D42-E42-F42-G42</f>
        <v>-2.0000000000035101E-2</v>
      </c>
      <c r="R42" s="411">
        <f t="shared" ref="R42" si="64">N42-I42-J42-K42-L42-M42</f>
        <v>9.5923269327613525E-14</v>
      </c>
      <c r="S42" s="411">
        <f t="shared" ref="S42" si="65">O42-H42-N42</f>
        <v>0</v>
      </c>
    </row>
    <row r="43" spans="1:19" s="411" customFormat="1" ht="14.25" customHeight="1">
      <c r="A43" s="1082"/>
      <c r="B43" s="906" t="s">
        <v>399</v>
      </c>
      <c r="C43" s="966">
        <f>SUM('[44]1'!$C$64:$D$64)</f>
        <v>0.8</v>
      </c>
      <c r="D43" s="967">
        <f>SUM('[44]1'!$C$65:$D$65)+SUM('[44]1'!$C$68:$D$68)+SUM('[44]1'!$C$91:$D$91)</f>
        <v>79.724622069999995</v>
      </c>
      <c r="E43" s="739">
        <f>SUM('[44]1'!$C$75:$D$79)+SUM('[44]1'!$C$85:$D$85)+SUM('[44]1'!$C$88:$D$88)</f>
        <v>889.22513003719826</v>
      </c>
      <c r="F43" s="881">
        <f>SUM('[44]1'!$C$73:$D$74)+SUM('[44]1'!$C$82:$D$82)</f>
        <v>53.91</v>
      </c>
      <c r="G43" s="866">
        <f>SUM('[44]1'!$C$89:$D$89)+SUM('[44]1'!$C$92:$D$93)</f>
        <v>9.0886484490000061</v>
      </c>
      <c r="H43" s="880">
        <f>SUM('[44]1'!$C$94:$D$94)</f>
        <v>1032.748373704932</v>
      </c>
      <c r="I43" s="884">
        <f>SUM('[44]1'!$E$65:$H$65)+SUM('[44]1'!$E$68:$H$68)</f>
        <v>44.277872586357063</v>
      </c>
      <c r="J43" s="879">
        <f>SUM('[44]1'!$E$72:$H$72)</f>
        <v>358.38072287482839</v>
      </c>
      <c r="K43" s="936">
        <f>SUM('[44]1'!$E$80:$H$80)</f>
        <v>148.32999999999998</v>
      </c>
      <c r="L43" s="968">
        <f>SUM('[44]1'!$E$91:$H$91)</f>
        <v>0</v>
      </c>
      <c r="M43" s="969">
        <f>SUM('[44]1'!$E$89:$H$89)+SUM('[44]1'!$E$90:$H$90)+SUM('[44]1'!$E$93:$H$93)</f>
        <v>27.650000000000002</v>
      </c>
      <c r="N43" s="883">
        <f>SUM('[44]1'!$E$94:$H$94)+0.02</f>
        <v>578.65859546118543</v>
      </c>
      <c r="O43" s="938">
        <f>'[44]1'!$I$94</f>
        <v>1611.3869691661173</v>
      </c>
      <c r="P43" s="943">
        <f>SUM('[44]1'!$I$96:$I$98)</f>
        <v>0</v>
      </c>
      <c r="Q43" s="411">
        <f t="shared" ref="Q43" si="66">H43-C43-D43-E43-F43-G43</f>
        <v>-2.6851266257565953E-5</v>
      </c>
      <c r="R43" s="411">
        <f t="shared" ref="R43" si="67">N43-I43-J43-K43-L43-M43</f>
        <v>2.0000000000013785E-2</v>
      </c>
      <c r="S43" s="411">
        <f t="shared" ref="S43" si="68">O43-H43-N43</f>
        <v>-2.0000000000095497E-2</v>
      </c>
    </row>
    <row r="44" spans="1:19" ht="19.5" customHeight="1">
      <c r="A44" s="405" t="s">
        <v>1002</v>
      </c>
      <c r="B44" s="236"/>
      <c r="C44" s="236"/>
      <c r="D44" s="236"/>
      <c r="E44" s="236"/>
      <c r="F44" s="236"/>
      <c r="G44" s="236"/>
      <c r="H44" s="236"/>
      <c r="I44" s="236"/>
      <c r="J44" s="236"/>
      <c r="K44" s="236"/>
      <c r="L44" s="236"/>
      <c r="M44" s="236"/>
      <c r="N44" s="236"/>
      <c r="O44" s="868"/>
      <c r="P44" s="868" t="s">
        <v>1003</v>
      </c>
    </row>
    <row r="45" spans="1:19">
      <c r="A45" s="406" t="s">
        <v>1004</v>
      </c>
      <c r="O45" s="885"/>
      <c r="P45" s="885" t="s">
        <v>1005</v>
      </c>
    </row>
    <row r="46" spans="1:19">
      <c r="A46" s="407" t="s">
        <v>1006</v>
      </c>
      <c r="O46" s="885"/>
      <c r="P46" s="885" t="s">
        <v>1007</v>
      </c>
    </row>
    <row r="47" spans="1:19">
      <c r="A47" s="29" t="s">
        <v>1008</v>
      </c>
      <c r="P47" s="885" t="s">
        <v>1009</v>
      </c>
    </row>
    <row r="49" spans="1:16">
      <c r="A49" s="408" t="s">
        <v>1010</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5"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dimension ref="A1:S49"/>
  <sheetViews>
    <sheetView zoomScale="85" zoomScaleNormal="85" workbookViewId="0">
      <pane ySplit="11" topLeftCell="A39" activePane="bottomLeft" state="frozen"/>
      <selection activeCell="A49" sqref="A1:XFD1048576"/>
      <selection pane="bottomLeft" activeCell="A49" sqref="A1:XFD1048576"/>
    </sheetView>
  </sheetViews>
  <sheetFormatPr defaultRowHeight="12.75"/>
  <cols>
    <col min="1" max="2" width="9.7109375" style="29" customWidth="1"/>
    <col min="3" max="3" width="10.28515625" style="29" customWidth="1"/>
    <col min="4" max="4" width="12.7109375" style="29" customWidth="1"/>
    <col min="5" max="5" width="14" style="29" customWidth="1"/>
    <col min="6" max="6" width="14.7109375" style="29" customWidth="1"/>
    <col min="7" max="7" width="8.85546875" style="29" customWidth="1"/>
    <col min="8" max="8" width="12" style="29" customWidth="1"/>
    <col min="9" max="9" width="10.42578125" style="29" customWidth="1"/>
    <col min="10" max="10" width="12.7109375" style="29" customWidth="1"/>
    <col min="11" max="11" width="14" style="29" customWidth="1"/>
    <col min="12" max="12" width="12.7109375" style="29" customWidth="1"/>
    <col min="13" max="13" width="9" style="29" customWidth="1"/>
    <col min="14" max="14" width="10.7109375" style="29" customWidth="1"/>
    <col min="15" max="15" width="12.7109375" style="29" customWidth="1"/>
    <col min="16" max="16" width="10.7109375" style="29" customWidth="1"/>
    <col min="17" max="16384" width="9.140625" style="29"/>
  </cols>
  <sheetData>
    <row r="1" spans="1:19" s="9" customFormat="1" ht="18" customHeight="1">
      <c r="A1" s="1471" t="s">
        <v>1614</v>
      </c>
      <c r="B1" s="1337"/>
      <c r="C1" s="1337"/>
      <c r="D1" s="1337"/>
      <c r="E1" s="1337"/>
      <c r="F1" s="1337"/>
      <c r="G1" s="1337"/>
      <c r="H1" s="1337"/>
      <c r="I1" s="1337"/>
      <c r="J1" s="1337"/>
      <c r="K1" s="1337"/>
      <c r="L1" s="1337"/>
      <c r="M1" s="1337"/>
      <c r="N1" s="1337"/>
      <c r="O1" s="1337"/>
      <c r="P1" s="1337"/>
      <c r="Q1" s="31"/>
      <c r="R1" s="31"/>
      <c r="S1" s="31"/>
    </row>
    <row r="2" spans="1:19" s="9" customFormat="1" ht="18" customHeight="1">
      <c r="A2" s="1469" t="s">
        <v>981</v>
      </c>
      <c r="B2" s="1470"/>
      <c r="C2" s="1470"/>
      <c r="D2" s="1470"/>
      <c r="E2" s="1470"/>
      <c r="F2" s="1470"/>
      <c r="G2" s="1470"/>
      <c r="H2" s="1470"/>
      <c r="I2" s="1470"/>
      <c r="J2" s="1470"/>
      <c r="K2" s="1470"/>
      <c r="L2" s="1470"/>
      <c r="M2" s="1470"/>
      <c r="N2" s="1470"/>
      <c r="O2" s="1470"/>
      <c r="P2" s="1470"/>
      <c r="Q2" s="31"/>
      <c r="R2" s="31"/>
      <c r="S2" s="31"/>
    </row>
    <row r="3" spans="1:19" s="9" customFormat="1" ht="18" customHeight="1">
      <c r="A3" s="1471" t="s">
        <v>982</v>
      </c>
      <c r="B3" s="1470"/>
      <c r="C3" s="1470"/>
      <c r="D3" s="1470"/>
      <c r="E3" s="1470"/>
      <c r="F3" s="1470"/>
      <c r="G3" s="1470"/>
      <c r="H3" s="1470"/>
      <c r="I3" s="1470"/>
      <c r="J3" s="1470"/>
      <c r="K3" s="1470"/>
      <c r="L3" s="1470"/>
      <c r="M3" s="1470"/>
      <c r="N3" s="1470"/>
      <c r="O3" s="1470"/>
      <c r="P3" s="1470"/>
      <c r="Q3" s="31"/>
      <c r="R3" s="31"/>
      <c r="S3" s="31"/>
    </row>
    <row r="4" spans="1:19" s="9" customFormat="1" ht="18" customHeight="1">
      <c r="A4" s="18" t="s">
        <v>1011</v>
      </c>
      <c r="B4" s="1337"/>
      <c r="C4" s="1337"/>
      <c r="D4" s="1337"/>
      <c r="E4" s="1337"/>
      <c r="F4" s="1337"/>
      <c r="G4" s="1337"/>
      <c r="H4" s="1337"/>
      <c r="I4" s="1337"/>
      <c r="J4" s="1337"/>
      <c r="K4" s="1337"/>
      <c r="L4" s="1337"/>
      <c r="M4" s="1337"/>
      <c r="N4" s="1337"/>
      <c r="O4" s="1337"/>
      <c r="P4" s="1337"/>
      <c r="Q4" s="31"/>
      <c r="R4" s="31"/>
      <c r="S4" s="31"/>
    </row>
    <row r="5" spans="1:19" ht="20.25" customHeight="1">
      <c r="A5" s="1472" t="s">
        <v>1012</v>
      </c>
      <c r="B5" s="3"/>
      <c r="C5" s="3"/>
      <c r="D5" s="3"/>
      <c r="E5" s="3"/>
      <c r="F5" s="3"/>
      <c r="G5" s="3"/>
      <c r="H5" s="3"/>
      <c r="I5" s="3"/>
      <c r="J5" s="3"/>
      <c r="K5" s="3"/>
      <c r="L5" s="3"/>
      <c r="M5" s="3"/>
      <c r="N5" s="3"/>
      <c r="O5" s="3"/>
      <c r="P5" s="3"/>
    </row>
    <row r="6" spans="1:19" ht="13.5" customHeight="1">
      <c r="A6" s="9" t="s">
        <v>354</v>
      </c>
      <c r="O6" s="9"/>
      <c r="P6" s="9" t="s">
        <v>355</v>
      </c>
    </row>
    <row r="7" spans="1:19" s="52" customFormat="1" ht="23.25" customHeight="1">
      <c r="A7" s="49"/>
      <c r="B7" s="50"/>
      <c r="C7" s="284" t="s">
        <v>824</v>
      </c>
      <c r="D7" s="45"/>
      <c r="E7" s="133"/>
      <c r="F7" s="133"/>
      <c r="G7" s="133"/>
      <c r="H7" s="1473" t="s">
        <v>825</v>
      </c>
      <c r="I7" s="1474" t="s">
        <v>1013</v>
      </c>
      <c r="J7" s="132"/>
      <c r="K7" s="133"/>
      <c r="L7" s="133"/>
      <c r="M7" s="133"/>
      <c r="N7" s="1473" t="s">
        <v>1014</v>
      </c>
      <c r="O7" s="1475"/>
      <c r="P7" s="1475"/>
    </row>
    <row r="8" spans="1:19" s="44" customFormat="1" ht="16.5" customHeight="1">
      <c r="A8" s="395" t="s">
        <v>364</v>
      </c>
      <c r="B8" s="88"/>
      <c r="D8" s="290" t="s">
        <v>481</v>
      </c>
      <c r="E8" s="290"/>
      <c r="F8" s="290" t="s">
        <v>371</v>
      </c>
      <c r="G8" s="396"/>
      <c r="I8" s="290"/>
      <c r="J8" s="290"/>
      <c r="K8" s="396" t="s">
        <v>989</v>
      </c>
      <c r="L8" s="290" t="s">
        <v>371</v>
      </c>
      <c r="M8" s="397"/>
      <c r="O8" s="69" t="s">
        <v>827</v>
      </c>
      <c r="P8" s="290" t="s">
        <v>990</v>
      </c>
    </row>
    <row r="9" spans="1:19" s="44" customFormat="1" ht="16.5" customHeight="1">
      <c r="A9" s="68" t="s">
        <v>372</v>
      </c>
      <c r="B9" s="80"/>
      <c r="C9" s="290" t="s">
        <v>418</v>
      </c>
      <c r="D9" s="291" t="s">
        <v>781</v>
      </c>
      <c r="E9" s="291" t="s">
        <v>376</v>
      </c>
      <c r="F9" s="291" t="s">
        <v>1015</v>
      </c>
      <c r="G9" s="103" t="s">
        <v>782</v>
      </c>
      <c r="H9" s="290" t="s">
        <v>1016</v>
      </c>
      <c r="I9" s="290" t="s">
        <v>418</v>
      </c>
      <c r="J9" s="86" t="s">
        <v>845</v>
      </c>
      <c r="K9" s="290" t="s">
        <v>991</v>
      </c>
      <c r="L9" s="291" t="s">
        <v>1015</v>
      </c>
      <c r="M9" s="397" t="s">
        <v>377</v>
      </c>
      <c r="N9" s="290" t="s">
        <v>367</v>
      </c>
      <c r="O9" s="290" t="s">
        <v>359</v>
      </c>
      <c r="P9" s="69" t="s">
        <v>992</v>
      </c>
    </row>
    <row r="10" spans="1:19" s="44" customFormat="1" ht="16.5" customHeight="1">
      <c r="A10" s="89"/>
      <c r="B10" s="80"/>
      <c r="C10" s="399"/>
      <c r="D10" s="115" t="s">
        <v>784</v>
      </c>
      <c r="E10" s="115" t="s">
        <v>455</v>
      </c>
      <c r="F10" s="115" t="s">
        <v>389</v>
      </c>
      <c r="G10" s="409"/>
      <c r="H10" s="245"/>
      <c r="I10" s="399"/>
      <c r="J10" s="115"/>
      <c r="K10" s="245" t="s">
        <v>995</v>
      </c>
      <c r="L10" s="115" t="s">
        <v>389</v>
      </c>
      <c r="M10" s="400"/>
      <c r="N10" s="245"/>
      <c r="O10" s="399" t="s">
        <v>378</v>
      </c>
      <c r="P10" s="399" t="s">
        <v>996</v>
      </c>
    </row>
    <row r="11" spans="1:19" s="44" customFormat="1" ht="16.5" customHeight="1">
      <c r="A11" s="89"/>
      <c r="B11" s="80"/>
      <c r="C11" s="399" t="s">
        <v>391</v>
      </c>
      <c r="D11" s="115" t="s">
        <v>786</v>
      </c>
      <c r="E11" s="115" t="s">
        <v>486</v>
      </c>
      <c r="F11" s="115" t="s">
        <v>396</v>
      </c>
      <c r="G11" s="115" t="s">
        <v>385</v>
      </c>
      <c r="H11" s="245" t="s">
        <v>378</v>
      </c>
      <c r="I11" s="245" t="s">
        <v>391</v>
      </c>
      <c r="J11" s="115" t="s">
        <v>786</v>
      </c>
      <c r="K11" s="69" t="s">
        <v>1000</v>
      </c>
      <c r="L11" s="115" t="s">
        <v>396</v>
      </c>
      <c r="M11" s="400" t="s">
        <v>385</v>
      </c>
      <c r="N11" s="245" t="s">
        <v>378</v>
      </c>
      <c r="O11" s="245" t="s">
        <v>358</v>
      </c>
      <c r="P11" s="245" t="s">
        <v>762</v>
      </c>
    </row>
    <row r="12" spans="1:19" s="44" customFormat="1" ht="16.5" customHeight="1">
      <c r="A12" s="94"/>
      <c r="B12" s="106"/>
      <c r="C12" s="403" t="s">
        <v>813</v>
      </c>
      <c r="D12" s="149"/>
      <c r="E12" s="404"/>
      <c r="F12" s="410"/>
      <c r="G12" s="149"/>
      <c r="H12" s="148"/>
      <c r="I12" s="148"/>
      <c r="J12" s="149"/>
      <c r="K12" s="140"/>
      <c r="L12" s="126"/>
      <c r="M12" s="149"/>
      <c r="N12" s="148"/>
      <c r="O12" s="148" t="s">
        <v>812</v>
      </c>
      <c r="P12" s="148" t="s">
        <v>1001</v>
      </c>
    </row>
    <row r="13" spans="1:19" s="44" customFormat="1" ht="16.5" hidden="1" customHeight="1">
      <c r="A13" s="89"/>
      <c r="B13" s="66"/>
      <c r="C13" s="401"/>
      <c r="D13" s="891"/>
      <c r="E13" s="892"/>
      <c r="F13" s="894"/>
      <c r="G13" s="115"/>
      <c r="H13" s="245"/>
      <c r="I13" s="245"/>
      <c r="J13" s="891"/>
      <c r="K13" s="82"/>
      <c r="L13" s="77"/>
      <c r="M13" s="115"/>
      <c r="N13" s="245"/>
      <c r="O13" s="245"/>
      <c r="P13" s="245"/>
    </row>
    <row r="14" spans="1:19" s="44" customFormat="1" ht="16.5" hidden="1" customHeight="1">
      <c r="A14" s="89"/>
      <c r="B14" s="66"/>
      <c r="C14" s="401"/>
      <c r="D14" s="891"/>
      <c r="E14" s="892"/>
      <c r="F14" s="894"/>
      <c r="G14" s="115"/>
      <c r="H14" s="245"/>
      <c r="I14" s="245"/>
      <c r="J14" s="891"/>
      <c r="K14" s="82"/>
      <c r="L14" s="77"/>
      <c r="M14" s="115"/>
      <c r="N14" s="245"/>
      <c r="O14" s="245"/>
      <c r="P14" s="245"/>
    </row>
    <row r="15" spans="1:19" s="44" customFormat="1" ht="16.5" hidden="1" customHeight="1">
      <c r="A15" s="89"/>
      <c r="B15" s="66"/>
      <c r="C15" s="401"/>
      <c r="D15" s="891"/>
      <c r="E15" s="892"/>
      <c r="F15" s="894"/>
      <c r="G15" s="115"/>
      <c r="H15" s="245"/>
      <c r="I15" s="245"/>
      <c r="J15" s="891"/>
      <c r="K15" s="82"/>
      <c r="L15" s="77"/>
      <c r="M15" s="115"/>
      <c r="N15" s="245"/>
      <c r="O15" s="245"/>
      <c r="P15" s="245"/>
    </row>
    <row r="16" spans="1:19" s="44" customFormat="1" ht="19.5" customHeight="1">
      <c r="A16" s="1578">
        <v>2013</v>
      </c>
      <c r="B16" s="66"/>
      <c r="C16" s="1579">
        <v>828.24999532139384</v>
      </c>
      <c r="D16" s="1580">
        <v>83.332012355454012</v>
      </c>
      <c r="E16" s="1581">
        <v>128.26152838593217</v>
      </c>
      <c r="F16" s="1582">
        <v>86.560665097620003</v>
      </c>
      <c r="G16" s="1583">
        <v>14.937949113999998</v>
      </c>
      <c r="H16" s="1584">
        <v>1141.3421502744002</v>
      </c>
      <c r="I16" s="1584">
        <v>458.62790748500004</v>
      </c>
      <c r="J16" s="1585">
        <v>214.08353001672711</v>
      </c>
      <c r="K16" s="1586">
        <v>0</v>
      </c>
      <c r="L16" s="1587">
        <v>4.3105025580000005</v>
      </c>
      <c r="M16" s="1588">
        <v>0</v>
      </c>
      <c r="N16" s="1589">
        <v>677.02194005972717</v>
      </c>
      <c r="O16" s="1590">
        <v>1818.3440903341273</v>
      </c>
      <c r="P16" s="878">
        <v>0.5</v>
      </c>
      <c r="Q16" s="411">
        <f t="shared" ref="Q16:Q19" si="0">H16-C16-D16-E16-F16-G16</f>
        <v>1.4921397450962104E-13</v>
      </c>
      <c r="R16" s="411">
        <f t="shared" ref="R16:R19" si="1">N16-I16-J16-K16-L16-M16</f>
        <v>2.3980817331903381E-14</v>
      </c>
      <c r="S16" s="411">
        <f t="shared" ref="S16:S19" si="2">O16-H16-N16</f>
        <v>-2.0000000000095497E-2</v>
      </c>
    </row>
    <row r="17" spans="1:19" s="44" customFormat="1" ht="14.25" customHeight="1">
      <c r="A17" s="432">
        <v>2014</v>
      </c>
      <c r="B17" s="66"/>
      <c r="C17" s="927">
        <v>177.6740946558416</v>
      </c>
      <c r="D17" s="886">
        <v>256.31341662972267</v>
      </c>
      <c r="E17" s="889">
        <v>169.67154199999999</v>
      </c>
      <c r="F17" s="940">
        <v>35.808030346312066</v>
      </c>
      <c r="G17" s="887">
        <v>49.916821896687935</v>
      </c>
      <c r="H17" s="866">
        <v>689.38390552856424</v>
      </c>
      <c r="I17" s="866">
        <v>417.17634745299995</v>
      </c>
      <c r="J17" s="941">
        <v>374.34194966295399</v>
      </c>
      <c r="K17" s="942">
        <v>0</v>
      </c>
      <c r="L17" s="933">
        <v>2.6333299999999999</v>
      </c>
      <c r="M17" s="750">
        <v>0</v>
      </c>
      <c r="N17" s="888">
        <v>794.14162711595395</v>
      </c>
      <c r="O17" s="890">
        <v>1483.5355326445183</v>
      </c>
      <c r="P17" s="943">
        <v>0</v>
      </c>
      <c r="Q17" s="411">
        <f t="shared" si="0"/>
        <v>0</v>
      </c>
      <c r="R17" s="411">
        <f t="shared" si="1"/>
        <v>-9.9999999999900169E-3</v>
      </c>
      <c r="S17" s="411">
        <f t="shared" si="2"/>
        <v>1.0000000000104592E-2</v>
      </c>
    </row>
    <row r="18" spans="1:19" s="44" customFormat="1" ht="14.25" customHeight="1">
      <c r="A18" s="432">
        <v>2015</v>
      </c>
      <c r="B18" s="66"/>
      <c r="C18" s="927">
        <v>228.88728796164293</v>
      </c>
      <c r="D18" s="886">
        <v>286.19799999999998</v>
      </c>
      <c r="E18" s="889">
        <v>221.94642088394656</v>
      </c>
      <c r="F18" s="940">
        <v>89.432658631645495</v>
      </c>
      <c r="G18" s="887">
        <v>45.787290614025068</v>
      </c>
      <c r="H18" s="866">
        <v>872.24165809126009</v>
      </c>
      <c r="I18" s="866">
        <v>448.92700000000002</v>
      </c>
      <c r="J18" s="941">
        <v>140.71299999999997</v>
      </c>
      <c r="K18" s="942">
        <v>0</v>
      </c>
      <c r="L18" s="933">
        <v>5.3580000000000005</v>
      </c>
      <c r="M18" s="750">
        <v>4.3899999999999997</v>
      </c>
      <c r="N18" s="888">
        <v>599.35799999999995</v>
      </c>
      <c r="O18" s="890">
        <v>1471.6096580912599</v>
      </c>
      <c r="P18" s="943">
        <v>0</v>
      </c>
      <c r="Q18" s="411">
        <f t="shared" si="0"/>
        <v>-9.9999999999909051E-3</v>
      </c>
      <c r="R18" s="411">
        <f t="shared" si="1"/>
        <v>-3.0000000000039329E-2</v>
      </c>
      <c r="S18" s="411">
        <f t="shared" si="2"/>
        <v>9.9999999998772182E-3</v>
      </c>
    </row>
    <row r="19" spans="1:19" s="44" customFormat="1" ht="14.25" customHeight="1">
      <c r="A19" s="432">
        <v>2016</v>
      </c>
      <c r="B19" s="66"/>
      <c r="C19" s="927">
        <v>621.64555634643716</v>
      </c>
      <c r="D19" s="886">
        <v>210.86665821162947</v>
      </c>
      <c r="E19" s="889">
        <v>242.18564280398834</v>
      </c>
      <c r="F19" s="940">
        <v>135.67346461222417</v>
      </c>
      <c r="G19" s="887">
        <v>60.5276914151952</v>
      </c>
      <c r="H19" s="866">
        <v>1270.9190133894742</v>
      </c>
      <c r="I19" s="866">
        <v>229.96600000000001</v>
      </c>
      <c r="J19" s="941">
        <v>29.878</v>
      </c>
      <c r="K19" s="942">
        <v>0</v>
      </c>
      <c r="L19" s="933">
        <v>8.2897783469999986</v>
      </c>
      <c r="M19" s="750">
        <v>1.04</v>
      </c>
      <c r="N19" s="888">
        <v>269.173778347</v>
      </c>
      <c r="O19" s="890">
        <v>1540.0927917364743</v>
      </c>
      <c r="P19" s="943">
        <v>8.9</v>
      </c>
      <c r="Q19" s="411">
        <f t="shared" si="0"/>
        <v>1.9999999999917861E-2</v>
      </c>
      <c r="R19" s="411">
        <f t="shared" si="1"/>
        <v>-1.1546319456101628E-14</v>
      </c>
      <c r="S19" s="411">
        <f t="shared" si="2"/>
        <v>0</v>
      </c>
    </row>
    <row r="20" spans="1:19" s="44" customFormat="1" ht="14.25" customHeight="1">
      <c r="A20" s="432">
        <v>2017</v>
      </c>
      <c r="B20" s="66"/>
      <c r="C20" s="927">
        <v>502.50407615285201</v>
      </c>
      <c r="D20" s="886">
        <v>65.549000000000007</v>
      </c>
      <c r="E20" s="889">
        <v>258.07765769511997</v>
      </c>
      <c r="F20" s="940">
        <v>79.718753881003835</v>
      </c>
      <c r="G20" s="887">
        <v>28.957433020996149</v>
      </c>
      <c r="H20" s="866">
        <v>934.80692074997205</v>
      </c>
      <c r="I20" s="866">
        <v>329.57100000000003</v>
      </c>
      <c r="J20" s="941">
        <v>25.216000000000001</v>
      </c>
      <c r="K20" s="942">
        <v>4.0000000000000001E-3</v>
      </c>
      <c r="L20" s="933">
        <v>2.96</v>
      </c>
      <c r="M20" s="750">
        <v>1.71</v>
      </c>
      <c r="N20" s="888">
        <v>359.46100000000001</v>
      </c>
      <c r="O20" s="890">
        <v>1294.2679207499718</v>
      </c>
      <c r="P20" s="943">
        <v>0</v>
      </c>
      <c r="Q20" s="411">
        <v>1.1368683772161603E-13</v>
      </c>
      <c r="R20" s="411">
        <v>-1.4210854715202004E-14</v>
      </c>
      <c r="S20" s="411">
        <v>0</v>
      </c>
    </row>
    <row r="21" spans="1:19" s="381" customFormat="1" ht="14.25" customHeight="1">
      <c r="A21" s="432">
        <v>2018</v>
      </c>
      <c r="B21" s="1591"/>
      <c r="C21" s="1592">
        <f t="shared" ref="C21:P21" si="3">C25</f>
        <v>519.93153725181548</v>
      </c>
      <c r="D21" s="1593">
        <f t="shared" si="3"/>
        <v>53.591862137000007</v>
      </c>
      <c r="E21" s="1594">
        <f t="shared" si="3"/>
        <v>222.623177791442</v>
      </c>
      <c r="F21" s="1595">
        <f t="shared" si="3"/>
        <v>96.1531377137063</v>
      </c>
      <c r="G21" s="1596">
        <f t="shared" si="3"/>
        <v>14.426666385293691</v>
      </c>
      <c r="H21" s="1592">
        <f t="shared" si="3"/>
        <v>906.72638127925745</v>
      </c>
      <c r="I21" s="1592">
        <f t="shared" si="3"/>
        <v>398.91481880213291</v>
      </c>
      <c r="J21" s="1597">
        <f t="shared" si="3"/>
        <v>42.621000000000002</v>
      </c>
      <c r="K21" s="1598">
        <f t="shared" si="3"/>
        <v>4.0000000000000001E-3</v>
      </c>
      <c r="L21" s="1597">
        <f t="shared" si="3"/>
        <v>4.5670000000000002</v>
      </c>
      <c r="M21" s="1599">
        <f t="shared" si="3"/>
        <v>5.2221811978670498</v>
      </c>
      <c r="N21" s="1600">
        <f t="shared" si="3"/>
        <v>451.32900000000001</v>
      </c>
      <c r="O21" s="1601">
        <f t="shared" si="3"/>
        <v>1358.0353812792571</v>
      </c>
      <c r="P21" s="943">
        <f t="shared" si="3"/>
        <v>0</v>
      </c>
      <c r="Q21" s="411">
        <f t="shared" ref="Q21" si="4">H21-C21-D21-E21-F21-G21</f>
        <v>-4.7961634663806763E-14</v>
      </c>
      <c r="R21" s="411">
        <f t="shared" ref="R21" si="5">N21-I21-J21-K21-L21-M21</f>
        <v>4.2632564145606011E-14</v>
      </c>
      <c r="S21" s="411">
        <f t="shared" ref="S21" si="6">O21-H21-N21</f>
        <v>-2.0000000000379714E-2</v>
      </c>
    </row>
    <row r="22" spans="1:19" s="381" customFormat="1" ht="14.25" customHeight="1">
      <c r="A22" s="851">
        <v>2019</v>
      </c>
      <c r="B22" s="1602"/>
      <c r="C22" s="1603">
        <f t="shared" ref="C22:P22" si="7">C29</f>
        <v>378.85739584516273</v>
      </c>
      <c r="D22" s="1604">
        <f t="shared" si="7"/>
        <v>92.72399999999999</v>
      </c>
      <c r="E22" s="1605">
        <f t="shared" si="7"/>
        <v>211.31852858888487</v>
      </c>
      <c r="F22" s="1606">
        <f t="shared" si="7"/>
        <v>129.88868868643104</v>
      </c>
      <c r="G22" s="1607">
        <f t="shared" si="7"/>
        <v>32.53535316127536</v>
      </c>
      <c r="H22" s="1603">
        <f t="shared" si="7"/>
        <v>845.31396628175412</v>
      </c>
      <c r="I22" s="1603">
        <f t="shared" si="7"/>
        <v>418.69491924500005</v>
      </c>
      <c r="J22" s="1608">
        <f t="shared" si="7"/>
        <v>141.69500000000002</v>
      </c>
      <c r="K22" s="1609">
        <f t="shared" si="7"/>
        <v>0</v>
      </c>
      <c r="L22" s="1608">
        <f t="shared" si="7"/>
        <v>3.871</v>
      </c>
      <c r="M22" s="1610">
        <f t="shared" si="7"/>
        <v>5.4079056029999997</v>
      </c>
      <c r="N22" s="1611">
        <f t="shared" si="7"/>
        <v>569.66882484799987</v>
      </c>
      <c r="O22" s="1612">
        <f t="shared" si="7"/>
        <v>1414.9827911297541</v>
      </c>
      <c r="P22" s="1613">
        <f t="shared" si="7"/>
        <v>0</v>
      </c>
      <c r="Q22" s="411">
        <f t="shared" ref="Q22" si="8">H22-C22-D22-E22-F22-G22</f>
        <v>-9.9999999998701128E-3</v>
      </c>
      <c r="R22" s="411">
        <f t="shared" ref="R22" si="9">N22-I22-J22-K22-L22-M22</f>
        <v>-2.007283228522283E-13</v>
      </c>
      <c r="S22" s="411">
        <f t="shared" ref="S22" si="10">O22-H22-N22</f>
        <v>0</v>
      </c>
    </row>
    <row r="23" spans="1:19" s="381" customFormat="1" ht="20.25" customHeight="1">
      <c r="A23" s="432">
        <v>2018</v>
      </c>
      <c r="B23" s="821" t="s">
        <v>223</v>
      </c>
      <c r="C23" s="1614">
        <v>361.94667582402303</v>
      </c>
      <c r="D23" s="1615">
        <v>58.422000000000004</v>
      </c>
      <c r="E23" s="1616">
        <v>233.07693613320831</v>
      </c>
      <c r="F23" s="768">
        <v>77.672149038861761</v>
      </c>
      <c r="G23" s="1617">
        <v>9.3505707751382516</v>
      </c>
      <c r="H23" s="796">
        <v>740.46833177123131</v>
      </c>
      <c r="I23" s="796">
        <v>403.72500000000002</v>
      </c>
      <c r="J23" s="1618">
        <v>158.17500000000001</v>
      </c>
      <c r="K23" s="1619">
        <v>4.0000000000000001E-3</v>
      </c>
      <c r="L23" s="1620">
        <v>2.4</v>
      </c>
      <c r="M23" s="1478">
        <v>5.7200000000000006</v>
      </c>
      <c r="N23" s="1621">
        <v>570.024</v>
      </c>
      <c r="O23" s="1622">
        <v>1310.4923317712314</v>
      </c>
      <c r="P23" s="943">
        <v>0.25558196195367128</v>
      </c>
      <c r="Q23" s="411">
        <f t="shared" ref="Q23" si="11">H23-C23-D23-E23-F23-G23</f>
        <v>-7.1054273576010019E-14</v>
      </c>
      <c r="R23" s="411">
        <f t="shared" ref="R23" si="12">N23-I23-J23-K23-L23-M23</f>
        <v>-3.3750779948604759E-14</v>
      </c>
      <c r="S23" s="411">
        <f t="shared" ref="S23" si="13">O23-H23-N23</f>
        <v>0</v>
      </c>
    </row>
    <row r="24" spans="1:19" s="381" customFormat="1" ht="14.25" customHeight="1">
      <c r="A24" s="432"/>
      <c r="B24" s="1591" t="s">
        <v>224</v>
      </c>
      <c r="C24" s="1592">
        <v>514.70696317767829</v>
      </c>
      <c r="D24" s="1593">
        <v>58.078000000000003</v>
      </c>
      <c r="E24" s="1594">
        <v>232.87996919527345</v>
      </c>
      <c r="F24" s="1595">
        <v>85.296842023030223</v>
      </c>
      <c r="G24" s="1596">
        <v>12.041687127969777</v>
      </c>
      <c r="H24" s="1592">
        <v>903.00346152395173</v>
      </c>
      <c r="I24" s="1592">
        <v>386.0748805406414</v>
      </c>
      <c r="J24" s="1597">
        <v>101.22199999999999</v>
      </c>
      <c r="K24" s="1598">
        <v>4.0000000000000001E-3</v>
      </c>
      <c r="L24" s="1597">
        <v>3.4449999999999998</v>
      </c>
      <c r="M24" s="1599">
        <v>6.0551194593586892</v>
      </c>
      <c r="N24" s="1600">
        <v>496.79100000000011</v>
      </c>
      <c r="O24" s="1601">
        <v>1399.7944615239517</v>
      </c>
      <c r="P24" s="943">
        <v>0</v>
      </c>
      <c r="Q24" s="411">
        <v>1.7763568394002505E-14</v>
      </c>
      <c r="R24" s="411">
        <v>-9.9999999999749178E-3</v>
      </c>
      <c r="S24" s="411">
        <v>0</v>
      </c>
    </row>
    <row r="25" spans="1:19" s="381" customFormat="1" ht="14.25" customHeight="1">
      <c r="A25" s="432"/>
      <c r="B25" s="1591" t="s">
        <v>225</v>
      </c>
      <c r="C25" s="1592">
        <v>519.93153725181548</v>
      </c>
      <c r="D25" s="1593">
        <v>53.591862137000007</v>
      </c>
      <c r="E25" s="1594">
        <v>222.623177791442</v>
      </c>
      <c r="F25" s="1595">
        <v>96.1531377137063</v>
      </c>
      <c r="G25" s="1596">
        <v>14.426666385293691</v>
      </c>
      <c r="H25" s="1592">
        <v>906.72638127925745</v>
      </c>
      <c r="I25" s="1592">
        <v>398.91481880213291</v>
      </c>
      <c r="J25" s="1597">
        <v>42.621000000000002</v>
      </c>
      <c r="K25" s="1598">
        <v>4.0000000000000001E-3</v>
      </c>
      <c r="L25" s="1597">
        <v>4.5670000000000002</v>
      </c>
      <c r="M25" s="1599">
        <v>5.2221811978670498</v>
      </c>
      <c r="N25" s="1600">
        <v>451.32900000000001</v>
      </c>
      <c r="O25" s="1601">
        <v>1358.0353812792571</v>
      </c>
      <c r="P25" s="943">
        <v>0</v>
      </c>
      <c r="Q25" s="411">
        <v>-4.7961634663806763E-14</v>
      </c>
      <c r="R25" s="411">
        <v>4.2632564145606011E-14</v>
      </c>
      <c r="S25" s="411">
        <v>-2.0000000000379714E-2</v>
      </c>
    </row>
    <row r="26" spans="1:19" s="381" customFormat="1" ht="20.25" customHeight="1">
      <c r="A26" s="432">
        <v>2019</v>
      </c>
      <c r="B26" s="821" t="s">
        <v>222</v>
      </c>
      <c r="C26" s="1614">
        <v>434.66713890312235</v>
      </c>
      <c r="D26" s="1615">
        <v>46.212000000000003</v>
      </c>
      <c r="E26" s="1616">
        <v>219.00090011488777</v>
      </c>
      <c r="F26" s="768">
        <v>68.216842089993946</v>
      </c>
      <c r="G26" s="1617">
        <v>25.210438220921407</v>
      </c>
      <c r="H26" s="796">
        <v>793.30731932892536</v>
      </c>
      <c r="I26" s="796">
        <v>351.13541314069869</v>
      </c>
      <c r="J26" s="1618">
        <v>137.30393402499999</v>
      </c>
      <c r="K26" s="1619">
        <v>4.0000000000000001E-3</v>
      </c>
      <c r="L26" s="1620">
        <v>5.7560000000000002</v>
      </c>
      <c r="M26" s="1478">
        <v>3.4126528343013365</v>
      </c>
      <c r="N26" s="1621">
        <v>497.60200000000003</v>
      </c>
      <c r="O26" s="1622">
        <v>1290.9093193289252</v>
      </c>
      <c r="P26" s="943">
        <v>0</v>
      </c>
      <c r="Q26" s="411">
        <v>-1.0302869668521453E-13</v>
      </c>
      <c r="R26" s="411">
        <v>-9.9999999999815792E-3</v>
      </c>
      <c r="S26" s="411">
        <v>0</v>
      </c>
    </row>
    <row r="27" spans="1:19" s="381" customFormat="1" ht="14.25" customHeight="1">
      <c r="A27" s="432"/>
      <c r="B27" s="821" t="s">
        <v>223</v>
      </c>
      <c r="C27" s="1614">
        <f t="shared" ref="C27:P27" si="14">C33</f>
        <v>454.36505045903777</v>
      </c>
      <c r="D27" s="1615">
        <f t="shared" si="14"/>
        <v>55.150999999999989</v>
      </c>
      <c r="E27" s="1616">
        <f t="shared" si="14"/>
        <v>215.64728352797957</v>
      </c>
      <c r="F27" s="768">
        <f t="shared" si="14"/>
        <v>108.53843403146624</v>
      </c>
      <c r="G27" s="1617">
        <f t="shared" si="14"/>
        <v>27.4999477537628</v>
      </c>
      <c r="H27" s="796">
        <f t="shared" si="14"/>
        <v>861.20171577224642</v>
      </c>
      <c r="I27" s="796">
        <f t="shared" si="14"/>
        <v>444.09287977121977</v>
      </c>
      <c r="J27" s="1618">
        <f t="shared" si="14"/>
        <v>78.552999999999997</v>
      </c>
      <c r="K27" s="1619">
        <f t="shared" si="14"/>
        <v>4.0000000000000001E-3</v>
      </c>
      <c r="L27" s="1620">
        <f t="shared" si="14"/>
        <v>2.1789999999999998</v>
      </c>
      <c r="M27" s="1478">
        <f t="shared" si="14"/>
        <v>4.045120228780263</v>
      </c>
      <c r="N27" s="1621">
        <f t="shared" si="14"/>
        <v>528.87400000000002</v>
      </c>
      <c r="O27" s="1622">
        <f t="shared" si="14"/>
        <v>1390.0757157722467</v>
      </c>
      <c r="P27" s="943">
        <f t="shared" si="14"/>
        <v>0</v>
      </c>
      <c r="Q27" s="411">
        <f t="shared" ref="Q27" si="15">H27-C27-D27-E27-F27-G27</f>
        <v>0</v>
      </c>
      <c r="R27" s="411">
        <f t="shared" ref="R27" si="16">N27-I27-J27-K27-L27-M27</f>
        <v>-7.1054273576010019E-15</v>
      </c>
      <c r="S27" s="411">
        <f t="shared" ref="S27" si="17">O27-H27-N27</f>
        <v>0</v>
      </c>
    </row>
    <row r="28" spans="1:19" s="381" customFormat="1" ht="14.25" customHeight="1">
      <c r="A28" s="432"/>
      <c r="B28" s="821" t="s">
        <v>224</v>
      </c>
      <c r="C28" s="1614">
        <f t="shared" ref="C28:P28" si="18">C36</f>
        <v>216.14006443351155</v>
      </c>
      <c r="D28" s="1615">
        <f t="shared" si="18"/>
        <v>50.855000000000004</v>
      </c>
      <c r="E28" s="1616">
        <f t="shared" si="18"/>
        <v>217.60184858048268</v>
      </c>
      <c r="F28" s="768">
        <f t="shared" si="18"/>
        <v>117.1077588355808</v>
      </c>
      <c r="G28" s="1617">
        <f t="shared" si="18"/>
        <v>27.622397989592272</v>
      </c>
      <c r="H28" s="796">
        <f t="shared" si="18"/>
        <v>629.32706983916728</v>
      </c>
      <c r="I28" s="796">
        <f t="shared" si="18"/>
        <v>431.24092638880137</v>
      </c>
      <c r="J28" s="1618">
        <f t="shared" si="18"/>
        <v>227.31100000000001</v>
      </c>
      <c r="K28" s="1619">
        <f t="shared" si="18"/>
        <v>0</v>
      </c>
      <c r="L28" s="1620">
        <f t="shared" si="18"/>
        <v>2.4609999999999999</v>
      </c>
      <c r="M28" s="1478">
        <f t="shared" si="18"/>
        <v>5.380073611198668</v>
      </c>
      <c r="N28" s="1621">
        <f t="shared" si="18"/>
        <v>666.39300000000014</v>
      </c>
      <c r="O28" s="1622">
        <f t="shared" si="18"/>
        <v>1295.7200698391673</v>
      </c>
      <c r="P28" s="943">
        <f t="shared" si="18"/>
        <v>0</v>
      </c>
      <c r="Q28" s="411">
        <f t="shared" ref="Q28" si="19">H28-C28-D28-E28-F28-G28</f>
        <v>-4.2632564145606011E-14</v>
      </c>
      <c r="R28" s="411">
        <f t="shared" ref="R28" si="20">N28-I28-J28-K28-L28-M28</f>
        <v>9.7699626167013776E-14</v>
      </c>
      <c r="S28" s="411">
        <f t="shared" ref="S28" si="21">O28-H28-N28</f>
        <v>0</v>
      </c>
    </row>
    <row r="29" spans="1:19" s="381" customFormat="1" ht="14.25" customHeight="1">
      <c r="A29" s="432"/>
      <c r="B29" s="821" t="s">
        <v>225</v>
      </c>
      <c r="C29" s="1614">
        <f t="shared" ref="C29:P29" si="22">C39</f>
        <v>378.85739584516273</v>
      </c>
      <c r="D29" s="1615">
        <f t="shared" si="22"/>
        <v>92.72399999999999</v>
      </c>
      <c r="E29" s="1616">
        <f t="shared" si="22"/>
        <v>211.31852858888487</v>
      </c>
      <c r="F29" s="768">
        <f t="shared" si="22"/>
        <v>129.88868868643104</v>
      </c>
      <c r="G29" s="1617">
        <f t="shared" si="22"/>
        <v>32.53535316127536</v>
      </c>
      <c r="H29" s="796">
        <f t="shared" si="22"/>
        <v>845.31396628175412</v>
      </c>
      <c r="I29" s="796">
        <f t="shared" si="22"/>
        <v>418.69491924500005</v>
      </c>
      <c r="J29" s="1618">
        <f t="shared" si="22"/>
        <v>141.69500000000002</v>
      </c>
      <c r="K29" s="1619">
        <f t="shared" si="22"/>
        <v>0</v>
      </c>
      <c r="L29" s="1620">
        <f t="shared" si="22"/>
        <v>3.871</v>
      </c>
      <c r="M29" s="1478">
        <f t="shared" si="22"/>
        <v>5.4079056029999997</v>
      </c>
      <c r="N29" s="1621">
        <f t="shared" si="22"/>
        <v>569.66882484799987</v>
      </c>
      <c r="O29" s="1622">
        <f t="shared" si="22"/>
        <v>1414.9827911297541</v>
      </c>
      <c r="P29" s="943">
        <f t="shared" si="22"/>
        <v>0</v>
      </c>
      <c r="Q29" s="411">
        <f t="shared" ref="Q29" si="23">H29-C29-D29-E29-F29-G29</f>
        <v>-9.9999999998701128E-3</v>
      </c>
      <c r="R29" s="411">
        <f t="shared" ref="R29" si="24">N29-I29-J29-K29-L29-M29</f>
        <v>-2.007283228522283E-13</v>
      </c>
      <c r="S29" s="411">
        <f t="shared" ref="S29" si="25">O29-H29-N29</f>
        <v>0</v>
      </c>
    </row>
    <row r="30" spans="1:19" s="381" customFormat="1" ht="21" customHeight="1">
      <c r="A30" s="851">
        <v>2020</v>
      </c>
      <c r="B30" s="973" t="s">
        <v>222</v>
      </c>
      <c r="C30" s="1623">
        <f t="shared" ref="C30:P30" si="26">C42</f>
        <v>262.76152296951693</v>
      </c>
      <c r="D30" s="1624">
        <f t="shared" si="26"/>
        <v>47.035999999999987</v>
      </c>
      <c r="E30" s="1625">
        <f t="shared" si="26"/>
        <v>216.47369457704193</v>
      </c>
      <c r="F30" s="1626">
        <f t="shared" si="26"/>
        <v>132.60098109133105</v>
      </c>
      <c r="G30" s="1627">
        <f t="shared" si="26"/>
        <v>18.765960863034657</v>
      </c>
      <c r="H30" s="863">
        <f t="shared" si="26"/>
        <v>677.65815950092451</v>
      </c>
      <c r="I30" s="863">
        <f t="shared" si="26"/>
        <v>475.95328516934893</v>
      </c>
      <c r="J30" s="1628">
        <f t="shared" si="26"/>
        <v>342.39100000000002</v>
      </c>
      <c r="K30" s="1629">
        <f t="shared" si="26"/>
        <v>0</v>
      </c>
      <c r="L30" s="1630">
        <f t="shared" si="26"/>
        <v>4.9672960000000002</v>
      </c>
      <c r="M30" s="1631">
        <f t="shared" si="26"/>
        <v>5.5392355183078505</v>
      </c>
      <c r="N30" s="1632">
        <f t="shared" si="26"/>
        <v>828.85081668765667</v>
      </c>
      <c r="O30" s="1633">
        <f t="shared" si="26"/>
        <v>1506.5589761885813</v>
      </c>
      <c r="P30" s="1613">
        <f t="shared" si="26"/>
        <v>0</v>
      </c>
      <c r="Q30" s="411">
        <f t="shared" ref="Q30" si="27">H30-C30-D30-E30-F30-G30</f>
        <v>1.9999999999946283E-2</v>
      </c>
      <c r="R30" s="411">
        <f t="shared" ref="R30" si="28">N30-I30-J30-K30-L30-M30</f>
        <v>-1.2612133559741778E-13</v>
      </c>
      <c r="S30" s="411">
        <f t="shared" ref="S30" si="29">O30-H30-N30</f>
        <v>5.0000000000068212E-2</v>
      </c>
    </row>
    <row r="31" spans="1:19" s="411" customFormat="1" ht="20.25" customHeight="1">
      <c r="A31" s="905">
        <v>2019</v>
      </c>
      <c r="B31" s="906" t="s">
        <v>399</v>
      </c>
      <c r="C31" s="927">
        <f>SUM('[32]1'!$C$14:$D$14)+SUM('[32]1'!$C$18:$D$18)+SUM('[32]1'!$C$30:$D$30)+SUM('[32]1'!$C$33:$D$33)</f>
        <v>375.49573565599155</v>
      </c>
      <c r="D31" s="886">
        <f>SUM('[32]1'!$C$25:$D$29)</f>
        <v>45.081999999999987</v>
      </c>
      <c r="E31" s="889">
        <f>SUM('[32]1'!$C$23:$D$24)</f>
        <v>219.11074762757804</v>
      </c>
      <c r="F31" s="940">
        <f>SUM('[32]1'!$C$34:$D$34)+SUM('[32]1'!$C$36:$D$36)</f>
        <v>99.050926459226048</v>
      </c>
      <c r="G31" s="887">
        <f>SUM('[32]1'!$C$31:$D$31)+SUM('[32]1'!$C$37:$D$37)</f>
        <v>25.339519934368194</v>
      </c>
      <c r="H31" s="866">
        <f>SUM('[32]1'!$C$38:$D$38)</f>
        <v>764.07892967716373</v>
      </c>
      <c r="I31" s="866">
        <f>SUM('[32]1'!$E$14:$H$14)+SUM('[32]1'!$E$18:$H$18)+SUM('[32]1'!$E$30:$H$30)</f>
        <v>408.45660885968169</v>
      </c>
      <c r="J31" s="941">
        <f>SUM('[32]1'!$E$22:$H$22)</f>
        <v>121.33393402499999</v>
      </c>
      <c r="K31" s="942">
        <f>SUM('[32]1'!$E$33:$H$33)</f>
        <v>4.0000000000000001E-3</v>
      </c>
      <c r="L31" s="933">
        <f>SUM('[32]1'!$E$34:$H$34)+SUM('[32]1'!$E$36:$H$36)</f>
        <v>3.5720000000000001</v>
      </c>
      <c r="M31" s="750">
        <f>SUM('[32]1'!$E$31:$H$31)+SUM('[32]1'!$E$32:$H$32)+SUM('[32]1'!$E$37:$H$37)</f>
        <v>3.4014571153182853</v>
      </c>
      <c r="N31" s="888">
        <f>SUM('[32]1'!$E$38:$H$38)</f>
        <v>536.76799999999992</v>
      </c>
      <c r="O31" s="890">
        <f>'[32]1'!$I$38+0.01</f>
        <v>1300.8569296771636</v>
      </c>
      <c r="P31" s="943">
        <f>SUM('[32]1'!$I$40:$I$42)</f>
        <v>0</v>
      </c>
      <c r="Q31" s="411">
        <f t="shared" ref="Q31" si="30">H31-C31-D31-E31-F31-G31</f>
        <v>-9.5923269327613525E-14</v>
      </c>
      <c r="R31" s="411">
        <f t="shared" ref="R31" si="31">N31-I31-J31-K31-L31-M31</f>
        <v>-5.4178883601707639E-14</v>
      </c>
      <c r="S31" s="411">
        <f t="shared" ref="S31" si="32">O31-H31-N31</f>
        <v>9.9999999999909051E-3</v>
      </c>
    </row>
    <row r="32" spans="1:19" s="411" customFormat="1" ht="14.25" customHeight="1">
      <c r="A32" s="905"/>
      <c r="B32" s="906" t="s">
        <v>400</v>
      </c>
      <c r="C32" s="927">
        <f>SUM('[33]1'!$C$14:$D$14)+SUM('[33]1'!$C$18:$D$18)+SUM('[33]1'!$C$30:$D$30)+SUM('[33]1'!$C$33:$D$33)</f>
        <v>359.25113815157397</v>
      </c>
      <c r="D32" s="886">
        <f>SUM('[33]1'!$C$25:$D$29)</f>
        <v>46.372999999999998</v>
      </c>
      <c r="E32" s="889">
        <f>SUM('[33]1'!$C$23:$D$24)</f>
        <v>217.29163716090252</v>
      </c>
      <c r="F32" s="940">
        <f>SUM('[33]1'!$C$34:$D$34)+SUM('[33]1'!$C$36:$D$36)</f>
        <v>104.44451424751776</v>
      </c>
      <c r="G32" s="887">
        <f>SUM('[33]1'!$C$31:$D$31)+SUM('[33]1'!$C$37:$D$37)</f>
        <v>27.207823315711273</v>
      </c>
      <c r="H32" s="866">
        <f>SUM('[33]1'!$C$38:$D$38)</f>
        <v>754.56811287570554</v>
      </c>
      <c r="I32" s="866">
        <f>SUM('[33]1'!$E$14:$H$14)+SUM('[33]1'!$E$18:$H$18)+SUM('[33]1'!$E$30:$H$30)</f>
        <v>434.60484608183521</v>
      </c>
      <c r="J32" s="941">
        <f>SUM('[33]1'!$E$22:$H$22)</f>
        <v>108.03</v>
      </c>
      <c r="K32" s="942">
        <f>SUM('[33]1'!$E$33:$H$33)</f>
        <v>4.0000000000000001E-3</v>
      </c>
      <c r="L32" s="933">
        <f>SUM('[33]1'!$E$34:$H$34)+SUM('[33]1'!$E$36:$H$36)</f>
        <v>3.8959999999999999</v>
      </c>
      <c r="M32" s="750">
        <f>SUM('[33]1'!$E$31:$H$31)+SUM('[33]1'!$E$32:$H$32)+SUM('[33]1'!$E$37:$H$37)</f>
        <v>3.5291539181647771</v>
      </c>
      <c r="N32" s="888">
        <f>SUM('[33]1'!$E$38:$H$38)-0.02</f>
        <v>550.04399999999998</v>
      </c>
      <c r="O32" s="890">
        <f>'[33]1'!$I$38</f>
        <v>1304.6321128757054</v>
      </c>
      <c r="P32" s="943">
        <f>SUM('[33]1'!$I$40:$I$42)</f>
        <v>0</v>
      </c>
      <c r="Q32" s="411">
        <f t="shared" ref="Q32" si="33">H32-C32-D32-E32-F32-G32</f>
        <v>0</v>
      </c>
      <c r="R32" s="411">
        <f t="shared" ref="R32" si="34">N32-I32-J32-K32-L32-M32</f>
        <v>-2.0000000000000462E-2</v>
      </c>
      <c r="S32" s="411">
        <f t="shared" ref="S32" si="35">O32-H32-N32</f>
        <v>1.9999999999868123E-2</v>
      </c>
    </row>
    <row r="33" spans="1:19" s="411" customFormat="1" ht="14.25" customHeight="1">
      <c r="A33" s="905"/>
      <c r="B33" s="906" t="s">
        <v>401</v>
      </c>
      <c r="C33" s="927">
        <f>SUM('[34]1'!$C$14:$D$14)+SUM('[34]1'!$C$18:$D$18)+SUM('[34]1'!$C$30:$D$30)+SUM('[34]1'!$C$33:$D$33)</f>
        <v>454.36505045903777</v>
      </c>
      <c r="D33" s="886">
        <f>SUM('[34]1'!$C$25:$D$29)</f>
        <v>55.150999999999989</v>
      </c>
      <c r="E33" s="889">
        <f>SUM('[34]1'!$C$23:$D$24)</f>
        <v>215.64728352797957</v>
      </c>
      <c r="F33" s="940">
        <f>SUM('[34]1'!$C$34:$D$34)+SUM('[34]1'!$C$36:$D$36)</f>
        <v>108.53843403146624</v>
      </c>
      <c r="G33" s="887">
        <f>SUM('[34]1'!$C$31:$D$31)+SUM('[34]1'!$C$37:$D$37)</f>
        <v>27.4999477537628</v>
      </c>
      <c r="H33" s="866">
        <f>SUM('[34]1'!$C$38:$D$38)</f>
        <v>861.20171577224642</v>
      </c>
      <c r="I33" s="866">
        <f>SUM('[34]1'!$E$14:$H$14)+SUM('[34]1'!$E$18:$H$18)+SUM('[34]1'!$E$30:$H$30)</f>
        <v>444.09287977121977</v>
      </c>
      <c r="J33" s="941">
        <f>SUM('[34]1'!$E$22:$H$22)</f>
        <v>78.552999999999997</v>
      </c>
      <c r="K33" s="942">
        <f>SUM('[34]1'!$E$33:$H$33)</f>
        <v>4.0000000000000001E-3</v>
      </c>
      <c r="L33" s="933">
        <f>SUM('[34]1'!$E$34:$H$34)+SUM('[34]1'!$E$36:$H$36)</f>
        <v>2.1789999999999998</v>
      </c>
      <c r="M33" s="750">
        <f>SUM('[34]1'!$E$31:$H$31)+SUM('[34]1'!$E$32:$H$32)+SUM('[34]1'!$E$37:$H$37)</f>
        <v>4.045120228780263</v>
      </c>
      <c r="N33" s="888">
        <f>SUM('[34]1'!$E$38:$H$38)</f>
        <v>528.87400000000002</v>
      </c>
      <c r="O33" s="890">
        <f>'[34]1'!$I$38</f>
        <v>1390.0757157722467</v>
      </c>
      <c r="P33" s="943">
        <f>SUM('[34]1'!$I$40:$I$42)</f>
        <v>0</v>
      </c>
      <c r="Q33" s="411">
        <f t="shared" ref="Q33" si="36">H33-C33-D33-E33-F33-G33</f>
        <v>0</v>
      </c>
      <c r="R33" s="411">
        <f t="shared" ref="R33" si="37">N33-I33-J33-K33-L33-M33</f>
        <v>-7.1054273576010019E-15</v>
      </c>
      <c r="S33" s="411">
        <f t="shared" ref="S33" si="38">O33-H33-N33</f>
        <v>0</v>
      </c>
    </row>
    <row r="34" spans="1:19" s="411" customFormat="1" ht="14.25" customHeight="1">
      <c r="A34" s="905"/>
      <c r="B34" s="906" t="s">
        <v>402</v>
      </c>
      <c r="C34" s="927">
        <f>SUM('[35]1'!$C$14:$D$14)+SUM('[35]1'!$C$18:$D$18)+SUM('[35]1'!$C$30:$D$30)+SUM('[35]1'!$C$33:$D$33)-0.01</f>
        <v>295.24345889309615</v>
      </c>
      <c r="D34" s="886">
        <f>SUM('[35]1'!$C$25:$D$29)</f>
        <v>54.609000000000002</v>
      </c>
      <c r="E34" s="889">
        <f>SUM('[35]1'!$C$23:$D$24)</f>
        <v>217.99581335178897</v>
      </c>
      <c r="F34" s="940">
        <f>SUM('[35]1'!$C$34:$D$34)+SUM('[35]1'!$C$36:$D$36)</f>
        <v>112.06276790198496</v>
      </c>
      <c r="G34" s="887">
        <f>SUM('[35]1'!$C$31:$D$31)+SUM('[35]1'!$C$37:$D$37)</f>
        <v>27.012960050244075</v>
      </c>
      <c r="H34" s="866">
        <f>SUM('[35]1'!$C$38:$D$38)</f>
        <v>706.93400019711407</v>
      </c>
      <c r="I34" s="866">
        <f>SUM('[35]1'!$E$14:$H$14)+SUM('[35]1'!$E$18:$H$18)+SUM('[35]1'!$E$30:$H$30)</f>
        <v>459.28004296197457</v>
      </c>
      <c r="J34" s="941">
        <f>SUM('[35]1'!$E$22:$H$22)</f>
        <v>157.87300000000002</v>
      </c>
      <c r="K34" s="942">
        <f>SUM('[35]1'!$E$33:$H$33)</f>
        <v>4.0000000000000001E-3</v>
      </c>
      <c r="L34" s="933">
        <f>SUM('[35]1'!$E$34:$H$34)+SUM('[35]1'!$E$36:$H$36)</f>
        <v>2.2226370349999995</v>
      </c>
      <c r="M34" s="750">
        <f>SUM('[35]1'!$E$31:$H$31)+SUM('[35]1'!$E$32:$H$32)+SUM('[35]1'!$E$37:$H$37)</f>
        <v>4.49895703802546</v>
      </c>
      <c r="N34" s="888">
        <f>SUM('[35]1'!$E$38:$H$38)</f>
        <v>623.878637035</v>
      </c>
      <c r="O34" s="890">
        <f>'[35]1'!$I$38</f>
        <v>1330.8126372321142</v>
      </c>
      <c r="P34" s="943">
        <f>SUM('[35]1'!$I$40:$I$42)</f>
        <v>0</v>
      </c>
      <c r="Q34" s="411">
        <f t="shared" ref="Q34" si="39">H34-C34-D34-E34-F34-G34</f>
        <v>9.9999999999482725E-3</v>
      </c>
      <c r="R34" s="411">
        <f t="shared" ref="R34" si="40">N34-I34-J34-K34-L34-M34</f>
        <v>-5.4178883601707639E-14</v>
      </c>
      <c r="S34" s="411">
        <f t="shared" ref="S34" si="41">O34-H34-N34</f>
        <v>0</v>
      </c>
    </row>
    <row r="35" spans="1:19" s="411" customFormat="1" ht="14.25" customHeight="1">
      <c r="A35" s="905"/>
      <c r="B35" s="906" t="s">
        <v>403</v>
      </c>
      <c r="C35" s="927">
        <f>SUM('[36]1'!$C$14:$D$14)+SUM('[36]1'!$C$18:$D$18)+SUM('[36]1'!$C$30:$D$30)+SUM('[36]1'!$C$33:$D$33)</f>
        <v>343.4202212468183</v>
      </c>
      <c r="D35" s="886">
        <f>SUM('[36]1'!$C$25:$D$29)+0.01</f>
        <v>52.455999999999996</v>
      </c>
      <c r="E35" s="889">
        <f>SUM('[36]1'!$C$23:$D$24)</f>
        <v>218.67133889362063</v>
      </c>
      <c r="F35" s="940">
        <f>SUM('[36]1'!$C$34:$D$34)+SUM('[36]1'!$C$36:$D$36)</f>
        <v>119.38130879512393</v>
      </c>
      <c r="G35" s="887">
        <f>SUM('[36]1'!$C$31:$D$31)+SUM('[36]1'!$C$37:$D$37)</f>
        <v>39.5440554036959</v>
      </c>
      <c r="H35" s="866">
        <f>SUM('[36]1'!$C$38:$D$38)</f>
        <v>773.46292433925885</v>
      </c>
      <c r="I35" s="866">
        <f>SUM('[36]1'!$E$14:$H$14)+SUM('[36]1'!$E$18:$H$18)+SUM('[36]1'!$E$30:$H$30)</f>
        <v>412.6012526028851</v>
      </c>
      <c r="J35" s="941">
        <f>SUM('[36]1'!$E$22:$H$22)</f>
        <v>150.25300000000001</v>
      </c>
      <c r="K35" s="942">
        <f>SUM('[36]1'!$E$33:$H$33)</f>
        <v>4.0000000000000001E-3</v>
      </c>
      <c r="L35" s="933">
        <f>SUM('[36]1'!$E$34:$H$34)+SUM('[36]1'!$E$36:$H$36)</f>
        <v>2.4866370349999998</v>
      </c>
      <c r="M35" s="750">
        <f>SUM('[36]1'!$E$31:$H$31)+SUM('[36]1'!$E$32:$H$32)+SUM('[36]1'!$E$37:$H$37)</f>
        <v>5.0427473971149084</v>
      </c>
      <c r="N35" s="888">
        <f>SUM('[36]1'!$E$38:$H$38)</f>
        <v>570.3876370349999</v>
      </c>
      <c r="O35" s="890">
        <f>'[36]1'!$I$38</f>
        <v>1343.8505613742591</v>
      </c>
      <c r="P35" s="943">
        <f>SUM('[36]1'!$I$40:$I$42)</f>
        <v>0</v>
      </c>
      <c r="Q35" s="411">
        <f t="shared" ref="Q35" si="42">H35-C35-D35-E35-F35-G35</f>
        <v>-9.9999999999269562E-3</v>
      </c>
      <c r="R35" s="411">
        <f t="shared" ref="R35" si="43">N35-I35-J35-K35-L35-M35</f>
        <v>-1.2079226507921703E-13</v>
      </c>
      <c r="S35" s="411">
        <f t="shared" ref="S35" si="44">O35-H35-N35</f>
        <v>0</v>
      </c>
    </row>
    <row r="36" spans="1:19" s="411" customFormat="1" ht="14.25" customHeight="1">
      <c r="A36" s="905"/>
      <c r="B36" s="906" t="s">
        <v>404</v>
      </c>
      <c r="C36" s="927">
        <f>SUM('[37]1'!$C$14:$D$14)+SUM('[37]1'!$C$18:$D$18)+SUM('[37]1'!$C$30:$D$30)+SUM('[37]1'!$C$33:$D$33)</f>
        <v>216.14006443351155</v>
      </c>
      <c r="D36" s="886">
        <f>SUM('[37]1'!$C$25:$D$29)</f>
        <v>50.855000000000004</v>
      </c>
      <c r="E36" s="889">
        <f>SUM('[37]1'!$C$23:$D$24)</f>
        <v>217.60184858048268</v>
      </c>
      <c r="F36" s="940">
        <f>SUM('[37]1'!$C$34:$D$34)+SUM('[37]1'!$C$36:$D$36)</f>
        <v>117.1077588355808</v>
      </c>
      <c r="G36" s="887">
        <f>SUM('[37]1'!$C$31:$D$31)+SUM('[37]1'!$C$37:$D$37)</f>
        <v>27.622397989592272</v>
      </c>
      <c r="H36" s="866">
        <f>SUM('[37]1'!$C$38:$D$38)</f>
        <v>629.32706983916728</v>
      </c>
      <c r="I36" s="866">
        <f>SUM('[37]1'!$E$14:$H$14)+SUM('[37]1'!$E$18:$H$18)+SUM('[37]1'!$E$30:$H$30)</f>
        <v>431.24092638880137</v>
      </c>
      <c r="J36" s="941">
        <f>SUM('[37]1'!$E$22:$H$22)</f>
        <v>227.31100000000001</v>
      </c>
      <c r="K36" s="942">
        <f>SUM('[37]1'!$E$33:$H$33)</f>
        <v>0</v>
      </c>
      <c r="L36" s="933">
        <f>SUM('[37]1'!$E$34:$H$34)+SUM('[37]1'!$E$36:$H$36)</f>
        <v>2.4609999999999999</v>
      </c>
      <c r="M36" s="750">
        <f>SUM('[37]1'!$E$31:$H$31)+SUM('[37]1'!$E$32:$H$32)+SUM('[37]1'!$E$37:$H$37)</f>
        <v>5.380073611198668</v>
      </c>
      <c r="N36" s="888">
        <f>SUM('[37]1'!$E$38:$H$38)</f>
        <v>666.39300000000014</v>
      </c>
      <c r="O36" s="890">
        <f>'[37]1'!$I$38</f>
        <v>1295.7200698391673</v>
      </c>
      <c r="P36" s="943">
        <f>SUM('[37]1'!$I$40:$I$42)</f>
        <v>0</v>
      </c>
      <c r="Q36" s="411">
        <f t="shared" ref="Q36" si="45">H36-C36-D36-E36-F36-G36</f>
        <v>-4.2632564145606011E-14</v>
      </c>
      <c r="R36" s="411">
        <f t="shared" ref="R36" si="46">N36-I36-J36-K36-L36-M36</f>
        <v>9.7699626167013776E-14</v>
      </c>
      <c r="S36" s="411">
        <f t="shared" ref="S36" si="47">O36-H36-N36</f>
        <v>0</v>
      </c>
    </row>
    <row r="37" spans="1:19" s="411" customFormat="1" ht="14.25" customHeight="1">
      <c r="A37" s="905"/>
      <c r="B37" s="906" t="s">
        <v>405</v>
      </c>
      <c r="C37" s="927">
        <f>SUM('[38]1'!$C$14:$D$14)+SUM('[38]1'!$C$18:$D$18)+SUM('[38]1'!$C$30:$D$30)+SUM('[38]1'!$C$33:$D$33)</f>
        <v>332.56570860104398</v>
      </c>
      <c r="D37" s="886">
        <f>SUM('[38]1'!$C$25:$D$29)</f>
        <v>47.660000000000004</v>
      </c>
      <c r="E37" s="889">
        <f>SUM('[38]1'!$C$23:$D$24)</f>
        <v>216.96027649726653</v>
      </c>
      <c r="F37" s="940">
        <f>SUM('[38]1'!$C$34:$D$34)+SUM('[38]1'!$C$36:$D$36)</f>
        <v>121.3471835391708</v>
      </c>
      <c r="G37" s="887">
        <f>SUM('[38]1'!$C$31:$D$31)+SUM('[38]1'!$C$37:$D$37)</f>
        <v>27.727984701003631</v>
      </c>
      <c r="H37" s="866">
        <f>SUM('[38]1'!$C$38:$D$38)</f>
        <v>746.26115333848497</v>
      </c>
      <c r="I37" s="866">
        <f>SUM('[38]1'!$E$14:$H$14)+SUM('[38]1'!$E$18:$H$18)+SUM('[38]1'!$E$30:$H$30)</f>
        <v>411.03031670700005</v>
      </c>
      <c r="J37" s="941">
        <f>SUM('[38]1'!$E$22:$H$22)</f>
        <v>177.202</v>
      </c>
      <c r="K37" s="942">
        <f>SUM('[38]1'!$E$33:$H$33)</f>
        <v>0</v>
      </c>
      <c r="L37" s="933">
        <f>SUM('[38]1'!$E$34:$H$34)+SUM('[38]1'!$E$36:$H$36)</f>
        <v>2.9079999999999999</v>
      </c>
      <c r="M37" s="750">
        <f>SUM('[38]1'!$E$31:$H$31)+SUM('[38]1'!$E$32:$H$32)+SUM('[38]1'!$E$37:$H$37)</f>
        <v>3.9576832929999455</v>
      </c>
      <c r="N37" s="888">
        <f>SUM('[38]1'!$E$38:$H$38)</f>
        <v>595.09799999999996</v>
      </c>
      <c r="O37" s="890">
        <f>'[38]1'!$I$38</f>
        <v>1341.3591533384852</v>
      </c>
      <c r="P37" s="943">
        <f>SUM('[38]1'!$I$40:$I$42)</f>
        <v>0</v>
      </c>
      <c r="Q37" s="411">
        <f t="shared" ref="Q37" si="48">H37-C37-D37-E37-F37-G37</f>
        <v>0</v>
      </c>
      <c r="R37" s="411">
        <f t="shared" ref="R37" si="49">N37-I37-J37-K37-L37-M37</f>
        <v>-4.1300296516055823E-14</v>
      </c>
      <c r="S37" s="411">
        <f t="shared" ref="S37" si="50">O37-H37-N37</f>
        <v>0</v>
      </c>
    </row>
    <row r="38" spans="1:19" s="411" customFormat="1" ht="14.25" customHeight="1">
      <c r="A38" s="905"/>
      <c r="B38" s="906" t="s">
        <v>406</v>
      </c>
      <c r="C38" s="927">
        <f>SUM('[39]1'!$C$14:$D$14)+SUM('[39]1'!$C$18:$D$18)+SUM('[39]1'!$C$30:$D$30)+SUM('[39]1'!$C$33:$D$33)</f>
        <v>361.3534211032192</v>
      </c>
      <c r="D38" s="886">
        <f>SUM('[39]1'!$C$25:$D$29)</f>
        <v>47.981999999999999</v>
      </c>
      <c r="E38" s="889">
        <f>SUM('[39]1'!$C$23:$D$24)</f>
        <v>210.81417847162874</v>
      </c>
      <c r="F38" s="940">
        <f>SUM('[39]1'!$C$34:$D$34)+SUM('[39]1'!$C$36:$D$36)</f>
        <v>128.71255055332549</v>
      </c>
      <c r="G38" s="887">
        <f>SUM('[39]1'!$C$31:$D$31)+SUM('[39]1'!$C$37:$D$37)</f>
        <v>33.819649863495655</v>
      </c>
      <c r="H38" s="866">
        <f>SUM('[39]1'!$C$38:$D$38)</f>
        <v>782.6817999916691</v>
      </c>
      <c r="I38" s="866">
        <f>SUM('[39]1'!$E$14:$H$14)+SUM('[39]1'!$E$18:$H$18)+SUM('[39]1'!$E$30:$H$30)</f>
        <v>424.45807680426685</v>
      </c>
      <c r="J38" s="941">
        <f>SUM('[39]1'!$E$22:$H$22)</f>
        <v>176.93100000000001</v>
      </c>
      <c r="K38" s="942">
        <f>SUM('[39]1'!$E$33:$H$33)</f>
        <v>0</v>
      </c>
      <c r="L38" s="933">
        <f>SUM('[39]1'!$E$34:$H$34)+SUM('[39]1'!$E$36:$H$36)</f>
        <v>3.3450000000000002</v>
      </c>
      <c r="M38" s="750">
        <f>SUM('[39]1'!$E$31:$H$31)+SUM('[39]1'!$E$32:$H$32)+SUM('[39]1'!$E$37:$H$37)</f>
        <v>4.4689231957331046</v>
      </c>
      <c r="N38" s="888">
        <f>SUM('[39]1'!$E$38:$H$38)</f>
        <v>609.20299999999997</v>
      </c>
      <c r="O38" s="890">
        <f>'[39]1'!$I$38</f>
        <v>1391.8847999916693</v>
      </c>
      <c r="P38" s="943">
        <f>SUM('[39]1'!$I$40:$I$42)</f>
        <v>0</v>
      </c>
      <c r="Q38" s="411">
        <f t="shared" ref="Q38" si="51">H38-C38-D38-E38-F38-G38</f>
        <v>0</v>
      </c>
      <c r="R38" s="411">
        <f t="shared" ref="R38" si="52">N38-I38-J38-K38-L38-M38</f>
        <v>0</v>
      </c>
      <c r="S38" s="411">
        <f t="shared" ref="S38" si="53">O38-H38-N38</f>
        <v>0</v>
      </c>
    </row>
    <row r="39" spans="1:19" s="411" customFormat="1" ht="14.25" customHeight="1">
      <c r="A39" s="905"/>
      <c r="B39" s="906" t="s">
        <v>407</v>
      </c>
      <c r="C39" s="927">
        <f>SUM('[40]1'!$C$14:$D$14)+SUM('[40]1'!$C$18:$D$18)+SUM('[40]1'!$C$30:$D$30)+SUM('[40]1'!$C$33:$D$33)+0.01</f>
        <v>378.85739584516273</v>
      </c>
      <c r="D39" s="886">
        <f>SUM('[40]1'!$C$25:$D$29)</f>
        <v>92.72399999999999</v>
      </c>
      <c r="E39" s="889">
        <f>SUM('[40]1'!$C$23:$D$24)</f>
        <v>211.31852858888487</v>
      </c>
      <c r="F39" s="940">
        <f>SUM('[40]1'!$C$34:$D$34)+SUM('[40]1'!$C$36:$D$36)</f>
        <v>129.88868868643104</v>
      </c>
      <c r="G39" s="887">
        <f>SUM('[40]1'!$C$31:$D$31)+SUM('[40]1'!$C$37:$D$37)</f>
        <v>32.53535316127536</v>
      </c>
      <c r="H39" s="866">
        <f>SUM('[40]1'!$C$38:$D$38)</f>
        <v>845.31396628175412</v>
      </c>
      <c r="I39" s="866">
        <f>SUM('[40]1'!$E$14:$H$14)+SUM('[40]1'!$E$18:$H$18)+SUM('[40]1'!$E$30:$H$30)</f>
        <v>418.69491924500005</v>
      </c>
      <c r="J39" s="941">
        <f>SUM('[40]1'!$E$22:$H$22)</f>
        <v>141.69500000000002</v>
      </c>
      <c r="K39" s="942">
        <f>SUM('[40]1'!$E$33:$H$33)</f>
        <v>0</v>
      </c>
      <c r="L39" s="933">
        <f>SUM('[40]1'!$E$34:$H$34)+SUM('[40]1'!$E$36:$H$36)</f>
        <v>3.871</v>
      </c>
      <c r="M39" s="750">
        <f>SUM('[40]1'!$E$31:$H$31)+SUM('[40]1'!$E$32:$H$32)+SUM('[40]1'!$E$37:$H$37)</f>
        <v>5.4079056029999997</v>
      </c>
      <c r="N39" s="888">
        <f>SUM('[40]1'!$E$38:$H$38)</f>
        <v>569.66882484799987</v>
      </c>
      <c r="O39" s="890">
        <f>'[40]1'!$I$38</f>
        <v>1414.9827911297541</v>
      </c>
      <c r="P39" s="943">
        <f>SUM('[40]1'!$I$40:$I$42)</f>
        <v>0</v>
      </c>
      <c r="Q39" s="411">
        <f t="shared" ref="Q39" si="54">H39-C39-D39-E39-F39-G39</f>
        <v>-9.9999999998701128E-3</v>
      </c>
      <c r="R39" s="411">
        <f t="shared" ref="R39" si="55">N39-I39-J39-K39-L39-M39</f>
        <v>-2.007283228522283E-13</v>
      </c>
      <c r="S39" s="411">
        <f t="shared" ref="S39" si="56">O39-H39-N39</f>
        <v>0</v>
      </c>
    </row>
    <row r="40" spans="1:19" s="411" customFormat="1" ht="20.25" customHeight="1">
      <c r="A40" s="905">
        <v>2020</v>
      </c>
      <c r="B40" s="906" t="s">
        <v>408</v>
      </c>
      <c r="C40" s="927">
        <f>SUM('[41]1'!$C$14:$D$14)+SUM('[41]1'!$C$18:$D$18)+SUM('[41]1'!$C$30:$D$30)+SUM('[41]1'!$C$33:$D$33)</f>
        <v>420.51834164189239</v>
      </c>
      <c r="D40" s="886">
        <f>SUM('[41]1'!$C$25:$D$29)</f>
        <v>44.495000000000005</v>
      </c>
      <c r="E40" s="889">
        <f>SUM('[41]1'!$C$23:$D$24)</f>
        <v>210.02922776193671</v>
      </c>
      <c r="F40" s="940">
        <f>SUM('[41]1'!$C$34:$D$34)+SUM('[41]1'!$C$36:$D$36)</f>
        <v>126.51257140245602</v>
      </c>
      <c r="G40" s="887">
        <f>SUM('[41]1'!$C$31:$D$31)+SUM('[41]1'!$C$37:$D$37)</f>
        <v>42.099353689218525</v>
      </c>
      <c r="H40" s="866">
        <f>SUM('[41]1'!$C$38:$D$38)-0.01</f>
        <v>843.64449449550352</v>
      </c>
      <c r="I40" s="866">
        <f>SUM('[41]1'!$E$14:$H$14)+SUM('[41]1'!$E$18:$H$18)+SUM('[41]1'!$E$30:$H$30)</f>
        <v>414.38664502922671</v>
      </c>
      <c r="J40" s="941">
        <f>SUM('[41]1'!$E$22:$H$22)</f>
        <v>155.81600000000003</v>
      </c>
      <c r="K40" s="942">
        <f>SUM('[41]1'!$E$33:$H$33)</f>
        <v>0</v>
      </c>
      <c r="L40" s="933">
        <f>SUM('[41]1'!$E$34:$H$34)+SUM('[41]1'!$E$36:$H$36)</f>
        <v>4.1829999999999998</v>
      </c>
      <c r="M40" s="750">
        <f>SUM('[41]1'!$E$31:$H$31)+SUM('[41]1'!$E$32:$H$32)+SUM('[41]1'!$E$37:$H$37)</f>
        <v>4.4000000000000004</v>
      </c>
      <c r="N40" s="888">
        <f>SUM('[41]1'!$E$38:$H$38)</f>
        <v>578.78564502922666</v>
      </c>
      <c r="O40" s="890">
        <f>'[41]1'!$I$38</f>
        <v>1422.4401395247303</v>
      </c>
      <c r="P40" s="943">
        <f>SUM('[41]1'!$I$40:$I$42)</f>
        <v>0</v>
      </c>
      <c r="Q40" s="411">
        <f t="shared" ref="Q40" si="57">H40-C40-D40-E40-F40-G40</f>
        <v>-1.0000000000125908E-2</v>
      </c>
      <c r="R40" s="411">
        <f t="shared" ref="R40" si="58">N40-I40-J40-K40-L40-M40</f>
        <v>-8.7041485130612273E-14</v>
      </c>
      <c r="S40" s="411">
        <f t="shared" ref="S40" si="59">O40-H40-N40</f>
        <v>1.0000000000104592E-2</v>
      </c>
    </row>
    <row r="41" spans="1:19" s="411" customFormat="1" ht="14.25" customHeight="1">
      <c r="A41" s="1082"/>
      <c r="B41" s="906" t="s">
        <v>409</v>
      </c>
      <c r="C41" s="927">
        <f>SUM('[42]1'!$C$14:$D$14)+SUM('[42]1'!$C$18:$D$18)+SUM('[42]1'!$C$30:$D$30)+SUM('[42]1'!$C$33:$D$33)</f>
        <v>388.63581699212955</v>
      </c>
      <c r="D41" s="886">
        <f>SUM('[42]1'!$C$25:$D$29)</f>
        <v>47.826999999999998</v>
      </c>
      <c r="E41" s="889">
        <f>SUM('[42]1'!$C$23:$D$24)</f>
        <v>215.78912421400972</v>
      </c>
      <c r="F41" s="940">
        <f>SUM('[42]1'!$C$34:$D$34)+SUM('[42]1'!$C$36:$D$36)</f>
        <v>129.57472952253403</v>
      </c>
      <c r="G41" s="887">
        <f>SUM('[42]1'!$C$31:$D$31)+SUM('[42]1'!$C$37:$D$37)</f>
        <v>41.718302723834363</v>
      </c>
      <c r="H41" s="866">
        <f>SUM('[42]1'!$C$38:$D$38)</f>
        <v>823.54497345250775</v>
      </c>
      <c r="I41" s="866">
        <f>SUM('[42]1'!$E$14:$H$14)+SUM('[42]1'!$E$18:$H$18)+SUM('[42]1'!$E$30:$H$30)</f>
        <v>443.32600000000002</v>
      </c>
      <c r="J41" s="941">
        <f>SUM('[42]1'!$E$22:$H$22)</f>
        <v>155.33199999999999</v>
      </c>
      <c r="K41" s="942">
        <f>SUM('[42]1'!$E$33:$H$33)</f>
        <v>0</v>
      </c>
      <c r="L41" s="933">
        <f>SUM('[42]1'!$E$34:$H$34)+SUM('[42]1'!$E$36:$H$36)+0.02</f>
        <v>4.5549999999999997</v>
      </c>
      <c r="M41" s="750">
        <f>SUM('[42]1'!$E$31:$H$31)+SUM('[42]1'!$E$32:$H$32)+SUM('[42]1'!$E$37:$H$37)</f>
        <v>5.0871754989999998</v>
      </c>
      <c r="N41" s="888">
        <f>SUM('[42]1'!$E$38:$H$38)</f>
        <v>608.28017549900005</v>
      </c>
      <c r="O41" s="890">
        <f>'[42]1'!$I$38</f>
        <v>1431.8251489515078</v>
      </c>
      <c r="P41" s="943">
        <f>SUM('[42]1'!$I$40:$I$42)</f>
        <v>0</v>
      </c>
      <c r="Q41" s="411">
        <f t="shared" ref="Q41" si="60">H41-C41-D41-E41-F41-G41</f>
        <v>9.2370555648813024E-14</v>
      </c>
      <c r="R41" s="411">
        <f t="shared" ref="R41" si="61">N41-I41-J41-K41-L41-M41</f>
        <v>-1.9999999999963158E-2</v>
      </c>
      <c r="S41" s="411">
        <f t="shared" ref="S41" si="62">O41-H41-N41</f>
        <v>0</v>
      </c>
    </row>
    <row r="42" spans="1:19" s="411" customFormat="1" ht="14.25" customHeight="1">
      <c r="A42" s="1082"/>
      <c r="B42" s="906" t="s">
        <v>398</v>
      </c>
      <c r="C42" s="927">
        <f>SUM('[43]1'!$C$14:$D$14)+SUM('[43]1'!$C$18:$D$18)+SUM('[43]1'!$C$30:$D$30)+SUM('[43]1'!$C$33:$D$33)</f>
        <v>262.76152296951693</v>
      </c>
      <c r="D42" s="886">
        <f>SUM('[43]1'!$C$25:$D$29)-0.02</f>
        <v>47.035999999999987</v>
      </c>
      <c r="E42" s="889">
        <f>SUM('[43]1'!$C$23:$D$24)</f>
        <v>216.47369457704193</v>
      </c>
      <c r="F42" s="940">
        <f>SUM('[43]1'!$C$34:$D$34)+SUM('[43]1'!$C$36:$D$36)</f>
        <v>132.60098109133105</v>
      </c>
      <c r="G42" s="887">
        <f>SUM('[43]1'!$C$31:$D$31)+SUM('[43]1'!$C$37:$D$37)</f>
        <v>18.765960863034657</v>
      </c>
      <c r="H42" s="866">
        <f>SUM('[43]1'!$C$38:$D$38)</f>
        <v>677.65815950092451</v>
      </c>
      <c r="I42" s="866">
        <f>SUM('[43]1'!$E$14:$H$14)+SUM('[43]1'!$E$18:$H$18)+SUM('[43]1'!$E$30:$H$30)</f>
        <v>475.95328516934893</v>
      </c>
      <c r="J42" s="941">
        <f>SUM('[43]1'!$E$22:$H$22)</f>
        <v>342.39100000000002</v>
      </c>
      <c r="K42" s="942">
        <f>SUM('[43]1'!$E$33:$H$33)</f>
        <v>0</v>
      </c>
      <c r="L42" s="933">
        <f>SUM('[43]1'!$E$34:$H$34)+SUM('[43]1'!$E$36:$H$36)</f>
        <v>4.9672960000000002</v>
      </c>
      <c r="M42" s="750">
        <f>SUM('[43]1'!$E$31:$H$31)+SUM('[43]1'!$E$32:$H$32)+SUM('[43]1'!$E$37:$H$37)</f>
        <v>5.5392355183078505</v>
      </c>
      <c r="N42" s="888">
        <f>SUM('[43]1'!$E$38:$H$38)</f>
        <v>828.85081668765667</v>
      </c>
      <c r="O42" s="890">
        <f>'[43]1'!$I$38+0.05</f>
        <v>1506.5589761885813</v>
      </c>
      <c r="P42" s="943">
        <f>SUM('[43]1'!$I$40:$I$42)</f>
        <v>0</v>
      </c>
      <c r="Q42" s="411">
        <f t="shared" ref="Q42" si="63">H42-C42-D42-E42-F42-G42</f>
        <v>1.9999999999946283E-2</v>
      </c>
      <c r="R42" s="411">
        <f t="shared" ref="R42" si="64">N42-I42-J42-K42-L42-M42</f>
        <v>-1.2612133559741778E-13</v>
      </c>
      <c r="S42" s="411">
        <f t="shared" ref="S42" si="65">O42-H42-N42</f>
        <v>5.0000000000068212E-2</v>
      </c>
    </row>
    <row r="43" spans="1:19" s="411" customFormat="1" ht="14.25" customHeight="1">
      <c r="A43" s="1082"/>
      <c r="B43" s="906" t="s">
        <v>399</v>
      </c>
      <c r="C43" s="927">
        <f>SUM('[44]1'!$C$14:$D$14)+SUM('[44]1'!$C$18:$D$18)+SUM('[44]1'!$C$30:$D$30)+SUM('[44]1'!$C$33:$D$33)</f>
        <v>262.47803612452748</v>
      </c>
      <c r="D43" s="886">
        <f>SUM('[44]1'!$C$25:$D$29)</f>
        <v>52.159000000000006</v>
      </c>
      <c r="E43" s="889">
        <f>SUM('[44]1'!$C$23:$D$24)-0.01</f>
        <v>216.44160406132471</v>
      </c>
      <c r="F43" s="940">
        <f>SUM('[44]1'!$C$34:$D$34)+SUM('[44]1'!$C$36:$D$36)</f>
        <v>134.27640421566807</v>
      </c>
      <c r="G43" s="887">
        <f>SUM('[44]1'!$C$31:$D$31)+SUM('[44]1'!$C$37:$D$37)</f>
        <v>20.844910885598544</v>
      </c>
      <c r="H43" s="866">
        <f>SUM('[44]1'!$C$38:$D$38)</f>
        <v>686.20995528711876</v>
      </c>
      <c r="I43" s="866">
        <f>SUM('[44]1'!$E$14:$H$14)+SUM('[44]1'!$E$18:$H$18)+SUM('[44]1'!$E$30:$H$30)</f>
        <v>432.10013748386825</v>
      </c>
      <c r="J43" s="941">
        <f>SUM('[44]1'!$E$22:$H$22)</f>
        <v>409.24207295401072</v>
      </c>
      <c r="K43" s="942">
        <f>SUM('[44]1'!$E$33:$H$33)</f>
        <v>0</v>
      </c>
      <c r="L43" s="933">
        <f>SUM('[44]1'!$E$34:$H$34)+SUM('[44]1'!$E$36:$H$36)</f>
        <v>3.9854850210000001</v>
      </c>
      <c r="M43" s="750">
        <f>SUM('[44]1'!$E$31:$H$31)+SUM('[44]1'!$E$32:$H$32)+SUM('[44]1'!$E$37:$H$37)</f>
        <v>3.4</v>
      </c>
      <c r="N43" s="888">
        <f>SUM('[44]1'!$E$38:$H$38)</f>
        <v>848.72769545887888</v>
      </c>
      <c r="O43" s="890">
        <f>'[44]1'!$I$38</f>
        <v>1534.9376507459979</v>
      </c>
      <c r="P43" s="943">
        <f>SUM('[44]1'!$I$40:$I$42)</f>
        <v>0</v>
      </c>
      <c r="Q43" s="411">
        <f t="shared" ref="Q43" si="66">H43-C43-D43-E43-F43-G43</f>
        <v>9.9999999999695888E-3</v>
      </c>
      <c r="R43" s="411">
        <f t="shared" ref="R43" si="67">N43-I43-J43-K43-L43-M43</f>
        <v>-9.1482377229112899E-14</v>
      </c>
      <c r="S43" s="411">
        <f t="shared" ref="S43" si="68">O43-H43-N43</f>
        <v>0</v>
      </c>
    </row>
    <row r="44" spans="1:19" ht="19.5" customHeight="1">
      <c r="A44" s="405" t="s">
        <v>1002</v>
      </c>
      <c r="B44" s="236"/>
      <c r="C44" s="236"/>
      <c r="D44" s="236"/>
      <c r="E44" s="236"/>
      <c r="F44" s="236"/>
      <c r="G44" s="236"/>
      <c r="H44" s="236"/>
      <c r="I44" s="236"/>
      <c r="J44" s="236"/>
      <c r="K44" s="236"/>
      <c r="L44" s="236"/>
      <c r="M44" s="236"/>
      <c r="N44" s="236"/>
      <c r="O44" s="868"/>
      <c r="P44" s="868" t="s">
        <v>1003</v>
      </c>
    </row>
    <row r="45" spans="1:19">
      <c r="A45" s="406" t="s">
        <v>1004</v>
      </c>
      <c r="O45" s="885"/>
      <c r="P45" s="885" t="s">
        <v>1005</v>
      </c>
    </row>
    <row r="46" spans="1:19">
      <c r="A46" s="407" t="s">
        <v>1006</v>
      </c>
      <c r="O46" s="885"/>
      <c r="P46" s="885" t="s">
        <v>1007</v>
      </c>
    </row>
    <row r="47" spans="1:19">
      <c r="A47" s="29" t="s">
        <v>1008</v>
      </c>
      <c r="P47" s="885" t="s">
        <v>1009</v>
      </c>
    </row>
    <row r="48" spans="1:19">
      <c r="P48" s="885"/>
    </row>
    <row r="49" spans="1:16">
      <c r="A49" s="408" t="s">
        <v>1017</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5"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dimension ref="A1:R49"/>
  <sheetViews>
    <sheetView zoomScale="90" zoomScaleNormal="90" workbookViewId="0">
      <pane ySplit="12" topLeftCell="A39" activePane="bottomLeft" state="frozen"/>
      <selection activeCell="A49" sqref="A1:XFD1048576"/>
      <selection pane="bottomLeft" activeCell="A49" sqref="A1:XFD1048576"/>
    </sheetView>
  </sheetViews>
  <sheetFormatPr defaultColWidth="7.85546875" defaultRowHeight="12.75"/>
  <cols>
    <col min="1" max="2" width="9.28515625" style="406" customWidth="1"/>
    <col min="3" max="3" width="10.7109375" style="406" customWidth="1"/>
    <col min="4" max="4" width="12.7109375" style="406" customWidth="1"/>
    <col min="5" max="5" width="13.7109375" style="406" customWidth="1"/>
    <col min="6" max="6" width="12.28515625" style="406" customWidth="1"/>
    <col min="7" max="8" width="10.7109375" style="406" customWidth="1"/>
    <col min="9" max="9" width="14.140625" style="406" customWidth="1"/>
    <col min="10" max="10" width="12.85546875" style="406" customWidth="1"/>
    <col min="11" max="11" width="13.7109375" style="406" customWidth="1"/>
    <col min="12" max="12" width="10.85546875" style="406" customWidth="1"/>
    <col min="13" max="13" width="14.7109375" style="406" customWidth="1"/>
    <col min="14" max="14" width="12.7109375" style="406" customWidth="1"/>
    <col min="15" max="15" width="14.7109375" style="406" customWidth="1"/>
    <col min="16" max="16" width="9.140625" style="406" customWidth="1"/>
    <col min="17" max="16384" width="7.85546875" style="406"/>
  </cols>
  <sheetData>
    <row r="1" spans="1:18" ht="18">
      <c r="A1" s="297" t="s">
        <v>1613</v>
      </c>
      <c r="B1" s="1455"/>
      <c r="C1" s="1169"/>
      <c r="D1" s="1169"/>
      <c r="E1" s="1169"/>
      <c r="F1" s="1169"/>
      <c r="G1" s="1169"/>
      <c r="H1" s="1169"/>
      <c r="I1" s="1169"/>
      <c r="J1" s="1169"/>
      <c r="K1" s="1169"/>
      <c r="L1" s="1169"/>
      <c r="M1" s="1169"/>
      <c r="N1" s="1169"/>
      <c r="O1" s="1169"/>
    </row>
    <row r="2" spans="1:18" ht="18">
      <c r="A2" s="1423" t="s">
        <v>1018</v>
      </c>
      <c r="B2" s="1455"/>
      <c r="C2" s="1169"/>
      <c r="D2" s="1169"/>
      <c r="E2" s="1169"/>
      <c r="F2" s="1169"/>
      <c r="G2" s="1169"/>
      <c r="H2" s="1169"/>
      <c r="I2" s="1169"/>
      <c r="J2" s="1169"/>
      <c r="K2" s="1169"/>
      <c r="L2" s="1169"/>
      <c r="M2" s="1169"/>
      <c r="N2" s="1169"/>
      <c r="O2" s="1169"/>
    </row>
    <row r="3" spans="1:18" ht="18">
      <c r="A3" s="297" t="s">
        <v>1019</v>
      </c>
      <c r="B3" s="1455"/>
      <c r="C3" s="1169"/>
      <c r="D3" s="1169"/>
      <c r="E3" s="1169"/>
      <c r="F3" s="1169"/>
      <c r="G3" s="1169"/>
      <c r="H3" s="1169"/>
      <c r="I3" s="1169"/>
      <c r="J3" s="1169"/>
      <c r="K3" s="1169"/>
      <c r="L3" s="1169"/>
      <c r="M3" s="1169"/>
      <c r="N3" s="1169"/>
      <c r="O3" s="1169"/>
    </row>
    <row r="4" spans="1:18" ht="18">
      <c r="A4" s="1423" t="s">
        <v>357</v>
      </c>
      <c r="B4" s="1455"/>
      <c r="C4" s="1169"/>
      <c r="D4" s="1169"/>
      <c r="E4" s="1169"/>
      <c r="F4" s="1169"/>
      <c r="G4" s="1169"/>
      <c r="H4" s="1169"/>
      <c r="I4" s="1169"/>
      <c r="J4" s="1169"/>
      <c r="K4" s="1169"/>
      <c r="L4" s="1169"/>
      <c r="M4" s="1169"/>
      <c r="N4" s="1169"/>
      <c r="O4" s="1169"/>
    </row>
    <row r="5" spans="1:18" ht="18">
      <c r="A5" s="18" t="s">
        <v>356</v>
      </c>
      <c r="B5" s="1455"/>
      <c r="C5" s="1169"/>
      <c r="D5" s="1169"/>
      <c r="E5" s="1169"/>
      <c r="F5" s="1169"/>
      <c r="G5" s="1169"/>
      <c r="H5" s="1169"/>
      <c r="I5" s="1169"/>
      <c r="J5" s="1169"/>
      <c r="K5" s="1169"/>
      <c r="L5" s="1169"/>
      <c r="M5" s="1169"/>
      <c r="N5" s="1169"/>
      <c r="O5" s="1169"/>
    </row>
    <row r="6" spans="1:18" s="159" customFormat="1" ht="15">
      <c r="A6" s="1497" t="s">
        <v>778</v>
      </c>
      <c r="B6" s="659"/>
      <c r="O6" s="1343" t="s">
        <v>779</v>
      </c>
    </row>
    <row r="7" spans="1:18" s="172" customFormat="1" ht="18" customHeight="1">
      <c r="A7" s="1499"/>
      <c r="B7" s="170"/>
      <c r="C7" s="1554" t="s">
        <v>474</v>
      </c>
      <c r="D7" s="188"/>
      <c r="E7" s="171"/>
      <c r="F7" s="171"/>
      <c r="G7" s="1501" t="s">
        <v>472</v>
      </c>
      <c r="H7" s="1502" t="s">
        <v>809</v>
      </c>
      <c r="I7" s="171"/>
      <c r="J7" s="171"/>
      <c r="K7" s="171"/>
      <c r="L7" s="171"/>
      <c r="M7" s="1503" t="s">
        <v>1020</v>
      </c>
      <c r="N7" s="1504"/>
      <c r="O7" s="1505" t="s">
        <v>1021</v>
      </c>
    </row>
    <row r="8" spans="1:18" s="1516" customFormat="1" ht="18" customHeight="1">
      <c r="A8" s="1506"/>
      <c r="B8" s="1507"/>
      <c r="C8" s="1508"/>
      <c r="D8" s="1509" t="s">
        <v>481</v>
      </c>
      <c r="E8" s="1509"/>
      <c r="F8" s="1510"/>
      <c r="G8" s="1511"/>
      <c r="H8" s="1506"/>
      <c r="I8" s="1512"/>
      <c r="J8" s="1512"/>
      <c r="K8" s="1509" t="s">
        <v>989</v>
      </c>
      <c r="L8" s="1513"/>
      <c r="M8" s="1514"/>
      <c r="N8" s="1555" t="s">
        <v>827</v>
      </c>
      <c r="O8" s="1505" t="s">
        <v>801</v>
      </c>
    </row>
    <row r="9" spans="1:18" s="1516" customFormat="1" ht="18" customHeight="1">
      <c r="A9" s="27" t="s">
        <v>364</v>
      </c>
      <c r="B9" s="80"/>
      <c r="C9" s="1508" t="s">
        <v>418</v>
      </c>
      <c r="D9" s="1517" t="s">
        <v>781</v>
      </c>
      <c r="E9" s="1509" t="s">
        <v>376</v>
      </c>
      <c r="F9" s="1509" t="s">
        <v>377</v>
      </c>
      <c r="G9" s="397" t="s">
        <v>1016</v>
      </c>
      <c r="H9" s="1508" t="s">
        <v>418</v>
      </c>
      <c r="I9" s="1509" t="s">
        <v>845</v>
      </c>
      <c r="J9" s="1509" t="s">
        <v>808</v>
      </c>
      <c r="K9" s="1509" t="s">
        <v>991</v>
      </c>
      <c r="L9" s="397" t="s">
        <v>377</v>
      </c>
      <c r="M9" s="397" t="s">
        <v>367</v>
      </c>
      <c r="N9" s="1515" t="s">
        <v>357</v>
      </c>
      <c r="O9" s="1518" t="s">
        <v>804</v>
      </c>
    </row>
    <row r="10" spans="1:18" s="1516" customFormat="1" ht="18" customHeight="1">
      <c r="A10" s="1519" t="s">
        <v>372</v>
      </c>
      <c r="B10" s="1520"/>
      <c r="C10" s="1556"/>
      <c r="D10" s="400" t="s">
        <v>784</v>
      </c>
      <c r="E10" s="400" t="s">
        <v>455</v>
      </c>
      <c r="F10" s="400"/>
      <c r="G10" s="400"/>
      <c r="H10" s="1521"/>
      <c r="I10" s="1520"/>
      <c r="J10" s="1522"/>
      <c r="K10" s="400" t="s">
        <v>995</v>
      </c>
      <c r="L10" s="400"/>
      <c r="M10" s="400"/>
      <c r="N10" s="1523" t="s">
        <v>378</v>
      </c>
      <c r="O10" s="1518" t="s">
        <v>1022</v>
      </c>
    </row>
    <row r="11" spans="1:18" s="1516" customFormat="1" ht="18" customHeight="1">
      <c r="A11" s="1519"/>
      <c r="B11" s="1520"/>
      <c r="C11" s="1521" t="s">
        <v>391</v>
      </c>
      <c r="D11" s="400" t="s">
        <v>786</v>
      </c>
      <c r="E11" s="400" t="s">
        <v>486</v>
      </c>
      <c r="F11" s="400" t="s">
        <v>385</v>
      </c>
      <c r="G11" s="400" t="s">
        <v>378</v>
      </c>
      <c r="H11" s="1521" t="s">
        <v>391</v>
      </c>
      <c r="I11" s="400" t="s">
        <v>786</v>
      </c>
      <c r="J11" s="400" t="s">
        <v>815</v>
      </c>
      <c r="K11" s="400" t="s">
        <v>1000</v>
      </c>
      <c r="L11" s="400" t="s">
        <v>385</v>
      </c>
      <c r="M11" s="400" t="s">
        <v>378</v>
      </c>
      <c r="N11" s="1523" t="s">
        <v>356</v>
      </c>
      <c r="O11" s="1518" t="s">
        <v>6</v>
      </c>
    </row>
    <row r="12" spans="1:18" s="1516" customFormat="1" ht="18" customHeight="1">
      <c r="A12" s="1524"/>
      <c r="B12" s="1525"/>
      <c r="C12" s="1526" t="s">
        <v>812</v>
      </c>
      <c r="D12" s="1527" t="s">
        <v>813</v>
      </c>
      <c r="E12" s="1527" t="s">
        <v>813</v>
      </c>
      <c r="F12" s="1527"/>
      <c r="G12" s="1527"/>
      <c r="H12" s="1526"/>
      <c r="I12" s="1527"/>
      <c r="J12" s="1527"/>
      <c r="K12" s="1527"/>
      <c r="L12" s="1527"/>
      <c r="M12" s="1527"/>
      <c r="N12" s="1557"/>
      <c r="O12" s="1558" t="s">
        <v>816</v>
      </c>
      <c r="P12" s="1559" t="s">
        <v>1023</v>
      </c>
    </row>
    <row r="13" spans="1:18" s="327" customFormat="1" ht="20.25" customHeight="1">
      <c r="A13" s="432">
        <v>2010</v>
      </c>
      <c r="B13" s="553"/>
      <c r="C13" s="1535">
        <v>6171.4663921762385</v>
      </c>
      <c r="D13" s="1560">
        <v>2959.1935488266045</v>
      </c>
      <c r="E13" s="1561">
        <v>221.92608404000001</v>
      </c>
      <c r="F13" s="1535">
        <v>1614.3513919799304</v>
      </c>
      <c r="G13" s="1534">
        <v>10966.987417022774</v>
      </c>
      <c r="H13" s="1534">
        <v>20951.308855594758</v>
      </c>
      <c r="I13" s="1560">
        <v>55053.586571986205</v>
      </c>
      <c r="J13" s="1562">
        <v>27012.044307834305</v>
      </c>
      <c r="K13" s="1562">
        <v>38809.462311869691</v>
      </c>
      <c r="L13" s="1563">
        <v>3931.4346061603765</v>
      </c>
      <c r="M13" s="1564">
        <v>145757.83665344532</v>
      </c>
      <c r="N13" s="1565">
        <v>156724.77407046809</v>
      </c>
      <c r="O13" s="1566">
        <v>32310.946010969998</v>
      </c>
      <c r="P13" s="945">
        <f>G13-C13-D13-E13-F13</f>
        <v>5.0000000000636646E-2</v>
      </c>
      <c r="Q13" s="946">
        <f>M13-H13-I13-J13-K13-L13</f>
        <v>-1.9099388737231493E-11</v>
      </c>
      <c r="R13" s="946">
        <f>N13-G13-M13</f>
        <v>-5.0000000017462298E-2</v>
      </c>
    </row>
    <row r="14" spans="1:18" s="435" customFormat="1" ht="14.25" customHeight="1">
      <c r="A14" s="380">
        <v>2011</v>
      </c>
      <c r="B14" s="1378"/>
      <c r="C14" s="793">
        <v>4547.0894774390308</v>
      </c>
      <c r="D14" s="899">
        <v>2354.6704590576605</v>
      </c>
      <c r="E14" s="898">
        <v>241.62317460999998</v>
      </c>
      <c r="F14" s="793">
        <v>2925.3020974512128</v>
      </c>
      <c r="G14" s="775">
        <v>10068.685208557905</v>
      </c>
      <c r="H14" s="775">
        <v>13211.9243784599</v>
      </c>
      <c r="I14" s="899">
        <v>45590.664130960096</v>
      </c>
      <c r="J14" s="807">
        <v>26750.097941501139</v>
      </c>
      <c r="K14" s="807">
        <v>29436.646006152907</v>
      </c>
      <c r="L14" s="900">
        <v>4678.2295879526309</v>
      </c>
      <c r="M14" s="930">
        <v>119667.51204502667</v>
      </c>
      <c r="N14" s="922">
        <v>129736.24725358459</v>
      </c>
      <c r="O14" s="944">
        <v>30812.038929380004</v>
      </c>
      <c r="P14" s="945">
        <v>0</v>
      </c>
      <c r="Q14" s="946">
        <v>-4.999999999836291E-2</v>
      </c>
      <c r="R14" s="946">
        <v>5.0000000017462298E-2</v>
      </c>
    </row>
    <row r="15" spans="1:18" s="435" customFormat="1" ht="14.25" customHeight="1">
      <c r="A15" s="380">
        <v>2012</v>
      </c>
      <c r="B15" s="1378"/>
      <c r="C15" s="793">
        <v>4288.9016102578971</v>
      </c>
      <c r="D15" s="899">
        <v>1951.9105495390904</v>
      </c>
      <c r="E15" s="898">
        <v>197.83307358000002</v>
      </c>
      <c r="F15" s="793">
        <v>1441.255146834616</v>
      </c>
      <c r="G15" s="775">
        <v>7879.9003802116022</v>
      </c>
      <c r="H15" s="775">
        <v>12467.46559486431</v>
      </c>
      <c r="I15" s="899">
        <v>29090.788915756297</v>
      </c>
      <c r="J15" s="807">
        <v>25939.904299526679</v>
      </c>
      <c r="K15" s="807">
        <v>30739.397786374466</v>
      </c>
      <c r="L15" s="900">
        <v>8493.2123033426869</v>
      </c>
      <c r="M15" s="930">
        <v>106730.81889986443</v>
      </c>
      <c r="N15" s="922">
        <v>114610.71928007604</v>
      </c>
      <c r="O15" s="944">
        <v>30953.949112340004</v>
      </c>
      <c r="P15" s="945">
        <v>0</v>
      </c>
      <c r="Q15" s="946">
        <v>4.9999999999272404E-2</v>
      </c>
      <c r="R15" s="946">
        <v>0</v>
      </c>
    </row>
    <row r="16" spans="1:18" s="435" customFormat="1" ht="14.25" customHeight="1">
      <c r="A16" s="380">
        <v>2013</v>
      </c>
      <c r="B16" s="1378"/>
      <c r="C16" s="793">
        <v>3623.6693757947587</v>
      </c>
      <c r="D16" s="899">
        <v>2283.7869938637982</v>
      </c>
      <c r="E16" s="898">
        <v>253.25596764999997</v>
      </c>
      <c r="F16" s="793">
        <v>1329.7488166310875</v>
      </c>
      <c r="G16" s="775">
        <v>7490.4689224886934</v>
      </c>
      <c r="H16" s="775">
        <v>13433.26233607908</v>
      </c>
      <c r="I16" s="899">
        <v>30054.29257404503</v>
      </c>
      <c r="J16" s="807">
        <v>26234.193175011613</v>
      </c>
      <c r="K16" s="807">
        <v>30765.149373107019</v>
      </c>
      <c r="L16" s="900">
        <v>8708.3058150175857</v>
      </c>
      <c r="M16" s="930">
        <v>109195.16200283056</v>
      </c>
      <c r="N16" s="922">
        <v>116685.67455180922</v>
      </c>
      <c r="O16" s="944">
        <v>32893.619366642386</v>
      </c>
      <c r="P16" s="945">
        <v>7.7685490489329823E-3</v>
      </c>
      <c r="Q16" s="946">
        <v>-4.1270429759606486E-2</v>
      </c>
      <c r="R16" s="946">
        <v>4.3626489961752668E-2</v>
      </c>
    </row>
    <row r="17" spans="1:18" s="435" customFormat="1" ht="14.25" customHeight="1">
      <c r="A17" s="380">
        <v>2014</v>
      </c>
      <c r="B17" s="1378"/>
      <c r="C17" s="793">
        <v>4101.7786434070913</v>
      </c>
      <c r="D17" s="899">
        <v>1980.8796383770596</v>
      </c>
      <c r="E17" s="898">
        <v>303.20392175999996</v>
      </c>
      <c r="F17" s="793">
        <v>1442.1636000022024</v>
      </c>
      <c r="G17" s="775">
        <v>7828.1258035463543</v>
      </c>
      <c r="H17" s="775">
        <v>17026.003754116344</v>
      </c>
      <c r="I17" s="899">
        <v>30187.880583653205</v>
      </c>
      <c r="J17" s="807">
        <v>20134.598304445677</v>
      </c>
      <c r="K17" s="807">
        <v>24388.491034081944</v>
      </c>
      <c r="L17" s="900">
        <v>9719.4405234928345</v>
      </c>
      <c r="M17" s="930">
        <v>101456.36419979001</v>
      </c>
      <c r="N17" s="922">
        <v>109284.49000333635</v>
      </c>
      <c r="O17" s="944">
        <v>43113.066607355497</v>
      </c>
      <c r="P17" s="945">
        <v>0.10000000000104592</v>
      </c>
      <c r="Q17" s="946">
        <v>-4.9999999991996447E-2</v>
      </c>
      <c r="R17" s="946">
        <v>0</v>
      </c>
    </row>
    <row r="18" spans="1:18" s="435" customFormat="1" ht="14.25" customHeight="1">
      <c r="A18" s="380">
        <v>2015</v>
      </c>
      <c r="B18" s="1378"/>
      <c r="C18" s="793">
        <v>4155.8973642631308</v>
      </c>
      <c r="D18" s="899">
        <v>2244.3217847826231</v>
      </c>
      <c r="E18" s="898">
        <v>557.85029289997999</v>
      </c>
      <c r="F18" s="793">
        <v>1684.3095387649748</v>
      </c>
      <c r="G18" s="775">
        <v>8642.3789807107096</v>
      </c>
      <c r="H18" s="775">
        <v>14400.353670004304</v>
      </c>
      <c r="I18" s="899">
        <v>32826.834645538707</v>
      </c>
      <c r="J18" s="807">
        <v>18610.408909573038</v>
      </c>
      <c r="K18" s="807">
        <v>23066.831585622436</v>
      </c>
      <c r="L18" s="900">
        <v>11266.986718537128</v>
      </c>
      <c r="M18" s="930">
        <v>100171.43140135561</v>
      </c>
      <c r="N18" s="922">
        <v>108813.81038206631</v>
      </c>
      <c r="O18" s="944">
        <v>40392.093354963959</v>
      </c>
      <c r="P18" s="945">
        <v>0</v>
      </c>
      <c r="Q18" s="946">
        <v>1.5872080000917776E-2</v>
      </c>
      <c r="R18" s="946">
        <v>0</v>
      </c>
    </row>
    <row r="19" spans="1:18" s="435" customFormat="1" ht="14.25" customHeight="1">
      <c r="A19" s="380">
        <v>2016</v>
      </c>
      <c r="B19" s="1378"/>
      <c r="C19" s="793">
        <v>4746.2148481857475</v>
      </c>
      <c r="D19" s="899">
        <v>2113.2403939080345</v>
      </c>
      <c r="E19" s="898">
        <v>1060.8250702971472</v>
      </c>
      <c r="F19" s="793">
        <v>1699.8801214784103</v>
      </c>
      <c r="G19" s="775">
        <v>9620.0904338693381</v>
      </c>
      <c r="H19" s="775">
        <v>13303.914467336699</v>
      </c>
      <c r="I19" s="899">
        <v>31391.640382418533</v>
      </c>
      <c r="J19" s="807">
        <v>18279.321972054538</v>
      </c>
      <c r="K19" s="807">
        <v>22184.522629672894</v>
      </c>
      <c r="L19" s="900">
        <v>8256.4896100395872</v>
      </c>
      <c r="M19" s="930">
        <v>93415.835874722252</v>
      </c>
      <c r="N19" s="922">
        <v>103035.94630859156</v>
      </c>
      <c r="O19" s="944">
        <v>46535.74714493865</v>
      </c>
      <c r="P19" s="945">
        <v>-7.0000000001527951E-2</v>
      </c>
      <c r="Q19" s="946">
        <v>-5.3186799998002243E-2</v>
      </c>
      <c r="R19" s="946">
        <v>1.9999999974970706E-2</v>
      </c>
    </row>
    <row r="20" spans="1:18" s="435" customFormat="1" ht="14.25" customHeight="1">
      <c r="A20" s="380">
        <v>2017</v>
      </c>
      <c r="B20" s="1378"/>
      <c r="C20" s="793">
        <v>4909.6252436315808</v>
      </c>
      <c r="D20" s="899">
        <v>2251.7417224396086</v>
      </c>
      <c r="E20" s="898">
        <v>1284.96091062798</v>
      </c>
      <c r="F20" s="793">
        <v>1397.9398180438468</v>
      </c>
      <c r="G20" s="775">
        <v>9844.2276947430182</v>
      </c>
      <c r="H20" s="775">
        <v>13291.045525877065</v>
      </c>
      <c r="I20" s="899">
        <v>34359.9736177546</v>
      </c>
      <c r="J20" s="807">
        <v>17660.062610313737</v>
      </c>
      <c r="K20" s="807">
        <v>20740.934834519554</v>
      </c>
      <c r="L20" s="900">
        <v>8066.308228883714</v>
      </c>
      <c r="M20" s="930">
        <v>94118.319588158673</v>
      </c>
      <c r="N20" s="922">
        <v>103962.49728290168</v>
      </c>
      <c r="O20" s="944">
        <v>36193.963880562238</v>
      </c>
      <c r="P20" s="945">
        <v>-3.9999999997917257E-2</v>
      </c>
      <c r="Q20" s="946">
        <v>-5.2291899992269464E-3</v>
      </c>
      <c r="R20" s="946">
        <v>-5.0000000017462298E-2</v>
      </c>
    </row>
    <row r="21" spans="1:18" s="411" customFormat="1" ht="14.25" customHeight="1">
      <c r="A21" s="905">
        <v>2018</v>
      </c>
      <c r="B21" s="906"/>
      <c r="C21" s="793">
        <f t="shared" ref="C21:O21" si="0">C25</f>
        <v>5420.2943175968157</v>
      </c>
      <c r="D21" s="899">
        <f t="shared" si="0"/>
        <v>3275.7701589037033</v>
      </c>
      <c r="E21" s="898">
        <f t="shared" si="0"/>
        <v>1832.6447111939806</v>
      </c>
      <c r="F21" s="793">
        <f t="shared" si="0"/>
        <v>1549.2170220757091</v>
      </c>
      <c r="G21" s="775">
        <f t="shared" si="0"/>
        <v>12077.946209770211</v>
      </c>
      <c r="H21" s="775">
        <f t="shared" si="0"/>
        <v>7324.3683677793179</v>
      </c>
      <c r="I21" s="899">
        <f t="shared" si="0"/>
        <v>37132.804795031589</v>
      </c>
      <c r="J21" s="807">
        <f t="shared" si="0"/>
        <v>17785.335737111483</v>
      </c>
      <c r="K21" s="807">
        <f t="shared" si="0"/>
        <v>23146.799525543891</v>
      </c>
      <c r="L21" s="900">
        <f t="shared" si="0"/>
        <v>8562.4797149522747</v>
      </c>
      <c r="M21" s="930">
        <f t="shared" si="0"/>
        <v>93951.841699188546</v>
      </c>
      <c r="N21" s="922">
        <f t="shared" si="0"/>
        <v>106029.74090895876</v>
      </c>
      <c r="O21" s="944">
        <f t="shared" si="0"/>
        <v>31236.408948762768</v>
      </c>
      <c r="P21" s="945">
        <f>G21-C21-D21-E21-F21</f>
        <v>2.0000000002028173E-2</v>
      </c>
      <c r="Q21" s="946">
        <f>M21-H21-I21-J21-K21-L21</f>
        <v>5.3558769992378075E-2</v>
      </c>
      <c r="R21" s="946">
        <f>N21-G21-M21</f>
        <v>-4.6999999991385266E-2</v>
      </c>
    </row>
    <row r="22" spans="1:18" s="411" customFormat="1" ht="14.25" customHeight="1">
      <c r="A22" s="1193">
        <v>2019</v>
      </c>
      <c r="B22" s="1483"/>
      <c r="C22" s="1546">
        <f t="shared" ref="C22:O22" si="1">C29</f>
        <v>6010.6811165013451</v>
      </c>
      <c r="D22" s="1567">
        <f t="shared" si="1"/>
        <v>4243.2354214858224</v>
      </c>
      <c r="E22" s="1568">
        <f t="shared" si="1"/>
        <v>2632.3710868021894</v>
      </c>
      <c r="F22" s="1546">
        <f t="shared" si="1"/>
        <v>2579.7651829752485</v>
      </c>
      <c r="G22" s="1545">
        <f t="shared" si="1"/>
        <v>15466.065807764608</v>
      </c>
      <c r="H22" s="1545">
        <f t="shared" si="1"/>
        <v>8727.4714580277359</v>
      </c>
      <c r="I22" s="1567">
        <f t="shared" si="1"/>
        <v>41918.477568865375</v>
      </c>
      <c r="J22" s="1569">
        <f t="shared" si="1"/>
        <v>17399.551084633415</v>
      </c>
      <c r="K22" s="1569">
        <f t="shared" si="1"/>
        <v>21102.807526597131</v>
      </c>
      <c r="L22" s="1570">
        <f t="shared" si="1"/>
        <v>6223.6711662691523</v>
      </c>
      <c r="M22" s="1571">
        <f t="shared" si="1"/>
        <v>95372.062573938616</v>
      </c>
      <c r="N22" s="1572">
        <f t="shared" si="1"/>
        <v>110838.15838170321</v>
      </c>
      <c r="O22" s="1573">
        <f t="shared" si="1"/>
        <v>22654.532529911383</v>
      </c>
      <c r="P22" s="945">
        <f>G22-C22-D22-E22-F22</f>
        <v>1.3000000001284207E-2</v>
      </c>
      <c r="Q22" s="946">
        <f>M22-H22-I22-J22-K22-L22</f>
        <v>8.376954580671736E-2</v>
      </c>
      <c r="R22" s="946">
        <f>N22-G22-M22</f>
        <v>2.9999999984283932E-2</v>
      </c>
    </row>
    <row r="23" spans="1:18" s="411" customFormat="1" ht="20.25" customHeight="1">
      <c r="A23" s="905">
        <v>2018</v>
      </c>
      <c r="B23" s="906" t="s">
        <v>223</v>
      </c>
      <c r="C23" s="793">
        <v>5225.9999205305703</v>
      </c>
      <c r="D23" s="899">
        <v>2472.8565607786609</v>
      </c>
      <c r="E23" s="898">
        <v>1557.3856265942143</v>
      </c>
      <c r="F23" s="793">
        <v>1507.9425354049938</v>
      </c>
      <c r="G23" s="775">
        <v>10764.194643308441</v>
      </c>
      <c r="H23" s="775">
        <v>8999.7287963327562</v>
      </c>
      <c r="I23" s="899">
        <v>36105.71090775176</v>
      </c>
      <c r="J23" s="807">
        <v>17805.708989695573</v>
      </c>
      <c r="K23" s="807">
        <v>20318.326250241313</v>
      </c>
      <c r="L23" s="900">
        <v>8842.5812739178727</v>
      </c>
      <c r="M23" s="930">
        <v>92072.04285102927</v>
      </c>
      <c r="N23" s="922">
        <v>102836.23749433772</v>
      </c>
      <c r="O23" s="944">
        <v>33837.919337212457</v>
      </c>
      <c r="P23" s="945">
        <f t="shared" ref="P23" si="2">G23-C23-D23-E23-F23</f>
        <v>1.0000000002037268E-2</v>
      </c>
      <c r="Q23" s="946">
        <f t="shared" ref="Q23" si="3">M23-H23-I23-J23-K23-L23</f>
        <v>-1.3366910003242083E-2</v>
      </c>
      <c r="R23" s="946">
        <f t="shared" ref="R23" si="4">N23-G23-M23</f>
        <v>0</v>
      </c>
    </row>
    <row r="24" spans="1:18" s="411" customFormat="1" ht="14.25" customHeight="1">
      <c r="A24" s="905"/>
      <c r="B24" s="906" t="s">
        <v>224</v>
      </c>
      <c r="C24" s="793">
        <v>5229.09156526889</v>
      </c>
      <c r="D24" s="899">
        <v>2672.0723577168555</v>
      </c>
      <c r="E24" s="898">
        <v>1356.2058390762106</v>
      </c>
      <c r="F24" s="793">
        <v>1634.2175852499849</v>
      </c>
      <c r="G24" s="775">
        <v>10891.629106413942</v>
      </c>
      <c r="H24" s="775">
        <v>8841.4022377078036</v>
      </c>
      <c r="I24" s="899">
        <v>36476.835842813212</v>
      </c>
      <c r="J24" s="807">
        <v>17671.225881388713</v>
      </c>
      <c r="K24" s="807">
        <v>23658.647014418111</v>
      </c>
      <c r="L24" s="900">
        <v>9624.5656320020535</v>
      </c>
      <c r="M24" s="930">
        <v>96272.643627039914</v>
      </c>
      <c r="N24" s="922">
        <v>107164.23273345381</v>
      </c>
      <c r="O24" s="944">
        <v>35242.132050795706</v>
      </c>
      <c r="P24" s="945">
        <v>4.1759102001151405E-2</v>
      </c>
      <c r="Q24" s="946">
        <v>-3.298128997994354E-2</v>
      </c>
      <c r="R24" s="946">
        <v>-4.0000000037252903E-2</v>
      </c>
    </row>
    <row r="25" spans="1:18" s="411" customFormat="1" ht="14.25" customHeight="1">
      <c r="A25" s="905"/>
      <c r="B25" s="906" t="s">
        <v>225</v>
      </c>
      <c r="C25" s="793">
        <v>5420.2943175968157</v>
      </c>
      <c r="D25" s="899">
        <v>3275.7701589037033</v>
      </c>
      <c r="E25" s="898">
        <v>1832.6447111939806</v>
      </c>
      <c r="F25" s="793">
        <v>1549.2170220757091</v>
      </c>
      <c r="G25" s="775">
        <v>12077.946209770211</v>
      </c>
      <c r="H25" s="775">
        <v>7324.3683677793179</v>
      </c>
      <c r="I25" s="899">
        <v>37132.804795031589</v>
      </c>
      <c r="J25" s="807">
        <v>17785.335737111483</v>
      </c>
      <c r="K25" s="807">
        <v>23146.799525543891</v>
      </c>
      <c r="L25" s="900">
        <v>8562.4797149522747</v>
      </c>
      <c r="M25" s="750">
        <v>93951.841699188546</v>
      </c>
      <c r="N25" s="922">
        <v>106029.74090895876</v>
      </c>
      <c r="O25" s="944">
        <v>31236.408948762768</v>
      </c>
      <c r="P25" s="945">
        <v>2.0000000002028173E-2</v>
      </c>
      <c r="Q25" s="946">
        <v>5.3558769992378075E-2</v>
      </c>
      <c r="R25" s="946">
        <v>-4.6999999991385266E-2</v>
      </c>
    </row>
    <row r="26" spans="1:18" s="411" customFormat="1" ht="20.25" customHeight="1">
      <c r="A26" s="905">
        <v>2019</v>
      </c>
      <c r="B26" s="906" t="s">
        <v>222</v>
      </c>
      <c r="C26" s="793">
        <v>6203.8151621288098</v>
      </c>
      <c r="D26" s="899">
        <v>3191.7554409875629</v>
      </c>
      <c r="E26" s="898">
        <v>2063.7454214808999</v>
      </c>
      <c r="F26" s="793">
        <v>1632.1839414939354</v>
      </c>
      <c r="G26" s="775">
        <v>13091.499966091209</v>
      </c>
      <c r="H26" s="775">
        <v>9298.8508975211626</v>
      </c>
      <c r="I26" s="899">
        <v>41494.22479787749</v>
      </c>
      <c r="J26" s="807">
        <v>21163.191847949558</v>
      </c>
      <c r="K26" s="807">
        <v>22914.539332759417</v>
      </c>
      <c r="L26" s="900">
        <v>7819.5193150398864</v>
      </c>
      <c r="M26" s="750">
        <v>102690.31504321752</v>
      </c>
      <c r="N26" s="922">
        <v>115781.83800930873</v>
      </c>
      <c r="O26" s="944">
        <v>28613.816422826465</v>
      </c>
      <c r="P26" s="945">
        <v>0</v>
      </c>
      <c r="Q26" s="946">
        <v>-1.1147929993967409E-2</v>
      </c>
      <c r="R26" s="946">
        <v>2.3000000001047738E-2</v>
      </c>
    </row>
    <row r="27" spans="1:18" s="411" customFormat="1" ht="14.25" customHeight="1">
      <c r="A27" s="905"/>
      <c r="B27" s="906" t="s">
        <v>223</v>
      </c>
      <c r="C27" s="793">
        <f t="shared" ref="C27:O27" si="5">C33</f>
        <v>5923.3278384945133</v>
      </c>
      <c r="D27" s="899">
        <f t="shared" si="5"/>
        <v>4158.9977671251509</v>
      </c>
      <c r="E27" s="898">
        <f t="shared" si="5"/>
        <v>2129.4746846241023</v>
      </c>
      <c r="F27" s="793">
        <f t="shared" si="5"/>
        <v>2168.3657068839429</v>
      </c>
      <c r="G27" s="775">
        <f t="shared" si="5"/>
        <v>14380.165997127709</v>
      </c>
      <c r="H27" s="775">
        <f t="shared" si="5"/>
        <v>8112.1152465843479</v>
      </c>
      <c r="I27" s="899">
        <f t="shared" si="5"/>
        <v>39934.667479163923</v>
      </c>
      <c r="J27" s="807">
        <f t="shared" si="5"/>
        <v>19698.50456391582</v>
      </c>
      <c r="K27" s="807">
        <f t="shared" si="5"/>
        <v>22678.885731031598</v>
      </c>
      <c r="L27" s="900">
        <f t="shared" si="5"/>
        <v>6745.9952339958654</v>
      </c>
      <c r="M27" s="750">
        <f t="shared" si="5"/>
        <v>97170.218254691543</v>
      </c>
      <c r="N27" s="922">
        <f t="shared" si="5"/>
        <v>111550.43527235929</v>
      </c>
      <c r="O27" s="944">
        <f t="shared" si="5"/>
        <v>24329.326314203121</v>
      </c>
      <c r="P27" s="945">
        <f t="shared" ref="P27" si="6">G27-C27-D27-E27-F27</f>
        <v>0</v>
      </c>
      <c r="Q27" s="946">
        <f t="shared" ref="Q27" si="7">M27-H27-I27-J27-K27-L27</f>
        <v>4.9999999988358468E-2</v>
      </c>
      <c r="R27" s="946">
        <f t="shared" ref="R27" si="8">N27-G27-M27</f>
        <v>5.1020540035096928E-2</v>
      </c>
    </row>
    <row r="28" spans="1:18" s="411" customFormat="1" ht="14.25" customHeight="1">
      <c r="A28" s="905"/>
      <c r="B28" s="906" t="s">
        <v>224</v>
      </c>
      <c r="C28" s="793">
        <f t="shared" ref="C28:O28" si="9">C36</f>
        <v>5969.2232923591237</v>
      </c>
      <c r="D28" s="899">
        <f t="shared" si="9"/>
        <v>4030.0630501840315</v>
      </c>
      <c r="E28" s="898">
        <f t="shared" si="9"/>
        <v>2406.8564764271723</v>
      </c>
      <c r="F28" s="793">
        <f t="shared" si="9"/>
        <v>2710.4331277568672</v>
      </c>
      <c r="G28" s="775">
        <f t="shared" si="9"/>
        <v>15116.585946727191</v>
      </c>
      <c r="H28" s="775">
        <f t="shared" si="9"/>
        <v>8051.5246360185592</v>
      </c>
      <c r="I28" s="899">
        <f t="shared" si="9"/>
        <v>40721.505815943769</v>
      </c>
      <c r="J28" s="807">
        <f t="shared" si="9"/>
        <v>18838.060831086488</v>
      </c>
      <c r="K28" s="807">
        <f t="shared" si="9"/>
        <v>20704.156934519197</v>
      </c>
      <c r="L28" s="900">
        <f t="shared" si="9"/>
        <v>6421.308314187514</v>
      </c>
      <c r="M28" s="750">
        <f t="shared" si="9"/>
        <v>94736.57653175552</v>
      </c>
      <c r="N28" s="922">
        <f t="shared" si="9"/>
        <v>109853.21247848272</v>
      </c>
      <c r="O28" s="944">
        <f t="shared" si="9"/>
        <v>23393.963754284792</v>
      </c>
      <c r="P28" s="945">
        <f t="shared" ref="P28" si="10">G28-C28-D28-E28-F28</f>
        <v>9.9999999965802999E-3</v>
      </c>
      <c r="Q28" s="946">
        <f t="shared" ref="Q28" si="11">M28-H28-I28-J28-K28-L28</f>
        <v>1.9999999996798579E-2</v>
      </c>
      <c r="R28" s="946">
        <f t="shared" ref="R28" si="12">N28-G28-M28</f>
        <v>5.0000000002910383E-2</v>
      </c>
    </row>
    <row r="29" spans="1:18" s="411" customFormat="1" ht="14.25" customHeight="1">
      <c r="A29" s="905"/>
      <c r="B29" s="906" t="s">
        <v>225</v>
      </c>
      <c r="C29" s="793">
        <f t="shared" ref="C29:O29" si="13">C39</f>
        <v>6010.6811165013451</v>
      </c>
      <c r="D29" s="899">
        <f t="shared" si="13"/>
        <v>4243.2354214858224</v>
      </c>
      <c r="E29" s="898">
        <f t="shared" si="13"/>
        <v>2632.3710868021894</v>
      </c>
      <c r="F29" s="793">
        <f t="shared" si="13"/>
        <v>2579.7651829752485</v>
      </c>
      <c r="G29" s="775">
        <f t="shared" si="13"/>
        <v>15466.065807764608</v>
      </c>
      <c r="H29" s="775">
        <f t="shared" si="13"/>
        <v>8727.4714580277359</v>
      </c>
      <c r="I29" s="899">
        <f t="shared" si="13"/>
        <v>41918.477568865375</v>
      </c>
      <c r="J29" s="807">
        <f t="shared" si="13"/>
        <v>17399.551084633415</v>
      </c>
      <c r="K29" s="807">
        <f t="shared" si="13"/>
        <v>21102.807526597131</v>
      </c>
      <c r="L29" s="900">
        <f t="shared" si="13"/>
        <v>6223.6711662691523</v>
      </c>
      <c r="M29" s="750">
        <f t="shared" si="13"/>
        <v>95372.062573938616</v>
      </c>
      <c r="N29" s="922">
        <f t="shared" si="13"/>
        <v>110838.15838170321</v>
      </c>
      <c r="O29" s="944">
        <f t="shared" si="13"/>
        <v>22654.532529911383</v>
      </c>
      <c r="P29" s="945">
        <f t="shared" ref="P29" si="14">G29-C29-D29-E29-F29</f>
        <v>1.3000000001284207E-2</v>
      </c>
      <c r="Q29" s="946">
        <f t="shared" ref="Q29" si="15">M29-H29-I29-J29-K29-L29</f>
        <v>8.376954580671736E-2</v>
      </c>
      <c r="R29" s="946">
        <f t="shared" ref="R29" si="16">N29-G29-M29</f>
        <v>2.9999999984283932E-2</v>
      </c>
    </row>
    <row r="30" spans="1:18" s="411" customFormat="1" ht="21" customHeight="1">
      <c r="A30" s="1193">
        <v>2020</v>
      </c>
      <c r="B30" s="1483" t="s">
        <v>222</v>
      </c>
      <c r="C30" s="1546">
        <f t="shared" ref="C30:O30" si="17">C42</f>
        <v>6905.1408514086015</v>
      </c>
      <c r="D30" s="1567">
        <f t="shared" si="17"/>
        <v>4405.3498138281821</v>
      </c>
      <c r="E30" s="1568">
        <f t="shared" si="17"/>
        <v>2925.4665129788686</v>
      </c>
      <c r="F30" s="1546">
        <f t="shared" si="17"/>
        <v>3069.280979302609</v>
      </c>
      <c r="G30" s="1545">
        <f t="shared" si="17"/>
        <v>17305.219157518259</v>
      </c>
      <c r="H30" s="1545">
        <f t="shared" si="17"/>
        <v>9595.82417210106</v>
      </c>
      <c r="I30" s="1567">
        <f t="shared" si="17"/>
        <v>43764.852730918603</v>
      </c>
      <c r="J30" s="1569">
        <f t="shared" si="17"/>
        <v>16138.161576247956</v>
      </c>
      <c r="K30" s="1569">
        <f t="shared" si="17"/>
        <v>22802.867065643113</v>
      </c>
      <c r="L30" s="1570">
        <f t="shared" si="17"/>
        <v>6136.8032961748886</v>
      </c>
      <c r="M30" s="1485">
        <f t="shared" si="17"/>
        <v>98438.612457261435</v>
      </c>
      <c r="N30" s="1572">
        <f t="shared" si="17"/>
        <v>115743.8277998697</v>
      </c>
      <c r="O30" s="1573">
        <f t="shared" si="17"/>
        <v>22292.021308749743</v>
      </c>
      <c r="P30" s="945">
        <f t="shared" ref="P30" si="18">G30-C30-D30-E30-F30</f>
        <v>-1.9000000002506567E-2</v>
      </c>
      <c r="Q30" s="946">
        <f t="shared" ref="Q30" si="19">M30-H30-I30-J30-K30-L30</f>
        <v>0.103616175818388</v>
      </c>
      <c r="R30" s="946">
        <f t="shared" ref="R30" si="20">N30-G30-M30</f>
        <v>-3.8149100000737235E-3</v>
      </c>
    </row>
    <row r="31" spans="1:18" s="411" customFormat="1" ht="20.25" customHeight="1">
      <c r="A31" s="905">
        <v>2019</v>
      </c>
      <c r="B31" s="906" t="s">
        <v>399</v>
      </c>
      <c r="C31" s="793">
        <f>SUM('[45]1'!$C$68:$D$68)+SUM('[45]1'!$C$69:$D$69)+SUM('[45]1'!$C$72:$D$72)+SUM('[45]1'!$C$95:$D$95)</f>
        <v>5985.9353324902277</v>
      </c>
      <c r="D31" s="899">
        <f>SUM('[45]1'!$C$79:$D$83)+SUM('[45]1'!$C$89:$D$89)+SUM('[45]1'!$C$92:$D$92)</f>
        <v>4118.4013420190613</v>
      </c>
      <c r="E31" s="898">
        <f>SUM('[45]1'!$C$77:$D$78)+SUM('[45]1'!$C$86:$D$86)-0.02</f>
        <v>2021.8427642439785</v>
      </c>
      <c r="F31" s="793">
        <f>SUM('[45]1'!$C$93:$D$93)+SUM('[45]1'!$C$96:$D$97)</f>
        <v>1573.7910904603762</v>
      </c>
      <c r="G31" s="775">
        <f>SUM('[45]1'!$C$98:$D$98)-0.05</f>
        <v>13699.940529213643</v>
      </c>
      <c r="H31" s="775">
        <f>SUM('[45]1'!$E$69:$H$69)+SUM('[45]1'!$E$72:$H$72)</f>
        <v>9317.9619649241358</v>
      </c>
      <c r="I31" s="899">
        <f>SUM('[45]1'!$E$76:$H$76)</f>
        <v>39489.879578483975</v>
      </c>
      <c r="J31" s="807">
        <f>SUM('[45]1'!$E$84:$H$84)</f>
        <v>18697.113445172639</v>
      </c>
      <c r="K31" s="807">
        <f>SUM('[45]1'!$E$95:$H$95)</f>
        <v>22337.162601125459</v>
      </c>
      <c r="L31" s="900">
        <f>SUM('[45]1'!$E$93:$H$93)+SUM('[45]1'!$E$94:$H$94)+SUM('[45]1'!$E$97:$H$97)</f>
        <v>7863.1347419944432</v>
      </c>
      <c r="M31" s="930">
        <f>SUM('[45]1'!$E$98:$H$98)</f>
        <v>97705.252331700656</v>
      </c>
      <c r="N31" s="922">
        <f>'[45]1'!$I$98</f>
        <v>111405.21386091431</v>
      </c>
      <c r="O31" s="944">
        <f>'[45]1'!$I$100</f>
        <v>26955.695416020437</v>
      </c>
      <c r="P31" s="945">
        <f t="shared" ref="P31" si="21">G31-C31-D31-E31-F31</f>
        <v>-3.0000000000200089E-2</v>
      </c>
      <c r="Q31" s="946">
        <f t="shared" ref="Q31" si="22">M31-H31-I31-J31-K31-L31</f>
        <v>0</v>
      </c>
      <c r="R31" s="946">
        <f t="shared" ref="R31" si="23">N31-G31-M31</f>
        <v>2.1000000022468157E-2</v>
      </c>
    </row>
    <row r="32" spans="1:18" s="411" customFormat="1" ht="14.25" customHeight="1">
      <c r="A32" s="905"/>
      <c r="B32" s="906" t="s">
        <v>400</v>
      </c>
      <c r="C32" s="793">
        <f>SUM('[46]1'!$C$68:$D$68)+SUM('[46]1'!$C$69:$D$69)+SUM('[46]1'!$C$72:$D$72)+SUM('[46]1'!$C$95:$D$95)</f>
        <v>6143.9884902844906</v>
      </c>
      <c r="D32" s="899">
        <f>SUM('[46]1'!$C$79:$D$83)+SUM('[46]1'!$C$89:$D$89)+SUM('[46]1'!$C$92:$D$92)</f>
        <v>4157.1370284821469</v>
      </c>
      <c r="E32" s="898">
        <f>SUM('[46]1'!$C$77:$D$78)+SUM('[46]1'!$C$86:$D$86)</f>
        <v>1941.8513305767028</v>
      </c>
      <c r="F32" s="793">
        <f>SUM('[46]1'!$C$93:$D$93)+SUM('[46]1'!$C$96:$D$97)</f>
        <v>1668.9302128968211</v>
      </c>
      <c r="G32" s="775">
        <f>SUM('[46]1'!$C$98:$D$98)</f>
        <v>13911.907062240161</v>
      </c>
      <c r="H32" s="775">
        <f>SUM('[46]1'!$E$69:$H$69)+SUM('[46]1'!$E$72:$H$72)</f>
        <v>8638.0134811326461</v>
      </c>
      <c r="I32" s="899">
        <f>SUM('[46]1'!$E$76:$H$76)</f>
        <v>39529.285427054856</v>
      </c>
      <c r="J32" s="807">
        <f>SUM('[46]1'!$E$84:$H$84)</f>
        <v>19470.634488583331</v>
      </c>
      <c r="K32" s="807">
        <f>SUM('[46]1'!$E$95:$H$95)</f>
        <v>22007.05758677853</v>
      </c>
      <c r="L32" s="900">
        <f>SUM('[46]1'!$E$93:$H$93)+SUM('[46]1'!$E$94:$H$94)+SUM('[46]1'!$E$97:$H$97)</f>
        <v>7435.7357803290352</v>
      </c>
      <c r="M32" s="930">
        <f>SUM('[46]1'!$E$98:$H$98)</f>
        <v>97080.726763878411</v>
      </c>
      <c r="N32" s="922">
        <f>'[46]1'!$I$98</f>
        <v>110992.63382611857</v>
      </c>
      <c r="O32" s="944">
        <f>'[46]1'!$I$100</f>
        <v>25354.945420757489</v>
      </c>
      <c r="P32" s="945">
        <f t="shared" ref="P32" si="24">G32-C32-D32-E32-F32</f>
        <v>0</v>
      </c>
      <c r="Q32" s="946">
        <f t="shared" ref="Q32" si="25">M32-H32-I32-J32-K32-L32</f>
        <v>1.546140993013978E-11</v>
      </c>
      <c r="R32" s="946">
        <f t="shared" ref="R32" si="26">N32-G32-M32</f>
        <v>0</v>
      </c>
    </row>
    <row r="33" spans="1:18" s="411" customFormat="1" ht="14.25" customHeight="1">
      <c r="A33" s="905"/>
      <c r="B33" s="906" t="s">
        <v>401</v>
      </c>
      <c r="C33" s="793">
        <f>SUM('[47]1'!$C$68:$D$68)+SUM('[47]1'!$C$69:$D$69)+SUM('[47]1'!$C$72:$D$72)+SUM('[47]1'!$C$95:$D$95)</f>
        <v>5923.3278384945133</v>
      </c>
      <c r="D33" s="986">
        <f>SUM('[47]1'!$C$79:$D$83)+SUM('[47]1'!$C$89:$D$89)+SUM('[47]1'!$C$92:$D$92)</f>
        <v>4158.9977671251509</v>
      </c>
      <c r="E33" s="898">
        <f>SUM('[47]1'!$C$77:$D$78)+SUM('[47]1'!$C$86:$D$86)</f>
        <v>2129.4746846241023</v>
      </c>
      <c r="F33" s="793">
        <f>SUM('[47]1'!$C$93:$D$93)+SUM('[47]1'!$C$96:$D$97)</f>
        <v>2168.3657068839429</v>
      </c>
      <c r="G33" s="775">
        <f>SUM('[47]1'!$C$98:$D$98)</f>
        <v>14380.165997127709</v>
      </c>
      <c r="H33" s="775">
        <f>SUM('[47]1'!$E$69:$H$69)+SUM('[47]1'!$E$72:$H$72)-0.05</f>
        <v>8112.1152465843479</v>
      </c>
      <c r="I33" s="899">
        <f>SUM('[47]1'!$E$76:$H$76)</f>
        <v>39934.667479163923</v>
      </c>
      <c r="J33" s="807">
        <f>SUM('[47]1'!$E$84:$H$84)</f>
        <v>19698.50456391582</v>
      </c>
      <c r="K33" s="807">
        <f>SUM('[47]1'!$E$95:$H$95)</f>
        <v>22678.885731031598</v>
      </c>
      <c r="L33" s="983">
        <f>SUM('[47]1'!$E$93:$H$93)+SUM('[47]1'!$E$94:$H$94)+SUM('[47]1'!$E$97:$H$97)</f>
        <v>6745.9952339958654</v>
      </c>
      <c r="M33" s="930">
        <f>SUM('[47]1'!$E$98:$H$98)</f>
        <v>97170.218254691543</v>
      </c>
      <c r="N33" s="922">
        <f>'[47]1'!$I$98+0.1</f>
        <v>111550.43527235929</v>
      </c>
      <c r="O33" s="944">
        <f>'[47]1'!$I$100</f>
        <v>24329.326314203121</v>
      </c>
      <c r="P33" s="945">
        <f t="shared" ref="P33" si="27">G33-C33-D33-E33-F33</f>
        <v>0</v>
      </c>
      <c r="Q33" s="946">
        <f t="shared" ref="Q33" si="28">M33-H33-I33-J33-K33-L33</f>
        <v>4.9999999988358468E-2</v>
      </c>
      <c r="R33" s="946">
        <f t="shared" ref="R33" si="29">N33-G33-M33</f>
        <v>5.1020540035096928E-2</v>
      </c>
    </row>
    <row r="34" spans="1:18" s="411" customFormat="1" ht="14.25" customHeight="1">
      <c r="A34" s="905"/>
      <c r="B34" s="906" t="s">
        <v>402</v>
      </c>
      <c r="C34" s="793">
        <f>SUM('[48]1'!$C$68:$D$68)+SUM('[48]1'!$C$69:$D$69)+SUM('[48]1'!$C$72:$D$72)+SUM('[48]1'!$C$95:$D$95)</f>
        <v>5854.9136893489467</v>
      </c>
      <c r="D34" s="986">
        <f>SUM('[48]1'!$C$79:$D$83)+SUM('[48]1'!$C$89:$D$89)+SUM('[48]1'!$C$92:$D$92)</f>
        <v>4217.402462991171</v>
      </c>
      <c r="E34" s="898">
        <f>SUM('[48]1'!$C$77:$D$78)+SUM('[48]1'!$C$86:$D$86)</f>
        <v>2159.3366235163348</v>
      </c>
      <c r="F34" s="793">
        <f>SUM('[48]1'!$C$93:$D$93)+SUM('[48]1'!$C$96:$D$97)</f>
        <v>2124.488868910139</v>
      </c>
      <c r="G34" s="775">
        <f>SUM('[48]1'!$C$98:$D$98)</f>
        <v>14356.096644766592</v>
      </c>
      <c r="H34" s="775">
        <f>SUM('[48]1'!$E$69:$H$69)+SUM('[48]1'!$E$72:$H$72)</f>
        <v>8397.084404269377</v>
      </c>
      <c r="I34" s="899">
        <f>SUM('[48]1'!$E$76:$H$76)</f>
        <v>39386.342233220465</v>
      </c>
      <c r="J34" s="807">
        <f>SUM('[48]1'!$E$84:$H$84)</f>
        <v>19439.211079333858</v>
      </c>
      <c r="K34" s="807">
        <f>SUM('[48]1'!$E$95:$H$95)</f>
        <v>20468.18887959377</v>
      </c>
      <c r="L34" s="983">
        <f>SUM('[48]1'!$E$93:$H$93)+SUM('[48]1'!$E$94:$H$94)+SUM('[48]1'!$E$97:$H$97)</f>
        <v>6498.3727167361503</v>
      </c>
      <c r="M34" s="930">
        <f>SUM('[48]1'!$E$98:$H$98)</f>
        <v>94189.24231315362</v>
      </c>
      <c r="N34" s="922">
        <f>'[48]1'!$I$98</f>
        <v>108545.3389579202</v>
      </c>
      <c r="O34" s="944">
        <f>'[48]1'!$I$100</f>
        <v>22317.481268559059</v>
      </c>
      <c r="P34" s="945">
        <f t="shared" ref="P34" si="30">G34-C34-D34-E34-F34</f>
        <v>-4.4999999999163265E-2</v>
      </c>
      <c r="Q34" s="946">
        <f t="shared" ref="Q34" si="31">M34-H34-I34-J34-K34-L34</f>
        <v>4.2999999997846317E-2</v>
      </c>
      <c r="R34" s="946">
        <f t="shared" ref="R34" si="32">N34-G34-M34</f>
        <v>0</v>
      </c>
    </row>
    <row r="35" spans="1:18" s="411" customFormat="1" ht="14.25" customHeight="1">
      <c r="A35" s="905"/>
      <c r="B35" s="906" t="s">
        <v>403</v>
      </c>
      <c r="C35" s="793">
        <f>SUM('[49]1'!$C$68:$D$68)+SUM('[49]1'!$C$69:$D$69)+SUM('[49]1'!$C$72:$D$72)+SUM('[49]1'!$C$95:$D$95)</f>
        <v>5894.798551760814</v>
      </c>
      <c r="D35" s="986">
        <f>SUM('[49]1'!$C$79:$D$83)+SUM('[49]1'!$C$89:$D$89)+SUM('[49]1'!$C$92:$D$92)</f>
        <v>3795.4796277812602</v>
      </c>
      <c r="E35" s="898">
        <f>SUM('[49]1'!$C$77:$D$78)+SUM('[49]1'!$C$86:$D$86)-0.03</f>
        <v>2281.3442003843429</v>
      </c>
      <c r="F35" s="793">
        <f>SUM('[49]1'!$C$93:$D$93)+SUM('[49]1'!$C$96:$D$97)</f>
        <v>2773.3921910554809</v>
      </c>
      <c r="G35" s="775">
        <f>SUM('[49]1'!$C$98:$D$98)</f>
        <v>14744.962025871899</v>
      </c>
      <c r="H35" s="775">
        <f>SUM('[49]1'!$E$69:$H$69)+SUM('[49]1'!$E$72:$H$72)</f>
        <v>8261.3041723732877</v>
      </c>
      <c r="I35" s="899">
        <f>SUM('[49]1'!$E$76:$H$76)</f>
        <v>39788.111157377287</v>
      </c>
      <c r="J35" s="807">
        <f>SUM('[49]1'!$E$84:$H$84)</f>
        <v>18644.856430005206</v>
      </c>
      <c r="K35" s="807">
        <f>SUM('[49]1'!$E$95:$H$95)</f>
        <v>19670.695902451516</v>
      </c>
      <c r="L35" s="983">
        <f>SUM('[49]1'!$E$93:$H$93)+SUM('[49]1'!$E$94:$H$94)+SUM('[49]1'!$E$97:$H$97)</f>
        <v>6846.9672608089331</v>
      </c>
      <c r="M35" s="930">
        <f>SUM('[49]1'!$E$98:$H$98)+0.03</f>
        <v>93211.964923012012</v>
      </c>
      <c r="N35" s="922">
        <f>'[49]1'!$I$98+0.1</f>
        <v>107956.98561887395</v>
      </c>
      <c r="O35" s="944">
        <f>'[49]1'!$I$100</f>
        <v>21095.863053789904</v>
      </c>
      <c r="P35" s="945">
        <f t="shared" ref="P35" si="33">G35-C35-D35-E35-F35</f>
        <v>-5.2545109999300621E-2</v>
      </c>
      <c r="Q35" s="946">
        <f t="shared" ref="Q35" si="34">M35-H35-I35-J35-K35-L35</f>
        <v>2.999999578059942E-2</v>
      </c>
      <c r="R35" s="946">
        <f t="shared" ref="R35" si="35">N35-G35-M35</f>
        <v>5.8669990045018494E-2</v>
      </c>
    </row>
    <row r="36" spans="1:18" s="411" customFormat="1" ht="14.25" customHeight="1">
      <c r="A36" s="905"/>
      <c r="B36" s="906" t="s">
        <v>404</v>
      </c>
      <c r="C36" s="793">
        <f>SUM('[50]1'!$C$68:$D$68)+SUM('[50]1'!$C$69:$D$69)+SUM('[50]1'!$C$72:$D$72)+SUM('[50]1'!$C$95:$D$95)</f>
        <v>5969.2232923591237</v>
      </c>
      <c r="D36" s="986">
        <f>SUM('[50]1'!$C$79:$D$83)+SUM('[50]1'!$C$89:$D$89)+SUM('[50]1'!$C$92:$D$92)</f>
        <v>4030.0630501840315</v>
      </c>
      <c r="E36" s="898">
        <f>SUM('[50]1'!$C$77:$D$78)+SUM('[50]1'!$C$86:$D$86)</f>
        <v>2406.8564764271723</v>
      </c>
      <c r="F36" s="793">
        <f>SUM('[50]1'!$C$93:$D$93)+SUM('[50]1'!$C$96:$D$97)</f>
        <v>2710.4331277568672</v>
      </c>
      <c r="G36" s="775">
        <f>SUM('[50]1'!$C$98:$D$98)</f>
        <v>15116.585946727191</v>
      </c>
      <c r="H36" s="775">
        <f>SUM('[50]1'!$E$69:$H$69)+SUM('[50]1'!$E$72:$H$72)</f>
        <v>8051.5246360185592</v>
      </c>
      <c r="I36" s="899">
        <f>SUM('[50]1'!$E$76:$H$76)</f>
        <v>40721.505815943769</v>
      </c>
      <c r="J36" s="807">
        <f>SUM('[50]1'!$E$84:$H$84)+0.02</f>
        <v>18838.060831086488</v>
      </c>
      <c r="K36" s="807">
        <f>SUM('[50]1'!$E$95:$H$95)+0.01</f>
        <v>20704.156934519197</v>
      </c>
      <c r="L36" s="983">
        <f>SUM('[50]1'!$E$93:$H$93)+SUM('[50]1'!$E$94:$H$94)+SUM('[50]1'!$E$97:$H$97)</f>
        <v>6421.308314187514</v>
      </c>
      <c r="M36" s="930">
        <f>SUM('[50]1'!$E$98:$H$98)</f>
        <v>94736.57653175552</v>
      </c>
      <c r="N36" s="922">
        <f>'[50]1'!$I$98+0.1</f>
        <v>109853.21247848272</v>
      </c>
      <c r="O36" s="944">
        <f>'[50]1'!$I$100</f>
        <v>23393.963754284792</v>
      </c>
      <c r="P36" s="945">
        <f t="shared" ref="P36" si="36">G36-C36-D36-E36-F36</f>
        <v>9.9999999965802999E-3</v>
      </c>
      <c r="Q36" s="946">
        <f t="shared" ref="Q36" si="37">M36-H36-I36-J36-K36-L36</f>
        <v>1.9999999996798579E-2</v>
      </c>
      <c r="R36" s="946">
        <f t="shared" ref="R36" si="38">N36-G36-M36</f>
        <v>5.0000000002910383E-2</v>
      </c>
    </row>
    <row r="37" spans="1:18" s="411" customFormat="1" ht="14.25" customHeight="1">
      <c r="A37" s="905"/>
      <c r="B37" s="906" t="s">
        <v>405</v>
      </c>
      <c r="C37" s="793">
        <f>SUM('[51]1'!$C$68:$D$68)+SUM('[51]1'!$C$69:$D$69)+SUM('[51]1'!$C$72:$D$72)+SUM('[51]1'!$C$95:$D$95)+0.02</f>
        <v>5791.7637524590373</v>
      </c>
      <c r="D37" s="986">
        <f>SUM('[51]1'!$C$79:$D$83)+SUM('[51]1'!$C$89:$D$89)+SUM('[51]1'!$C$92:$D$92)</f>
        <v>4050.860513142592</v>
      </c>
      <c r="E37" s="898">
        <f>SUM('[51]1'!$C$77:$D$78)+SUM('[51]1'!$C$86:$D$86)</f>
        <v>2603.813509168946</v>
      </c>
      <c r="F37" s="793">
        <f>SUM('[51]1'!$C$93:$D$93)+SUM('[51]1'!$C$96:$D$97)</f>
        <v>2673.8330834765284</v>
      </c>
      <c r="G37" s="775">
        <f>SUM('[51]1'!$C$98:$D$98)</f>
        <v>15120.309858247103</v>
      </c>
      <c r="H37" s="775">
        <f>SUM('[51]1'!$E$69:$H$69)+SUM('[51]1'!$E$72:$H$72)</f>
        <v>8298.8128271346432</v>
      </c>
      <c r="I37" s="899">
        <f>SUM('[51]1'!$E$76:$H$76)</f>
        <v>41299.007787015216</v>
      </c>
      <c r="J37" s="807">
        <f>SUM('[51]1'!$E$84:$H$84)</f>
        <v>19047.605938947112</v>
      </c>
      <c r="K37" s="807">
        <f>SUM('[51]1'!$E$95:$H$95)</f>
        <v>20955.127261433787</v>
      </c>
      <c r="L37" s="983">
        <f>SUM('[51]1'!$E$93:$H$93)+SUM('[51]1'!$E$94:$H$94)+SUM('[51]1'!$E$97:$H$97)</f>
        <v>6341.9607195038961</v>
      </c>
      <c r="M37" s="930">
        <f>SUM('[51]1'!$E$98:$H$98)</f>
        <v>95942.450710224657</v>
      </c>
      <c r="N37" s="922">
        <f>'[51]1'!$I$98</f>
        <v>111062.78056847175</v>
      </c>
      <c r="O37" s="944">
        <f>'[51]1'!$I$100</f>
        <v>23967.488144307736</v>
      </c>
      <c r="P37" s="945">
        <f t="shared" ref="P37" si="39">G37-C37-D37-E37-F37</f>
        <v>3.8999999999305146E-2</v>
      </c>
      <c r="Q37" s="946">
        <f t="shared" ref="Q37" si="40">M37-H37-I37-J37-K37-L37</f>
        <v>-6.3823810004578263E-2</v>
      </c>
      <c r="R37" s="946">
        <f t="shared" ref="R37" si="41">N37-G37-M37</f>
        <v>1.9999999989522621E-2</v>
      </c>
    </row>
    <row r="38" spans="1:18" s="411" customFormat="1" ht="14.25" customHeight="1">
      <c r="A38" s="905"/>
      <c r="B38" s="906" t="s">
        <v>406</v>
      </c>
      <c r="C38" s="793">
        <f>SUM('[52]1'!$C$68:$D$68)+SUM('[52]1'!$C$69:$D$69)+SUM('[52]1'!$C$72:$D$72)+SUM('[52]1'!$C$95:$D$95)</f>
        <v>5484.4307781265143</v>
      </c>
      <c r="D38" s="986">
        <f>SUM('[52]1'!$C$79:$D$83)+SUM('[52]1'!$C$89:$D$89)+SUM('[52]1'!$C$92:$D$92)</f>
        <v>4178.2002862584513</v>
      </c>
      <c r="E38" s="898">
        <f>SUM('[52]1'!$C$77:$D$78)+SUM('[52]1'!$C$86:$D$86)</f>
        <v>2623.4914884274667</v>
      </c>
      <c r="F38" s="793">
        <f>SUM('[52]1'!$C$93:$D$93)+SUM('[52]1'!$C$96:$D$97)</f>
        <v>2757.2512777307011</v>
      </c>
      <c r="G38" s="775">
        <f>SUM('[52]1'!$C$98:$D$98)</f>
        <v>15043.366830543135</v>
      </c>
      <c r="H38" s="775">
        <f>SUM('[52]1'!$E$69:$H$69)+SUM('[52]1'!$E$72:$H$72)</f>
        <v>8869.6681752575441</v>
      </c>
      <c r="I38" s="899">
        <f>SUM('[52]1'!$E$76:$H$76)</f>
        <v>41905.149342279721</v>
      </c>
      <c r="J38" s="807">
        <f>SUM('[52]1'!$E$84:$H$84)</f>
        <v>18632.408808081611</v>
      </c>
      <c r="K38" s="807">
        <f>SUM('[52]1'!$E$95:$H$95)</f>
        <v>20880.273394182095</v>
      </c>
      <c r="L38" s="983">
        <f>SUM('[52]1'!$E$93:$H$93)+SUM('[52]1'!$E$94:$H$94)+SUM('[52]1'!$E$97:$H$97)-0.01</f>
        <v>6145.3447067560037</v>
      </c>
      <c r="M38" s="930">
        <f>SUM('[52]1'!$E$98:$H$98)-0.02</f>
        <v>96432.836426552778</v>
      </c>
      <c r="N38" s="922">
        <f>'[52]1'!$I$98</f>
        <v>111476.2232570959</v>
      </c>
      <c r="O38" s="944">
        <f>'[52]1'!$I$100</f>
        <v>23644.51224701765</v>
      </c>
      <c r="P38" s="945">
        <f t="shared" ref="P38" si="42">G38-C38-D38-E38-F38</f>
        <v>-6.9999999986976036E-3</v>
      </c>
      <c r="Q38" s="946">
        <f t="shared" ref="Q38" si="43">M38-H38-I38-J38-K38-L38</f>
        <v>-8.0000041916719056E-3</v>
      </c>
      <c r="R38" s="946">
        <f t="shared" ref="R38" si="44">N38-G38-M38</f>
        <v>1.9999999989522621E-2</v>
      </c>
    </row>
    <row r="39" spans="1:18" s="411" customFormat="1" ht="14.25" customHeight="1">
      <c r="A39" s="905"/>
      <c r="B39" s="906" t="s">
        <v>407</v>
      </c>
      <c r="C39" s="793">
        <f>SUM('[53]1'!$C$68:$D$68)+SUM('[53]1'!$C$69:$D$69)+SUM('[53]1'!$C$72:$D$72)+SUM('[53]1'!$C$95:$D$95)</f>
        <v>6010.6811165013451</v>
      </c>
      <c r="D39" s="986">
        <f>SUM('[53]1'!$C$79:$D$83)+SUM('[53]1'!$C$89:$D$89)+SUM('[53]1'!$C$92:$D$92)</f>
        <v>4243.2354214858224</v>
      </c>
      <c r="E39" s="898">
        <f>SUM('[53]1'!$C$77:$D$78)+SUM('[53]1'!$C$86:$D$86)</f>
        <v>2632.3710868021894</v>
      </c>
      <c r="F39" s="793">
        <f>SUM('[53]1'!$C$93:$D$93)+SUM('[53]1'!$C$96:$D$97)</f>
        <v>2579.7651829752485</v>
      </c>
      <c r="G39" s="775">
        <f>SUM('[53]1'!$C$98:$D$98)</f>
        <v>15466.065807764608</v>
      </c>
      <c r="H39" s="775">
        <f>SUM('[53]1'!$E$69:$H$69)+SUM('[53]1'!$E$72:$H$72)</f>
        <v>8727.4714580277359</v>
      </c>
      <c r="I39" s="899">
        <f>SUM('[53]1'!$E$76:$H$76)</f>
        <v>41918.477568865375</v>
      </c>
      <c r="J39" s="807">
        <f>SUM('[53]1'!$E$84:$H$84)+0.03</f>
        <v>17399.551084633415</v>
      </c>
      <c r="K39" s="807">
        <f>SUM('[53]1'!$E$95:$H$95)</f>
        <v>21102.807526597131</v>
      </c>
      <c r="L39" s="983">
        <f>SUM('[53]1'!$E$93:$H$93)+SUM('[53]1'!$E$94:$H$94)+SUM('[53]1'!$E$97:$H$97)</f>
        <v>6223.6711662691523</v>
      </c>
      <c r="M39" s="930">
        <f>SUM('[53]1'!$E$98:$H$98)</f>
        <v>95372.062573938616</v>
      </c>
      <c r="N39" s="922">
        <f>'[53]1'!$I$98+0.03</f>
        <v>110838.15838170321</v>
      </c>
      <c r="O39" s="944">
        <f>'[53]1'!$I$100</f>
        <v>22654.532529911383</v>
      </c>
      <c r="P39" s="945">
        <f t="shared" ref="P39" si="45">G39-C39-D39-E39-F39</f>
        <v>1.3000000001284207E-2</v>
      </c>
      <c r="Q39" s="946">
        <f t="shared" ref="Q39" si="46">M39-H39-I39-J39-K39-L39</f>
        <v>8.376954580671736E-2</v>
      </c>
      <c r="R39" s="946">
        <f t="shared" ref="R39" si="47">N39-G39-M39</f>
        <v>2.9999999984283932E-2</v>
      </c>
    </row>
    <row r="40" spans="1:18" s="411" customFormat="1" ht="20.25" customHeight="1">
      <c r="A40" s="905">
        <v>2020</v>
      </c>
      <c r="B40" s="906" t="s">
        <v>408</v>
      </c>
      <c r="C40" s="793">
        <f>SUM('[54]1'!$C$68:$D$68)+SUM('[54]1'!$C$69:$D$69)+SUM('[54]1'!$C$72:$D$72)+SUM('[54]1'!$C$95:$D$95)</f>
        <v>6914.2760879208345</v>
      </c>
      <c r="D40" s="899">
        <f>SUM('[54]1'!$C$79:$D$83)+SUM('[54]1'!$C$89:$D$89)+SUM('[54]1'!$C$92:$D$92)</f>
        <v>4212.4120386930754</v>
      </c>
      <c r="E40" s="898">
        <f>SUM('[54]1'!$C$77:$D$78)+SUM('[54]1'!$C$86:$D$86)</f>
        <v>2850.7187989912541</v>
      </c>
      <c r="F40" s="793">
        <f>SUM('[54]1'!$C$93:$D$93)+SUM('[54]1'!$C$96:$D$97)</f>
        <v>2706.7126222755173</v>
      </c>
      <c r="G40" s="775">
        <f>SUM('[54]1'!$C$98:$D$98)</f>
        <v>16684.132547880683</v>
      </c>
      <c r="H40" s="775">
        <f>SUM('[54]1'!$E$69:$H$69)+SUM('[54]1'!$E$72:$H$72)</f>
        <v>8523.296308706409</v>
      </c>
      <c r="I40" s="899">
        <f>SUM('[54]1'!$E$76:$H$76)</f>
        <v>41145.739405035187</v>
      </c>
      <c r="J40" s="807">
        <f>SUM('[54]1'!$E$84:$H$84)</f>
        <v>16883.467052889286</v>
      </c>
      <c r="K40" s="807">
        <f>SUM('[54]1'!$E$95:$H$95)+0.02</f>
        <v>22352.261669970663</v>
      </c>
      <c r="L40" s="900">
        <f>SUM('[54]1'!$E$93:$H$93)+SUM('[54]1'!$E$94:$H$94)+SUM('[54]1'!$E$97:$H$97)</f>
        <v>6289.9907107821246</v>
      </c>
      <c r="M40" s="930">
        <f>SUM('[54]1'!$E$98:$H$98)</f>
        <v>95194.818916933669</v>
      </c>
      <c r="N40" s="922">
        <f>'[54]1'!$I$98</f>
        <v>111878.91446481434</v>
      </c>
      <c r="O40" s="944">
        <f>'[54]1'!$I$100</f>
        <v>24480.795589907058</v>
      </c>
      <c r="P40" s="945">
        <f t="shared" ref="P40" si="48">G40-C40-D40-E40-F40</f>
        <v>1.3000000001738954E-2</v>
      </c>
      <c r="Q40" s="946">
        <f t="shared" ref="Q40" si="49">M40-H40-I40-J40-K40-L40</f>
        <v>6.3769549996322894E-2</v>
      </c>
      <c r="R40" s="946">
        <f t="shared" ref="R40" si="50">N40-G40-M40</f>
        <v>-3.7000000011175871E-2</v>
      </c>
    </row>
    <row r="41" spans="1:18" s="411" customFormat="1" ht="14.25" customHeight="1">
      <c r="A41" s="1082"/>
      <c r="B41" s="906" t="s">
        <v>409</v>
      </c>
      <c r="C41" s="793">
        <f>SUM('[55]1'!$C$68:$D$68)+SUM('[55]1'!$C$69:$D$69)+SUM('[55]1'!$C$72:$D$72)+SUM('[55]1'!$C$95:$D$95)</f>
        <v>6449.332015616541</v>
      </c>
      <c r="D41" s="986">
        <f>SUM('[55]1'!$C$79:$D$83)+SUM('[55]1'!$C$89:$D$89)+SUM('[55]1'!$C$92:$D$92)</f>
        <v>4176.852539071966</v>
      </c>
      <c r="E41" s="898">
        <f>SUM('[55]1'!$C$77:$D$78)+SUM('[55]1'!$C$86:$D$86)</f>
        <v>2914.9431973512405</v>
      </c>
      <c r="F41" s="793">
        <f>SUM('[55]1'!$C$93:$D$93)+SUM('[55]1'!$C$96:$D$97)</f>
        <v>2843.0802069236106</v>
      </c>
      <c r="G41" s="775">
        <f>SUM('[55]1'!$C$98:$D$98)</f>
        <v>16384.188958963357</v>
      </c>
      <c r="H41" s="775">
        <f>SUM('[55]1'!$E$69:$H$69)+SUM('[55]1'!$E$72:$H$72)</f>
        <v>7835.6633458477945</v>
      </c>
      <c r="I41" s="899">
        <f>SUM('[55]1'!$E$76:$H$76)</f>
        <v>41676.030035908203</v>
      </c>
      <c r="J41" s="807">
        <f>SUM('[55]1'!$E$84:$H$84)</f>
        <v>17332.296839801169</v>
      </c>
      <c r="K41" s="807">
        <f>SUM('[55]1'!$E$95:$H$95)</f>
        <v>24054.513069580316</v>
      </c>
      <c r="L41" s="900">
        <f>SUM('[55]1'!$E$93:$H$93)+SUM('[55]1'!$E$94:$H$94)+SUM('[55]1'!$E$97:$H$97)+0.02</f>
        <v>6278.0579629510521</v>
      </c>
      <c r="M41" s="930">
        <f>SUM('[55]1'!$E$98:$H$98)-0.02</f>
        <v>97176.635023634342</v>
      </c>
      <c r="N41" s="922">
        <f>'[55]1'!$I$98</f>
        <v>113560.8439825977</v>
      </c>
      <c r="O41" s="944">
        <f>'[55]1'!$I$100</f>
        <v>22150.278973670691</v>
      </c>
      <c r="P41" s="945">
        <f t="shared" ref="P41" si="51">G41-C41-D41-E41-F41</f>
        <v>-1.9000000000687578E-2</v>
      </c>
      <c r="Q41" s="946">
        <f t="shared" ref="Q41" si="52">M41-H41-I41-J41-K41-L41</f>
        <v>7.3769545813775039E-2</v>
      </c>
      <c r="R41" s="946">
        <f t="shared" ref="R41" si="53">N41-G41-M41</f>
        <v>2.0000000004074536E-2</v>
      </c>
    </row>
    <row r="42" spans="1:18" s="411" customFormat="1" ht="14.25" customHeight="1">
      <c r="A42" s="1082"/>
      <c r="B42" s="906" t="s">
        <v>398</v>
      </c>
      <c r="C42" s="793">
        <f>SUM('[56]1'!$C$68:$D$68)+SUM('[56]1'!$C$69:$D$69)+SUM('[56]1'!$C$72:$D$72)+SUM('[56]1'!$C$95:$D$95)</f>
        <v>6905.1408514086015</v>
      </c>
      <c r="D42" s="986">
        <f>SUM('[56]1'!$C$79:$D$83)+SUM('[56]1'!$C$89:$D$89)+SUM('[56]1'!$C$92:$D$92)</f>
        <v>4405.3498138281821</v>
      </c>
      <c r="E42" s="898">
        <f>SUM('[56]1'!$C$77:$D$78)+SUM('[56]1'!$C$86:$D$86)</f>
        <v>2925.4665129788686</v>
      </c>
      <c r="F42" s="793">
        <f>SUM('[56]1'!$C$93:$D$93)+SUM('[56]1'!$C$96:$D$97)</f>
        <v>3069.280979302609</v>
      </c>
      <c r="G42" s="775">
        <f>SUM('[56]1'!$C$98:$D$98)</f>
        <v>17305.219157518259</v>
      </c>
      <c r="H42" s="775">
        <f>SUM('[56]1'!$E$69:$H$69)+SUM('[56]1'!$E$72:$H$72)</f>
        <v>9595.82417210106</v>
      </c>
      <c r="I42" s="899">
        <f>SUM('[56]1'!$E$76:$H$76)</f>
        <v>43764.852730918603</v>
      </c>
      <c r="J42" s="807">
        <f>SUM('[56]1'!$E$84:$H$84)</f>
        <v>16138.161576247956</v>
      </c>
      <c r="K42" s="807">
        <f>SUM('[56]1'!$E$95:$H$95)</f>
        <v>22802.867065643113</v>
      </c>
      <c r="L42" s="900">
        <f>SUM('[56]1'!$E$93:$H$93)+SUM('[56]1'!$E$94:$H$94)+SUM('[56]1'!$E$97:$H$97)</f>
        <v>6136.8032961748886</v>
      </c>
      <c r="M42" s="930">
        <f>SUM('[56]1'!$E$98:$H$98)</f>
        <v>98438.612457261435</v>
      </c>
      <c r="N42" s="922">
        <f>'[56]1'!$I$98</f>
        <v>115743.8277998697</v>
      </c>
      <c r="O42" s="944">
        <f>'[56]1'!$I$100</f>
        <v>22292.021308749743</v>
      </c>
      <c r="P42" s="945">
        <f t="shared" ref="P42" si="54">G42-C42-D42-E42-F42</f>
        <v>-1.9000000002506567E-2</v>
      </c>
      <c r="Q42" s="946">
        <f t="shared" ref="Q42" si="55">M42-H42-I42-J42-K42-L42</f>
        <v>0.103616175818388</v>
      </c>
      <c r="R42" s="946">
        <f t="shared" ref="R42" si="56">N42-G42-M42</f>
        <v>-3.8149100000737235E-3</v>
      </c>
    </row>
    <row r="43" spans="1:18" s="411" customFormat="1" ht="14.25" customHeight="1">
      <c r="A43" s="1082"/>
      <c r="B43" s="906" t="s">
        <v>399</v>
      </c>
      <c r="C43" s="793">
        <f>SUM('[57]1'!$C$68:$D$68)+SUM('[57]1'!$C$69:$D$69)+SUM('[57]1'!$C$72:$D$72)+SUM('[57]1'!$C$95:$D$95)+0.02</f>
        <v>6416.4624347938498</v>
      </c>
      <c r="D43" s="986">
        <f>SUM('[57]1'!$C$79:$D$83)+SUM('[57]1'!$C$89:$D$89)+SUM('[57]1'!$C$92:$D$92)</f>
        <v>4548.0348899283645</v>
      </c>
      <c r="E43" s="898">
        <f>SUM('[57]1'!$C$77:$D$78)+SUM('[57]1'!$C$86:$D$86)</f>
        <v>2628.922555392558</v>
      </c>
      <c r="F43" s="793">
        <f>SUM('[57]1'!$C$93:$D$93)+SUM('[57]1'!$C$96:$D$97)</f>
        <v>2968.0251157537364</v>
      </c>
      <c r="G43" s="775">
        <f>SUM('[57]1'!$C$98:$D$98)</f>
        <v>16561.371995868511</v>
      </c>
      <c r="H43" s="775">
        <f>SUM('[57]1'!$E$69:$H$69)+SUM('[57]1'!$E$72:$H$72)</f>
        <v>8271.096064137113</v>
      </c>
      <c r="I43" s="899">
        <f>SUM('[57]1'!$E$76:$H$76)</f>
        <v>43430.112286961419</v>
      </c>
      <c r="J43" s="807">
        <f>SUM('[57]1'!$E$84:$H$84)</f>
        <v>16582.08256247628</v>
      </c>
      <c r="K43" s="807">
        <f>SUM('[57]1'!$E$95:$H$95)</f>
        <v>22561.05464266655</v>
      </c>
      <c r="L43" s="900">
        <f>SUM('[57]1'!$E$93:$H$93)+SUM('[57]1'!$E$94:$H$94)+SUM('[57]1'!$E$97:$H$97)</f>
        <v>6352.8898795400801</v>
      </c>
      <c r="M43" s="930">
        <f>SUM('[57]1'!$E$98:$H$98)</f>
        <v>97197.33920532724</v>
      </c>
      <c r="N43" s="922">
        <f>'[57]1'!$I$98</f>
        <v>113758.71120119574</v>
      </c>
      <c r="O43" s="944">
        <f>'[57]1'!$I$100</f>
        <v>19040.08963790561</v>
      </c>
      <c r="P43" s="945">
        <f t="shared" ref="P43" si="57">G43-C43-D43-E43-F43</f>
        <v>-7.2999999998046405E-2</v>
      </c>
      <c r="Q43" s="946">
        <f t="shared" ref="Q43" si="58">M43-H43-I43-J43-K43-L43</f>
        <v>0.10376954579078301</v>
      </c>
      <c r="R43" s="946">
        <f t="shared" ref="R43" si="59">N43-G43-M43</f>
        <v>0</v>
      </c>
    </row>
    <row r="44" spans="1:18" ht="20.25" customHeight="1">
      <c r="A44" s="405" t="s">
        <v>1024</v>
      </c>
      <c r="B44" s="405"/>
      <c r="C44" s="405"/>
      <c r="D44" s="405"/>
      <c r="E44" s="405"/>
      <c r="F44" s="405"/>
      <c r="G44" s="405"/>
      <c r="H44" s="405"/>
      <c r="I44" s="405"/>
      <c r="J44" s="1574"/>
      <c r="K44" s="405"/>
      <c r="L44" s="405"/>
      <c r="M44" s="1575"/>
      <c r="N44" s="1575"/>
      <c r="O44" s="436" t="s">
        <v>1025</v>
      </c>
    </row>
    <row r="45" spans="1:18" ht="14.25" customHeight="1">
      <c r="A45" s="406" t="s">
        <v>1026</v>
      </c>
      <c r="J45" s="1243"/>
      <c r="K45" s="29"/>
      <c r="L45" s="1551"/>
      <c r="O45" s="872" t="s">
        <v>1027</v>
      </c>
    </row>
    <row r="46" spans="1:18">
      <c r="B46" s="1169"/>
      <c r="C46" s="1422"/>
      <c r="D46" s="1496"/>
      <c r="E46" s="1496"/>
      <c r="F46" s="1496"/>
      <c r="G46" s="1496"/>
      <c r="H46" s="1496"/>
      <c r="I46" s="1496"/>
      <c r="J46" s="1496"/>
      <c r="K46" s="1496"/>
      <c r="L46" s="1496"/>
      <c r="M46" s="1425"/>
      <c r="N46" s="1425"/>
      <c r="O46" s="1425"/>
    </row>
    <row r="47" spans="1:18" ht="14.25">
      <c r="A47" s="755" t="s">
        <v>1028</v>
      </c>
      <c r="B47" s="755"/>
      <c r="C47" s="755"/>
      <c r="D47" s="755"/>
      <c r="E47" s="755"/>
      <c r="F47" s="755"/>
      <c r="G47" s="755"/>
      <c r="H47" s="755"/>
      <c r="I47" s="755"/>
      <c r="J47" s="755"/>
      <c r="K47" s="755"/>
      <c r="L47" s="755"/>
      <c r="M47" s="755"/>
      <c r="N47" s="755"/>
      <c r="O47" s="755"/>
    </row>
    <row r="48" spans="1:18">
      <c r="A48" s="1576"/>
    </row>
    <row r="49" spans="1:1">
      <c r="A49" s="1577"/>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21"/>
  <sheetViews>
    <sheetView view="pageBreakPreview" topLeftCell="A26" zoomScale="60" zoomScaleNormal="90" workbookViewId="0">
      <selection activeCell="A26" sqref="A1:XFD1048576"/>
    </sheetView>
  </sheetViews>
  <sheetFormatPr defaultColWidth="9.140625" defaultRowHeight="12.75"/>
  <cols>
    <col min="1" max="1" width="63.85546875" style="406" customWidth="1"/>
    <col min="2" max="6" width="10.7109375" style="406" customWidth="1"/>
    <col min="7" max="7" width="60.7109375" style="406" customWidth="1"/>
    <col min="8" max="16384" width="9.140625" style="406"/>
  </cols>
  <sheetData>
    <row r="1" spans="1:7" s="2000" customFormat="1" ht="20.25" customHeight="1">
      <c r="A1" s="1998" t="s">
        <v>213</v>
      </c>
      <c r="B1" s="1999"/>
      <c r="C1" s="1999"/>
      <c r="D1" s="1999"/>
      <c r="E1" s="1999"/>
      <c r="F1" s="1999"/>
      <c r="G1" s="1999"/>
    </row>
    <row r="2" spans="1:7" s="2000" customFormat="1" ht="18">
      <c r="A2" s="2001" t="s">
        <v>214</v>
      </c>
      <c r="B2" s="1999"/>
      <c r="C2" s="1999"/>
      <c r="D2" s="1999"/>
      <c r="E2" s="1999"/>
      <c r="F2" s="1999"/>
      <c r="G2" s="1999"/>
    </row>
    <row r="4" spans="1:7" s="2000" customFormat="1" ht="18" customHeight="1">
      <c r="A4" s="2095" t="s">
        <v>215</v>
      </c>
      <c r="B4" s="2002">
        <v>2019</v>
      </c>
      <c r="C4" s="2002"/>
      <c r="D4" s="2002"/>
      <c r="E4" s="2002"/>
      <c r="F4" s="2002">
        <v>2020</v>
      </c>
      <c r="G4" s="2098" t="s">
        <v>216</v>
      </c>
    </row>
    <row r="5" spans="1:7" s="2004" customFormat="1" ht="14.85" customHeight="1">
      <c r="A5" s="2096"/>
      <c r="B5" s="2003" t="s">
        <v>217</v>
      </c>
      <c r="C5" s="2003" t="s">
        <v>217</v>
      </c>
      <c r="D5" s="2003" t="s">
        <v>217</v>
      </c>
      <c r="E5" s="2003" t="s">
        <v>217</v>
      </c>
      <c r="F5" s="2003" t="s">
        <v>217</v>
      </c>
      <c r="G5" s="2099"/>
    </row>
    <row r="6" spans="1:7" s="2004" customFormat="1" ht="14.85" customHeight="1">
      <c r="A6" s="2096"/>
      <c r="B6" s="2005" t="s">
        <v>218</v>
      </c>
      <c r="C6" s="2005" t="s">
        <v>219</v>
      </c>
      <c r="D6" s="2005" t="s">
        <v>220</v>
      </c>
      <c r="E6" s="2005" t="s">
        <v>221</v>
      </c>
      <c r="F6" s="2005" t="s">
        <v>218</v>
      </c>
      <c r="G6" s="2099"/>
    </row>
    <row r="7" spans="1:7" s="2007" customFormat="1" ht="14.85" customHeight="1">
      <c r="A7" s="2097"/>
      <c r="B7" s="2006" t="s">
        <v>222</v>
      </c>
      <c r="C7" s="2006" t="s">
        <v>223</v>
      </c>
      <c r="D7" s="2006" t="s">
        <v>224</v>
      </c>
      <c r="E7" s="2006" t="s">
        <v>225</v>
      </c>
      <c r="F7" s="2006" t="s">
        <v>222</v>
      </c>
      <c r="G7" s="2100"/>
    </row>
    <row r="8" spans="1:7" ht="20.25" customHeight="1">
      <c r="A8" s="2008" t="s">
        <v>226</v>
      </c>
      <c r="B8" s="2009"/>
      <c r="C8" s="2009"/>
      <c r="D8" s="2009"/>
      <c r="E8" s="2009"/>
      <c r="F8" s="2009"/>
      <c r="G8" s="2010" t="s">
        <v>227</v>
      </c>
    </row>
    <row r="9" spans="1:7" ht="14.25" customHeight="1">
      <c r="A9" s="2011" t="s">
        <v>228</v>
      </c>
      <c r="B9" s="798">
        <v>3107.4</v>
      </c>
      <c r="C9" s="798">
        <f>'1'!$H$33</f>
        <v>2895.1</v>
      </c>
      <c r="D9" s="798">
        <f>'1'!$H$36</f>
        <v>2837</v>
      </c>
      <c r="E9" s="798">
        <f>'1'!$H$39</f>
        <v>3197.8</v>
      </c>
      <c r="F9" s="798">
        <f>'1'!$H$42</f>
        <v>3268.4</v>
      </c>
      <c r="G9" s="2012" t="s">
        <v>229</v>
      </c>
    </row>
    <row r="10" spans="1:7" ht="20.25" customHeight="1">
      <c r="A10" s="2013" t="s">
        <v>230</v>
      </c>
      <c r="B10" s="934"/>
      <c r="C10" s="934"/>
      <c r="D10" s="934"/>
      <c r="E10" s="934"/>
      <c r="F10" s="934"/>
      <c r="G10" s="2014" t="s">
        <v>231</v>
      </c>
    </row>
    <row r="11" spans="1:7" ht="14.25" customHeight="1">
      <c r="A11" s="2015" t="s">
        <v>232</v>
      </c>
      <c r="B11" s="798">
        <v>3510.3339066252952</v>
      </c>
      <c r="C11" s="798">
        <f>'3'!$G$33</f>
        <v>3578.8568815764497</v>
      </c>
      <c r="D11" s="798">
        <f>'3'!$G$36</f>
        <v>3396.4292287118219</v>
      </c>
      <c r="E11" s="798">
        <f>'3'!$G$39</f>
        <v>3513.5829929798165</v>
      </c>
      <c r="F11" s="798">
        <f>'3'!$G$42</f>
        <v>3725.3411605687706</v>
      </c>
      <c r="G11" s="2012" t="s">
        <v>233</v>
      </c>
    </row>
    <row r="12" spans="1:7" ht="14.25" customHeight="1">
      <c r="A12" s="2011" t="s">
        <v>234</v>
      </c>
      <c r="B12" s="798">
        <v>2.5807995610792678</v>
      </c>
      <c r="C12" s="798">
        <f>(C11-B11)/B11%</f>
        <v>1.9520358112322707</v>
      </c>
      <c r="D12" s="798">
        <f>(D11-C11)/C11%</f>
        <v>-5.0973721191183898</v>
      </c>
      <c r="E12" s="798">
        <f>(E11-D11)/D11%</f>
        <v>3.4493215191304891</v>
      </c>
      <c r="F12" s="798">
        <f>(F11-E11)/E11%</f>
        <v>6.0268440509886831</v>
      </c>
      <c r="G12" s="2016" t="s">
        <v>1637</v>
      </c>
    </row>
    <row r="13" spans="1:7" ht="14.25" customHeight="1">
      <c r="A13" s="2015" t="s">
        <v>235</v>
      </c>
      <c r="B13" s="798">
        <v>11314.039966330385</v>
      </c>
      <c r="C13" s="798">
        <f>'3'!$H$33</f>
        <v>11832.196218282088</v>
      </c>
      <c r="D13" s="798">
        <f>'3'!$H$36</f>
        <v>11758.911929461894</v>
      </c>
      <c r="E13" s="798">
        <f>'3'!$H$39</f>
        <v>12052.162148859268</v>
      </c>
      <c r="F13" s="798">
        <f>'3'!$H$42</f>
        <v>12329.312702989891</v>
      </c>
      <c r="G13" s="2012" t="s">
        <v>236</v>
      </c>
    </row>
    <row r="14" spans="1:7" ht="14.25" customHeight="1">
      <c r="A14" s="2011" t="s">
        <v>234</v>
      </c>
      <c r="B14" s="798">
        <v>4.3223004587975495</v>
      </c>
      <c r="C14" s="798">
        <f>(C13-B13)/B13%</f>
        <v>4.5797633161425235</v>
      </c>
      <c r="D14" s="798">
        <f>(D13-C13)/C13%</f>
        <v>-0.61936336643032863</v>
      </c>
      <c r="E14" s="798">
        <f>(E13-D13)/D13%</f>
        <v>2.493855053566965</v>
      </c>
      <c r="F14" s="798">
        <f>(F13-E13)/E13%</f>
        <v>2.2995919794927042</v>
      </c>
      <c r="G14" s="2017" t="s">
        <v>1637</v>
      </c>
    </row>
    <row r="15" spans="1:7" ht="14.25" customHeight="1">
      <c r="A15" s="2011" t="s">
        <v>237</v>
      </c>
      <c r="B15" s="798">
        <f>B13/14503.85*100</f>
        <v>78.007149593593311</v>
      </c>
      <c r="C15" s="798">
        <f>C13/14503.85*100</f>
        <v>81.579692414649131</v>
      </c>
      <c r="D15" s="798">
        <f>D13/14503.85*100</f>
        <v>81.074417685386251</v>
      </c>
      <c r="E15" s="798">
        <f>E13/14503.85*100</f>
        <v>83.096296147983239</v>
      </c>
      <c r="F15" s="798">
        <f>F13/14503.85*100</f>
        <v>85.007171909457767</v>
      </c>
      <c r="G15" s="2018" t="s">
        <v>238</v>
      </c>
    </row>
    <row r="16" spans="1:7" ht="14.25" customHeight="1">
      <c r="A16" s="2015" t="s">
        <v>239</v>
      </c>
      <c r="B16" s="798">
        <v>13151.215110137386</v>
      </c>
      <c r="C16" s="798">
        <f>'3'!$I$33</f>
        <v>13546.250419941087</v>
      </c>
      <c r="D16" s="798">
        <f>'3'!$I$36</f>
        <v>13461.224197307894</v>
      </c>
      <c r="E16" s="798">
        <f>'3'!$I$39</f>
        <v>13671.88438483977</v>
      </c>
      <c r="F16" s="798">
        <f>'3'!$I$42</f>
        <v>13971.913687496892</v>
      </c>
      <c r="G16" s="2012" t="s">
        <v>240</v>
      </c>
    </row>
    <row r="17" spans="1:7" ht="14.25" customHeight="1">
      <c r="A17" s="2011" t="s">
        <v>234</v>
      </c>
      <c r="B17" s="798">
        <v>4.1921738003340394</v>
      </c>
      <c r="C17" s="798">
        <f>(C16-B16)/B16%</f>
        <v>3.0037932350387542</v>
      </c>
      <c r="D17" s="798">
        <f>(D16-C16)/C16%</f>
        <v>-0.62767348895327923</v>
      </c>
      <c r="E17" s="798">
        <f>(E16-D16)/D16%</f>
        <v>1.564940784315928</v>
      </c>
      <c r="F17" s="798">
        <f>(F16-E16)/E16%</f>
        <v>2.1944985359136937</v>
      </c>
      <c r="G17" s="2017" t="s">
        <v>1637</v>
      </c>
    </row>
    <row r="18" spans="1:7" ht="20.25" customHeight="1">
      <c r="A18" s="2013" t="s">
        <v>241</v>
      </c>
      <c r="B18" s="934"/>
      <c r="C18" s="934"/>
      <c r="D18" s="934"/>
      <c r="E18" s="934"/>
      <c r="F18" s="934"/>
      <c r="G18" s="2014" t="s">
        <v>242</v>
      </c>
    </row>
    <row r="19" spans="1:7" ht="14.25" customHeight="1">
      <c r="A19" s="2015" t="s">
        <v>243</v>
      </c>
      <c r="B19" s="798">
        <v>207324.63055821485</v>
      </c>
      <c r="C19" s="798">
        <f>'12'!$I$33</f>
        <v>203382.51070819821</v>
      </c>
      <c r="D19" s="798">
        <f>'12'!$I$36</f>
        <v>202175.34478600096</v>
      </c>
      <c r="E19" s="798">
        <f>'12'!$I$39</f>
        <v>204906.77877197106</v>
      </c>
      <c r="F19" s="798">
        <f>'12'!$I$42</f>
        <v>210829.67280872323</v>
      </c>
      <c r="G19" s="2012" t="s">
        <v>244</v>
      </c>
    </row>
    <row r="20" spans="1:7" ht="14.25" customHeight="1">
      <c r="A20" s="2011" t="s">
        <v>237</v>
      </c>
      <c r="B20" s="798">
        <f>B19/38574.1*100</f>
        <v>537.47107659858523</v>
      </c>
      <c r="C20" s="798">
        <f>C19/38574.1*100</f>
        <v>527.25147367844806</v>
      </c>
      <c r="D20" s="798">
        <f>D19/38574.1*100</f>
        <v>524.12200099548909</v>
      </c>
      <c r="E20" s="798">
        <f>E19/38574.1*100</f>
        <v>531.20300608950322</v>
      </c>
      <c r="F20" s="798">
        <f>F19/38574.1*100</f>
        <v>546.55759384852342</v>
      </c>
      <c r="G20" s="2018" t="s">
        <v>238</v>
      </c>
    </row>
    <row r="21" spans="1:7" ht="14.25" customHeight="1">
      <c r="A21" s="2015" t="s">
        <v>245</v>
      </c>
      <c r="B21" s="798">
        <v>91542.792548906116</v>
      </c>
      <c r="C21" s="798">
        <f>'13'!$L$33/0.376</f>
        <v>91832.175435838915</v>
      </c>
      <c r="D21" s="798">
        <f>'13'!$L$36/0.376-0.05</f>
        <v>92322.142307518225</v>
      </c>
      <c r="E21" s="798">
        <f>'13'!$L$39/0.376</f>
        <v>94068.620390267868</v>
      </c>
      <c r="F21" s="798">
        <f>'13'!$L$42/0.376+0.01</f>
        <v>95085.855008853512</v>
      </c>
      <c r="G21" s="2012" t="s">
        <v>246</v>
      </c>
    </row>
    <row r="22" spans="1:7" ht="14.25" customHeight="1">
      <c r="A22" s="2011" t="s">
        <v>237</v>
      </c>
      <c r="B22" s="798">
        <f>B21/38574.1*100</f>
        <v>237.3167294866403</v>
      </c>
      <c r="C22" s="798">
        <f>C21/38574.1*100</f>
        <v>238.06692945743109</v>
      </c>
      <c r="D22" s="798">
        <f>D21/38574.1*100</f>
        <v>239.33712596669326</v>
      </c>
      <c r="E22" s="798">
        <f>E21/38574.1*100</f>
        <v>243.8647185294482</v>
      </c>
      <c r="F22" s="798">
        <f>F21/38574.1*100</f>
        <v>246.50181082346322</v>
      </c>
      <c r="G22" s="2018" t="s">
        <v>238</v>
      </c>
    </row>
    <row r="23" spans="1:7" ht="14.25" customHeight="1">
      <c r="A23" s="2015" t="s">
        <v>247</v>
      </c>
      <c r="B23" s="798">
        <v>115781.83800930873</v>
      </c>
      <c r="C23" s="798">
        <f>'26'!$N$33</f>
        <v>111550.43527235929</v>
      </c>
      <c r="D23" s="798">
        <f>'26'!$N$36</f>
        <v>109853.21247848272</v>
      </c>
      <c r="E23" s="798">
        <f>'26'!$N$39</f>
        <v>110838.15838170321</v>
      </c>
      <c r="F23" s="798">
        <f>'26'!$N$42</f>
        <v>115743.8277998697</v>
      </c>
      <c r="G23" s="2012" t="s">
        <v>248</v>
      </c>
    </row>
    <row r="24" spans="1:7" ht="14.25" customHeight="1">
      <c r="A24" s="2011" t="s">
        <v>237</v>
      </c>
      <c r="B24" s="798">
        <f>B23/38574.1*100</f>
        <v>300.1543471119449</v>
      </c>
      <c r="C24" s="798">
        <f>C23/38574.1*100</f>
        <v>289.18480346232133</v>
      </c>
      <c r="D24" s="798">
        <f>D23/38574.1*100</f>
        <v>284.78490095292625</v>
      </c>
      <c r="E24" s="798">
        <f>E23/38574.1*100</f>
        <v>287.33828756005511</v>
      </c>
      <c r="F24" s="798">
        <f>F23/38574.1*100</f>
        <v>300.05580894919052</v>
      </c>
      <c r="G24" s="2018" t="s">
        <v>238</v>
      </c>
    </row>
    <row r="25" spans="1:7" ht="14.25" customHeight="1">
      <c r="A25" s="2015" t="s">
        <v>249</v>
      </c>
      <c r="B25" s="798">
        <v>30060.361757449446</v>
      </c>
      <c r="C25" s="798">
        <f>'30'!$O$33</f>
        <v>30737.499452960372</v>
      </c>
      <c r="D25" s="798">
        <f>'30'!$O$36</f>
        <v>31278.062563373009</v>
      </c>
      <c r="E25" s="798">
        <f>'30'!$O$39</f>
        <v>32082.609754455967</v>
      </c>
      <c r="F25" s="798">
        <f>'30'!$O$42</f>
        <v>32535.759644792885</v>
      </c>
      <c r="G25" s="2012" t="s">
        <v>250</v>
      </c>
    </row>
    <row r="26" spans="1:7" ht="14.25" customHeight="1">
      <c r="A26" s="2011" t="s">
        <v>237</v>
      </c>
      <c r="B26" s="798">
        <f>B25/38574.1*100</f>
        <v>77.928873926933989</v>
      </c>
      <c r="C26" s="798">
        <f>C25/38574.1*100</f>
        <v>79.684294521350779</v>
      </c>
      <c r="D26" s="798">
        <f>D25/38574.1*100</f>
        <v>81.085657379881866</v>
      </c>
      <c r="E26" s="798">
        <f>E25/38574.1*100</f>
        <v>83.171376012547199</v>
      </c>
      <c r="F26" s="798">
        <f>F25/38574.1*100</f>
        <v>84.346127699137213</v>
      </c>
      <c r="G26" s="2018" t="s">
        <v>238</v>
      </c>
    </row>
    <row r="27" spans="1:7" ht="14.25" customHeight="1">
      <c r="A27" s="2015" t="s">
        <v>251</v>
      </c>
      <c r="B27" s="798">
        <v>66058.15967695466</v>
      </c>
      <c r="C27" s="798">
        <f>'12'!$G$33</f>
        <v>67537.065812049274</v>
      </c>
      <c r="D27" s="798">
        <f>'12'!$G$36</f>
        <v>68531.768206999433</v>
      </c>
      <c r="E27" s="798">
        <f>'12'!$G$39</f>
        <v>68515.450056265778</v>
      </c>
      <c r="F27" s="798">
        <f>'12'!$G$42</f>
        <v>72320.012826930324</v>
      </c>
      <c r="G27" s="2012" t="s">
        <v>252</v>
      </c>
    </row>
    <row r="28" spans="1:7" ht="14.25" customHeight="1">
      <c r="A28" s="2011" t="s">
        <v>237</v>
      </c>
      <c r="B28" s="798">
        <f>B27/38574.1*100</f>
        <v>171.2500348082124</v>
      </c>
      <c r="C28" s="798">
        <f>C27/38574.1*100</f>
        <v>175.08397036366182</v>
      </c>
      <c r="D28" s="798">
        <f>D27/38574.1*100</f>
        <v>177.66264982721421</v>
      </c>
      <c r="E28" s="798">
        <f>E27/38574.1*100</f>
        <v>177.62034644039858</v>
      </c>
      <c r="F28" s="798">
        <f>F27/38574.1*100</f>
        <v>187.48334459373083</v>
      </c>
      <c r="G28" s="2018" t="s">
        <v>238</v>
      </c>
    </row>
    <row r="29" spans="1:7" ht="14.25" customHeight="1">
      <c r="A29" s="2019" t="s">
        <v>253</v>
      </c>
      <c r="B29" s="798">
        <v>146067.55684830796</v>
      </c>
      <c r="C29" s="798">
        <f>'12'!$O$33</f>
        <v>141948.71156600758</v>
      </c>
      <c r="D29" s="798">
        <f>'12'!$O$36</f>
        <v>139736.84233888413</v>
      </c>
      <c r="E29" s="798">
        <f>'12'!$O$39</f>
        <v>142596.79664643575</v>
      </c>
      <c r="F29" s="798">
        <f>'12'!$O$42</f>
        <v>146246.87674314145</v>
      </c>
      <c r="G29" s="2012" t="s">
        <v>254</v>
      </c>
    </row>
    <row r="30" spans="1:7" ht="14.25" customHeight="1">
      <c r="A30" s="2020" t="s">
        <v>255</v>
      </c>
      <c r="B30" s="798">
        <v>70.453547393296105</v>
      </c>
      <c r="C30" s="798">
        <f>(C29/C19)*100</f>
        <v>69.793961669431653</v>
      </c>
      <c r="D30" s="798">
        <f>(D29/D19)*100</f>
        <v>69.116658357522837</v>
      </c>
      <c r="E30" s="798">
        <f>(E29/E19)*100</f>
        <v>69.59105867606435</v>
      </c>
      <c r="F30" s="798">
        <f>(F29/F19)*100</f>
        <v>69.367311913359089</v>
      </c>
      <c r="G30" s="2018" t="s">
        <v>256</v>
      </c>
    </row>
    <row r="31" spans="1:7" ht="14.25" customHeight="1">
      <c r="A31" s="2011" t="s">
        <v>237</v>
      </c>
      <c r="B31" s="798">
        <f>B29/38574.1*100</f>
        <v>378.66743967664303</v>
      </c>
      <c r="C31" s="798">
        <f>C29/38574.1*100</f>
        <v>367.98969144064955</v>
      </c>
      <c r="D31" s="798">
        <f>D29/38574.1*100</f>
        <v>362.25561280466462</v>
      </c>
      <c r="E31" s="798">
        <f>E29/38574.1*100</f>
        <v>369.66979565676388</v>
      </c>
      <c r="F31" s="798">
        <f>F29/38574.1*100</f>
        <v>379.13231091105547</v>
      </c>
      <c r="G31" s="2018" t="s">
        <v>238</v>
      </c>
    </row>
    <row r="32" spans="1:7" ht="14.25" customHeight="1">
      <c r="A32" s="2015" t="s">
        <v>257</v>
      </c>
      <c r="B32" s="798">
        <v>28616.356882373591</v>
      </c>
      <c r="C32" s="798">
        <f>'[1]1'!$I$34+'[1]1'!$I$36</f>
        <v>29238.237925227757</v>
      </c>
      <c r="D32" s="798">
        <f>'[2]1'!$I$34+'[2]1'!$I$36</f>
        <v>28545.423901181824</v>
      </c>
      <c r="E32" s="798">
        <f>'[3]1'!$I$34+'[3]1'!$I$36</f>
        <v>29463.104421071454</v>
      </c>
      <c r="F32" s="798">
        <f>'[4]1'!$I$34+'[4]1'!$I$36</f>
        <v>26473.383075781978</v>
      </c>
      <c r="G32" s="2012" t="s">
        <v>258</v>
      </c>
    </row>
    <row r="33" spans="1:7" ht="14.25" customHeight="1">
      <c r="A33" s="2020" t="s">
        <v>259</v>
      </c>
      <c r="B33" s="2021">
        <v>13.802680754971069</v>
      </c>
      <c r="C33" s="2021">
        <f>C32/C19%</f>
        <v>14.375984357463821</v>
      </c>
      <c r="D33" s="2021">
        <f>D32/D19%</f>
        <v>14.119141941563969</v>
      </c>
      <c r="E33" s="2021">
        <f>E32/E19%</f>
        <v>14.378784634479686</v>
      </c>
      <c r="F33" s="2021">
        <f>F32/F19%</f>
        <v>12.55676334507247</v>
      </c>
      <c r="G33" s="2022" t="s">
        <v>260</v>
      </c>
    </row>
    <row r="34" spans="1:7" ht="20.25" customHeight="1">
      <c r="A34" s="2013" t="s">
        <v>261</v>
      </c>
      <c r="B34" s="934"/>
      <c r="C34" s="934"/>
      <c r="D34" s="934"/>
      <c r="E34" s="934"/>
      <c r="F34" s="934"/>
      <c r="G34" s="2014" t="s">
        <v>29</v>
      </c>
    </row>
    <row r="35" spans="1:7" ht="14.25" customHeight="1">
      <c r="A35" s="2015" t="s">
        <v>262</v>
      </c>
      <c r="B35" s="798">
        <v>-1245.1242000871698</v>
      </c>
      <c r="C35" s="798">
        <f>'15'!$J$33</f>
        <v>-1175.8827831291205</v>
      </c>
      <c r="D35" s="798">
        <f>'15'!$J$36</f>
        <v>-1124.1925632794209</v>
      </c>
      <c r="E35" s="798">
        <f>'15'!$J$39</f>
        <v>-978.95207411742194</v>
      </c>
      <c r="F35" s="798">
        <f>'15'!$J$42</f>
        <v>-1568.0728771419781</v>
      </c>
      <c r="G35" s="2012" t="s">
        <v>263</v>
      </c>
    </row>
    <row r="36" spans="1:7" ht="14.25" customHeight="1">
      <c r="A36" s="2015" t="s">
        <v>264</v>
      </c>
      <c r="B36" s="798">
        <v>12604.835910433336</v>
      </c>
      <c r="C36" s="798">
        <f>SUM('18'!$C$33:$J$33)-0.02</f>
        <v>12978.398200064003</v>
      </c>
      <c r="D36" s="798">
        <f>SUM('18'!$C$36:$J$36)</f>
        <v>12927.590128627418</v>
      </c>
      <c r="E36" s="798">
        <f>SUM('18'!$C$39:$J$39)</f>
        <v>13132.582535924163</v>
      </c>
      <c r="F36" s="798">
        <f>SUM('18'!$C$42:$J$42)</f>
        <v>13397.268087640032</v>
      </c>
      <c r="G36" s="2012" t="s">
        <v>265</v>
      </c>
    </row>
    <row r="37" spans="1:7" ht="14.25" customHeight="1">
      <c r="A37" s="2011" t="s">
        <v>237</v>
      </c>
      <c r="B37" s="798">
        <f>B36/14503.85*100</f>
        <v>86.906827569461456</v>
      </c>
      <c r="C37" s="798">
        <f>C36/14503.85*100</f>
        <v>89.482435353812974</v>
      </c>
      <c r="D37" s="798">
        <f>D36/14503.85*100</f>
        <v>89.132127873822597</v>
      </c>
      <c r="E37" s="798">
        <f>E36/14503.85*100</f>
        <v>90.545493340900265</v>
      </c>
      <c r="F37" s="798">
        <f>F36/14503.85*100</f>
        <v>92.370426387752431</v>
      </c>
      <c r="G37" s="2018" t="s">
        <v>238</v>
      </c>
    </row>
    <row r="38" spans="1:7" ht="14.25" customHeight="1">
      <c r="A38" s="2023" t="s">
        <v>266</v>
      </c>
      <c r="B38" s="928">
        <v>9623.1739906865823</v>
      </c>
      <c r="C38" s="928">
        <f>'19'!$U$33</f>
        <v>9887.3332244197209</v>
      </c>
      <c r="D38" s="928">
        <f>'19'!$U$36</f>
        <v>9783.7296130007235</v>
      </c>
      <c r="E38" s="928">
        <f>'19'!$U$39</f>
        <v>9736.3491090955849</v>
      </c>
      <c r="F38" s="928">
        <f>'19'!$U$42</f>
        <v>10125.599310966511</v>
      </c>
      <c r="G38" s="2012" t="s">
        <v>267</v>
      </c>
    </row>
    <row r="39" spans="1:7" ht="14.25" customHeight="1">
      <c r="A39" s="2011" t="s">
        <v>237</v>
      </c>
      <c r="B39" s="798">
        <f>B38/14503.85*100</f>
        <v>66.349100347056691</v>
      </c>
      <c r="C39" s="798">
        <f>C38/14503.85*100</f>
        <v>68.170404578230745</v>
      </c>
      <c r="D39" s="798">
        <f>D38/14503.85*100</f>
        <v>67.456086577017288</v>
      </c>
      <c r="E39" s="798">
        <f>E38/14503.85*100</f>
        <v>67.129411219059662</v>
      </c>
      <c r="F39" s="798">
        <f>F38/14503.85*100</f>
        <v>69.813182782271682</v>
      </c>
      <c r="G39" s="2018" t="s">
        <v>238</v>
      </c>
    </row>
    <row r="40" spans="1:7" s="2000" customFormat="1" ht="20.25" customHeight="1">
      <c r="A40" s="2024" t="s">
        <v>268</v>
      </c>
      <c r="B40" s="2025"/>
      <c r="C40" s="2025"/>
      <c r="D40" s="2025"/>
      <c r="E40" s="2025"/>
      <c r="F40" s="2025"/>
      <c r="G40" s="2026" t="s">
        <v>269</v>
      </c>
    </row>
    <row r="41" spans="1:7" ht="14.25" customHeight="1">
      <c r="A41" s="2027"/>
      <c r="B41" s="1496"/>
      <c r="C41" s="1496"/>
      <c r="D41" s="1496"/>
      <c r="E41" s="1496"/>
      <c r="F41" s="1496"/>
      <c r="G41" s="2028"/>
    </row>
    <row r="42" spans="1:7" ht="14.25" customHeight="1">
      <c r="A42" s="2027"/>
      <c r="B42" s="961"/>
      <c r="C42" s="961"/>
      <c r="D42" s="961"/>
      <c r="E42" s="961"/>
      <c r="F42" s="961"/>
      <c r="G42" s="2028"/>
    </row>
    <row r="43" spans="1:7" ht="14.25" customHeight="1">
      <c r="A43" s="2027"/>
      <c r="G43" s="2028"/>
    </row>
    <row r="44" spans="1:7" ht="14.25" customHeight="1">
      <c r="A44" s="2027"/>
      <c r="G44" s="2028"/>
    </row>
    <row r="45" spans="1:7" s="2000" customFormat="1" ht="20.25" customHeight="1">
      <c r="A45" s="1998" t="s">
        <v>213</v>
      </c>
      <c r="B45" s="1999"/>
      <c r="C45" s="1999"/>
      <c r="D45" s="1999"/>
      <c r="E45" s="1999"/>
      <c r="F45" s="1999"/>
      <c r="G45" s="1999"/>
    </row>
    <row r="46" spans="1:7" s="2000" customFormat="1" ht="18">
      <c r="A46" s="2001" t="s">
        <v>214</v>
      </c>
      <c r="B46" s="1999"/>
      <c r="C46" s="1999"/>
      <c r="D46" s="1999"/>
      <c r="E46" s="1999"/>
      <c r="F46" s="1999"/>
      <c r="G46" s="1999"/>
    </row>
    <row r="48" spans="1:7" s="2000" customFormat="1" ht="18" customHeight="1">
      <c r="A48" s="2095" t="s">
        <v>215</v>
      </c>
      <c r="B48" s="2002">
        <v>2019</v>
      </c>
      <c r="C48" s="2002"/>
      <c r="D48" s="2002"/>
      <c r="E48" s="2002"/>
      <c r="F48" s="2002">
        <v>2020</v>
      </c>
      <c r="G48" s="2098" t="s">
        <v>216</v>
      </c>
    </row>
    <row r="49" spans="1:7" s="2004" customFormat="1" ht="14.85" customHeight="1">
      <c r="A49" s="2096"/>
      <c r="B49" s="2003" t="s">
        <v>217</v>
      </c>
      <c r="C49" s="2003" t="s">
        <v>217</v>
      </c>
      <c r="D49" s="2003" t="s">
        <v>217</v>
      </c>
      <c r="E49" s="2003" t="s">
        <v>217</v>
      </c>
      <c r="F49" s="2003" t="s">
        <v>217</v>
      </c>
      <c r="G49" s="2099"/>
    </row>
    <row r="50" spans="1:7" s="2004" customFormat="1" ht="14.85" customHeight="1">
      <c r="A50" s="2096"/>
      <c r="B50" s="2005" t="s">
        <v>218</v>
      </c>
      <c r="C50" s="2005" t="s">
        <v>219</v>
      </c>
      <c r="D50" s="2005" t="s">
        <v>220</v>
      </c>
      <c r="E50" s="2005" t="s">
        <v>221</v>
      </c>
      <c r="F50" s="2005" t="s">
        <v>218</v>
      </c>
      <c r="G50" s="2099"/>
    </row>
    <row r="51" spans="1:7" s="2007" customFormat="1" ht="14.85" customHeight="1">
      <c r="A51" s="2097"/>
      <c r="B51" s="2006" t="s">
        <v>222</v>
      </c>
      <c r="C51" s="2006" t="s">
        <v>223</v>
      </c>
      <c r="D51" s="2006" t="s">
        <v>224</v>
      </c>
      <c r="E51" s="2006" t="s">
        <v>225</v>
      </c>
      <c r="F51" s="2006" t="s">
        <v>222</v>
      </c>
      <c r="G51" s="2100"/>
    </row>
    <row r="52" spans="1:7" ht="20.25" customHeight="1">
      <c r="A52" s="2013" t="s">
        <v>270</v>
      </c>
      <c r="B52" s="2029"/>
      <c r="C52" s="2029"/>
      <c r="D52" s="2029"/>
      <c r="E52" s="2029"/>
      <c r="F52" s="2029"/>
      <c r="G52" s="2014" t="s">
        <v>271</v>
      </c>
    </row>
    <row r="53" spans="1:7" ht="14.25" customHeight="1">
      <c r="A53" s="2015" t="s">
        <v>272</v>
      </c>
      <c r="B53" s="2030">
        <v>5.2170216385920778</v>
      </c>
      <c r="C53" s="2030">
        <f>'7'!$Q$33</f>
        <v>5.0718493954519186</v>
      </c>
      <c r="D53" s="2030">
        <f>'7'!$Q$36</f>
        <v>4.9762523588840288</v>
      </c>
      <c r="E53" s="2030">
        <f>'7'!$Q$39</f>
        <v>4.9118549442238875</v>
      </c>
      <c r="F53" s="2030">
        <f>'7'!$Q$42</f>
        <v>4.7921545314413132</v>
      </c>
      <c r="G53" s="2012" t="s">
        <v>273</v>
      </c>
    </row>
    <row r="54" spans="1:7" ht="14.25" customHeight="1">
      <c r="A54" s="2015" t="s">
        <v>274</v>
      </c>
      <c r="B54" s="2030">
        <v>5.1982499269900826</v>
      </c>
      <c r="C54" s="2030">
        <f>'7'!$J$33</f>
        <v>5.1394325321701846</v>
      </c>
      <c r="D54" s="2030">
        <f>'7'!$J$36</f>
        <v>4.5150147386150721</v>
      </c>
      <c r="E54" s="2030">
        <f>'7'!$J$39</f>
        <v>4.870425881317975</v>
      </c>
      <c r="F54" s="2030">
        <f>'7'!$J$42</f>
        <v>4.1557326054990531</v>
      </c>
      <c r="G54" s="2012" t="s">
        <v>275</v>
      </c>
    </row>
    <row r="55" spans="1:7" ht="14.25" customHeight="1">
      <c r="A55" s="2015" t="s">
        <v>276</v>
      </c>
      <c r="B55" s="2030">
        <v>2.2747276281420619</v>
      </c>
      <c r="C55" s="2030">
        <f>'7'!$E$33</f>
        <v>1.7719878302299481</v>
      </c>
      <c r="D55" s="2030">
        <f>'7'!$E$36</f>
        <v>1.6766907935544646</v>
      </c>
      <c r="E55" s="2030">
        <f>'7'!$E$39</f>
        <v>1.6056774455402882</v>
      </c>
      <c r="F55" s="2030">
        <f>'7'!$E$42</f>
        <v>0.98197135541846836</v>
      </c>
      <c r="G55" s="2012" t="s">
        <v>277</v>
      </c>
    </row>
    <row r="56" spans="1:7" ht="20.25" customHeight="1">
      <c r="A56" s="2013" t="s">
        <v>278</v>
      </c>
      <c r="B56" s="934"/>
      <c r="C56" s="934"/>
      <c r="D56" s="934"/>
      <c r="E56" s="934"/>
      <c r="F56" s="934"/>
      <c r="G56" s="2031" t="s">
        <v>1638</v>
      </c>
    </row>
    <row r="57" spans="1:7" ht="14.25" customHeight="1">
      <c r="A57" s="2011" t="s">
        <v>279</v>
      </c>
      <c r="B57" s="2032">
        <v>2.7</v>
      </c>
      <c r="C57" s="2032">
        <v>2.5299999999999998</v>
      </c>
      <c r="D57" s="2032">
        <v>2.21</v>
      </c>
      <c r="E57" s="2032">
        <v>1.946</v>
      </c>
      <c r="F57" s="2032">
        <v>1.62</v>
      </c>
      <c r="G57" s="2018" t="s">
        <v>280</v>
      </c>
    </row>
    <row r="58" spans="1:7" ht="14.25" customHeight="1">
      <c r="A58" s="2011" t="s">
        <v>281</v>
      </c>
      <c r="B58" s="2032">
        <v>2.73</v>
      </c>
      <c r="C58" s="2032">
        <v>2.41</v>
      </c>
      <c r="D58" s="2032">
        <v>2.1</v>
      </c>
      <c r="E58" s="2032">
        <v>1.92</v>
      </c>
      <c r="F58" s="2032">
        <v>1.46</v>
      </c>
      <c r="G58" s="2018" t="s">
        <v>282</v>
      </c>
    </row>
    <row r="59" spans="1:7" ht="14.25" customHeight="1">
      <c r="A59" s="2015" t="s">
        <v>283</v>
      </c>
      <c r="B59" s="2032">
        <v>4.5</v>
      </c>
      <c r="C59" s="2032">
        <v>4.5</v>
      </c>
      <c r="D59" s="2032">
        <v>4.25</v>
      </c>
      <c r="E59" s="2032">
        <v>4.0830000000000002</v>
      </c>
      <c r="F59" s="2032">
        <v>3.23</v>
      </c>
      <c r="G59" s="2012" t="s">
        <v>284</v>
      </c>
    </row>
    <row r="60" spans="1:7" ht="20.25" customHeight="1">
      <c r="A60" s="2013" t="s">
        <v>285</v>
      </c>
      <c r="B60" s="2033"/>
      <c r="C60" s="2033"/>
      <c r="D60" s="2033"/>
      <c r="E60" s="2033"/>
      <c r="F60" s="2033"/>
      <c r="G60" s="2031" t="s">
        <v>1639</v>
      </c>
    </row>
    <row r="61" spans="1:7" ht="14.25" customHeight="1">
      <c r="A61" s="2011" t="s">
        <v>279</v>
      </c>
      <c r="B61" s="2032">
        <v>4.1500000000000004</v>
      </c>
      <c r="C61" s="2032">
        <v>3.32</v>
      </c>
      <c r="D61" s="2032">
        <v>2.96</v>
      </c>
      <c r="E61" s="2032">
        <v>2.681</v>
      </c>
      <c r="F61" s="2032">
        <v>2.44</v>
      </c>
      <c r="G61" s="2018" t="s">
        <v>280</v>
      </c>
    </row>
    <row r="62" spans="1:7" ht="14.25" customHeight="1">
      <c r="A62" s="2011" t="s">
        <v>281</v>
      </c>
      <c r="B62" s="2032">
        <v>4.2</v>
      </c>
      <c r="C62" s="2032">
        <v>3.2759999999999998</v>
      </c>
      <c r="D62" s="2032">
        <v>2.88</v>
      </c>
      <c r="E62" s="2032">
        <v>2.59</v>
      </c>
      <c r="F62" s="2032">
        <v>2.56</v>
      </c>
      <c r="G62" s="2018" t="s">
        <v>282</v>
      </c>
    </row>
    <row r="63" spans="1:7" ht="14.25" customHeight="1">
      <c r="A63" s="2011" t="s">
        <v>286</v>
      </c>
      <c r="B63" s="2032">
        <v>4.66</v>
      </c>
      <c r="C63" s="2032">
        <v>3.56</v>
      </c>
      <c r="D63" s="2032">
        <v>2.96</v>
      </c>
      <c r="E63" s="2032">
        <v>2.6866660000000002</v>
      </c>
      <c r="F63" s="2032">
        <v>2.68</v>
      </c>
      <c r="G63" s="2018" t="s">
        <v>287</v>
      </c>
    </row>
    <row r="64" spans="1:7" ht="14.25" customHeight="1">
      <c r="A64" s="2015" t="s">
        <v>288</v>
      </c>
      <c r="B64" s="2032">
        <v>4.1130000000000004</v>
      </c>
      <c r="C64" s="2032">
        <v>3.327</v>
      </c>
      <c r="D64" s="2032">
        <v>2.927</v>
      </c>
      <c r="E64" s="2032">
        <v>2.6629999999999998</v>
      </c>
      <c r="F64" s="2032">
        <v>2.3969999999999998</v>
      </c>
      <c r="G64" s="2012" t="s">
        <v>289</v>
      </c>
    </row>
    <row r="65" spans="1:7" ht="14.25" customHeight="1">
      <c r="A65" s="2015" t="s">
        <v>290</v>
      </c>
      <c r="B65" s="2032">
        <v>4.33</v>
      </c>
      <c r="C65" s="2032">
        <v>3.6669999999999998</v>
      </c>
      <c r="D65" s="2032">
        <v>2.9929999999999999</v>
      </c>
      <c r="E65" s="2032">
        <v>2.6930000000000001</v>
      </c>
      <c r="F65" s="2032">
        <v>2.3969999999999998</v>
      </c>
      <c r="G65" s="2012" t="s">
        <v>291</v>
      </c>
    </row>
    <row r="66" spans="1:7" ht="25.5">
      <c r="A66" s="2034" t="s">
        <v>292</v>
      </c>
      <c r="B66" s="2032">
        <v>2.6110000000000002</v>
      </c>
      <c r="C66" s="2032">
        <v>2.8450000000000002</v>
      </c>
      <c r="D66" s="2032">
        <v>2.61</v>
      </c>
      <c r="E66" s="2032">
        <v>3.4375</v>
      </c>
      <c r="F66" s="2032">
        <v>2.566125</v>
      </c>
      <c r="G66" s="2012" t="s">
        <v>293</v>
      </c>
    </row>
    <row r="67" spans="1:7" ht="20.25" customHeight="1">
      <c r="A67" s="2013" t="s">
        <v>294</v>
      </c>
      <c r="B67" s="2033"/>
      <c r="C67" s="2033"/>
      <c r="D67" s="2033"/>
      <c r="E67" s="2033"/>
      <c r="F67" s="2033"/>
      <c r="G67" s="2031" t="s">
        <v>1640</v>
      </c>
    </row>
    <row r="68" spans="1:7" ht="25.5">
      <c r="A68" s="2034" t="s">
        <v>295</v>
      </c>
      <c r="B68" s="2032">
        <v>2.9455</v>
      </c>
      <c r="C68" s="2032">
        <v>2.8969999999999998</v>
      </c>
      <c r="D68" s="2032">
        <v>2.95</v>
      </c>
      <c r="E68" s="2032">
        <v>2.8964300000000001</v>
      </c>
      <c r="F68" s="2032">
        <v>2.9283000000000001</v>
      </c>
      <c r="G68" s="2012" t="s">
        <v>296</v>
      </c>
    </row>
    <row r="69" spans="1:7" ht="20.25" customHeight="1">
      <c r="A69" s="2013" t="s">
        <v>297</v>
      </c>
      <c r="B69" s="2035"/>
      <c r="C69" s="2035"/>
      <c r="D69" s="2035"/>
      <c r="E69" s="2035"/>
      <c r="F69" s="2035"/>
      <c r="G69" s="2014" t="s">
        <v>298</v>
      </c>
    </row>
    <row r="70" spans="1:7" ht="14.25" customHeight="1">
      <c r="A70" s="2015" t="s">
        <v>299</v>
      </c>
      <c r="B70" s="2036"/>
      <c r="C70" s="2036"/>
      <c r="D70" s="2036"/>
      <c r="E70" s="2036">
        <v>14095</v>
      </c>
      <c r="F70" s="2036"/>
      <c r="G70" s="2012" t="s">
        <v>300</v>
      </c>
    </row>
    <row r="71" spans="1:7" ht="14.25" customHeight="1">
      <c r="A71" s="2019" t="s">
        <v>301</v>
      </c>
      <c r="B71" s="2037"/>
      <c r="C71" s="2037"/>
      <c r="D71" s="2037"/>
      <c r="E71" s="2037">
        <v>66.900000000000006</v>
      </c>
      <c r="F71" s="2037"/>
      <c r="G71" s="2012" t="s">
        <v>302</v>
      </c>
    </row>
    <row r="72" spans="1:7" ht="20.25" customHeight="1">
      <c r="A72" s="2013" t="s">
        <v>303</v>
      </c>
      <c r="B72" s="2035"/>
      <c r="C72" s="2035"/>
      <c r="D72" s="2035"/>
      <c r="E72" s="2035"/>
      <c r="F72" s="2035"/>
      <c r="G72" s="2014" t="s">
        <v>304</v>
      </c>
    </row>
    <row r="73" spans="1:7" ht="14.25" customHeight="1">
      <c r="A73" s="2015" t="s">
        <v>305</v>
      </c>
      <c r="B73" s="2036">
        <v>384</v>
      </c>
      <c r="C73" s="2036">
        <v>383</v>
      </c>
      <c r="D73" s="2036">
        <v>382</v>
      </c>
      <c r="E73" s="2036">
        <v>381</v>
      </c>
      <c r="F73" s="2036">
        <v>376</v>
      </c>
      <c r="G73" s="2012" t="s">
        <v>306</v>
      </c>
    </row>
    <row r="74" spans="1:7" ht="14.25" customHeight="1">
      <c r="A74" s="2015" t="s">
        <v>307</v>
      </c>
      <c r="B74" s="2036">
        <v>8</v>
      </c>
      <c r="C74" s="2036">
        <v>2</v>
      </c>
      <c r="D74" s="2036">
        <v>3</v>
      </c>
      <c r="E74" s="2036">
        <v>1</v>
      </c>
      <c r="F74" s="2036">
        <v>0</v>
      </c>
      <c r="G74" s="2012" t="s">
        <v>308</v>
      </c>
    </row>
    <row r="75" spans="1:7" ht="20.25" customHeight="1">
      <c r="A75" s="2013" t="s">
        <v>105</v>
      </c>
      <c r="B75" s="2035"/>
      <c r="C75" s="2035"/>
      <c r="D75" s="2035"/>
      <c r="E75" s="2035"/>
      <c r="F75" s="2035"/>
      <c r="G75" s="2014" t="s">
        <v>106</v>
      </c>
    </row>
    <row r="76" spans="1:7" ht="14.25" customHeight="1">
      <c r="A76" s="2015" t="s">
        <v>309</v>
      </c>
      <c r="B76" s="2036">
        <v>2211</v>
      </c>
      <c r="C76" s="2036">
        <v>2136</v>
      </c>
      <c r="D76" s="2036">
        <v>2144</v>
      </c>
      <c r="E76" s="2036">
        <v>2106</v>
      </c>
      <c r="F76" s="2036">
        <v>2076</v>
      </c>
      <c r="G76" s="2012" t="s">
        <v>310</v>
      </c>
    </row>
    <row r="77" spans="1:7" ht="14.25" customHeight="1">
      <c r="A77" s="2015" t="s">
        <v>311</v>
      </c>
      <c r="B77" s="2036">
        <v>8</v>
      </c>
      <c r="C77" s="2036">
        <v>5</v>
      </c>
      <c r="D77" s="2036">
        <v>10</v>
      </c>
      <c r="E77" s="2036">
        <v>17</v>
      </c>
      <c r="F77" s="2036">
        <v>17</v>
      </c>
      <c r="G77" s="2012" t="s">
        <v>312</v>
      </c>
    </row>
    <row r="78" spans="1:7" ht="14.25" customHeight="1">
      <c r="A78" s="2019" t="s">
        <v>313</v>
      </c>
      <c r="B78" s="798">
        <v>7533.6570000000002</v>
      </c>
      <c r="C78" s="798">
        <f>'54'!$E$35/1000</f>
        <v>7764.4520000000002</v>
      </c>
      <c r="D78" s="798">
        <f>'54'!$E$39/1000</f>
        <v>7317.3119999999999</v>
      </c>
      <c r="E78" s="798">
        <f>'54'!$E$43/1000</f>
        <v>7200.3879999999999</v>
      </c>
      <c r="F78" s="798" t="s">
        <v>606</v>
      </c>
      <c r="G78" s="2038" t="s">
        <v>314</v>
      </c>
    </row>
    <row r="79" spans="1:7" ht="20.25" customHeight="1">
      <c r="A79" s="2013" t="s">
        <v>315</v>
      </c>
      <c r="B79" s="2039"/>
      <c r="C79" s="2039"/>
      <c r="D79" s="2039"/>
      <c r="E79" s="2039"/>
      <c r="F79" s="2039"/>
      <c r="G79" s="2040" t="s">
        <v>316</v>
      </c>
    </row>
    <row r="80" spans="1:7" ht="14.25" customHeight="1">
      <c r="A80" s="2015" t="s">
        <v>24</v>
      </c>
      <c r="B80" s="798">
        <v>11457</v>
      </c>
      <c r="C80" s="798">
        <f>'11'!$Q$33</f>
        <v>11293.4</v>
      </c>
      <c r="D80" s="798">
        <f>'11'!$Q$36</f>
        <v>12045.4</v>
      </c>
      <c r="E80" s="798">
        <f>'11'!$Q$39</f>
        <v>12045.44</v>
      </c>
      <c r="F80" s="798">
        <f>'11'!$Q$42</f>
        <v>11575.400000000001</v>
      </c>
      <c r="G80" s="2012" t="s">
        <v>25</v>
      </c>
    </row>
    <row r="81" spans="1:7" ht="14.25" customHeight="1">
      <c r="A81" s="2011" t="s">
        <v>317</v>
      </c>
      <c r="B81" s="2037">
        <f>B80/14503.85*100</f>
        <v>78.992819148019322</v>
      </c>
      <c r="C81" s="2037">
        <f>C80/14503.85*100</f>
        <v>77.864842783123095</v>
      </c>
      <c r="D81" s="2037">
        <f>D80/14503.85*100</f>
        <v>83.049673017853877</v>
      </c>
      <c r="E81" s="2037">
        <f>E80/14503.85*100</f>
        <v>83.04994880669615</v>
      </c>
      <c r="F81" s="2037">
        <f>F80/14503.85*100</f>
        <v>79.809154121147145</v>
      </c>
      <c r="G81" s="2018" t="s">
        <v>318</v>
      </c>
    </row>
    <row r="82" spans="1:7" ht="14.25" customHeight="1">
      <c r="A82" s="2011" t="s">
        <v>319</v>
      </c>
      <c r="B82" s="798">
        <v>6963.6</v>
      </c>
      <c r="C82" s="798">
        <f>'11'!$E$33</f>
        <v>6963.6</v>
      </c>
      <c r="D82" s="798">
        <f>'11'!$E$36</f>
        <v>7339.6</v>
      </c>
      <c r="E82" s="798">
        <f>'11'!$E$39</f>
        <v>7339.6</v>
      </c>
      <c r="F82" s="798">
        <f>'11'!$E$42</f>
        <v>6869.6</v>
      </c>
      <c r="G82" s="2018" t="s">
        <v>320</v>
      </c>
    </row>
    <row r="83" spans="1:7" ht="14.25" customHeight="1">
      <c r="A83" s="2011" t="s">
        <v>321</v>
      </c>
      <c r="B83" s="798">
        <v>2110</v>
      </c>
      <c r="C83" s="798">
        <f>'11'!$H$33</f>
        <v>2110</v>
      </c>
      <c r="D83" s="798">
        <f>'11'!$H$36</f>
        <v>2110</v>
      </c>
      <c r="E83" s="798">
        <f>'11'!$H$39</f>
        <v>2110</v>
      </c>
      <c r="F83" s="798">
        <f>'11'!$H$42</f>
        <v>2110</v>
      </c>
      <c r="G83" s="2018" t="s">
        <v>322</v>
      </c>
    </row>
    <row r="84" spans="1:7" ht="14.25" customHeight="1">
      <c r="A84" s="2011" t="s">
        <v>323</v>
      </c>
      <c r="B84" s="2037">
        <v>129</v>
      </c>
      <c r="C84" s="2037">
        <f>'11'!$O$33</f>
        <v>129</v>
      </c>
      <c r="D84" s="2037">
        <f>'11'!$O$36</f>
        <v>129</v>
      </c>
      <c r="E84" s="2037">
        <f>'11'!$O$39</f>
        <v>129</v>
      </c>
      <c r="F84" s="2037">
        <f>'11'!$O$42</f>
        <v>129</v>
      </c>
      <c r="G84" s="2018" t="s">
        <v>324</v>
      </c>
    </row>
    <row r="85" spans="1:7" ht="14.25" customHeight="1">
      <c r="A85" s="2011" t="s">
        <v>325</v>
      </c>
      <c r="B85" s="798">
        <v>2254.4</v>
      </c>
      <c r="C85" s="798">
        <f>'11'!$L$33</f>
        <v>2090.8000000000002</v>
      </c>
      <c r="D85" s="798">
        <f>'11'!$L$36</f>
        <v>2466.8000000000002</v>
      </c>
      <c r="E85" s="798">
        <f>'11'!$L$39</f>
        <v>2466.84</v>
      </c>
      <c r="F85" s="798">
        <f>'11'!$L$42</f>
        <v>2466.8000000000002</v>
      </c>
      <c r="G85" s="2018" t="s">
        <v>326</v>
      </c>
    </row>
    <row r="86" spans="1:7" s="2000" customFormat="1" ht="20.25" customHeight="1">
      <c r="A86" s="2024" t="s">
        <v>327</v>
      </c>
      <c r="B86" s="2025"/>
      <c r="C86" s="2025"/>
      <c r="D86" s="2025"/>
      <c r="E86" s="2025"/>
      <c r="F86" s="2025"/>
      <c r="G86" s="2026" t="s">
        <v>328</v>
      </c>
    </row>
    <row r="87" spans="1:7" s="2000" customFormat="1" ht="20.25" customHeight="1">
      <c r="A87" s="2041"/>
      <c r="B87" s="2042"/>
      <c r="C87" s="2042"/>
      <c r="D87" s="2042"/>
      <c r="E87" s="2042"/>
      <c r="F87" s="2042"/>
      <c r="G87" s="2043"/>
    </row>
    <row r="88" spans="1:7" s="2000" customFormat="1" ht="20.25" customHeight="1">
      <c r="A88" s="2041"/>
      <c r="B88" s="2042"/>
      <c r="C88" s="2042"/>
      <c r="D88" s="2042"/>
      <c r="E88" s="2042"/>
      <c r="F88" s="2042"/>
      <c r="G88" s="2043"/>
    </row>
    <row r="89" spans="1:7" s="2000" customFormat="1" ht="20.25" customHeight="1">
      <c r="A89" s="1998" t="s">
        <v>213</v>
      </c>
      <c r="B89" s="1999"/>
      <c r="C89" s="1999"/>
      <c r="D89" s="1999"/>
      <c r="E89" s="1999"/>
      <c r="F89" s="1999"/>
      <c r="G89" s="1999"/>
    </row>
    <row r="90" spans="1:7" s="2000" customFormat="1" ht="18">
      <c r="A90" s="2001" t="s">
        <v>214</v>
      </c>
      <c r="B90" s="1999"/>
      <c r="C90" s="1999"/>
      <c r="D90" s="1999"/>
      <c r="E90" s="1999"/>
      <c r="F90" s="1999"/>
      <c r="G90" s="1999"/>
    </row>
    <row r="92" spans="1:7" s="2000" customFormat="1" ht="18" customHeight="1">
      <c r="A92" s="2095" t="s">
        <v>215</v>
      </c>
      <c r="B92" s="2002">
        <v>2019</v>
      </c>
      <c r="C92" s="2002"/>
      <c r="D92" s="2002"/>
      <c r="E92" s="2002"/>
      <c r="F92" s="2002">
        <v>2020</v>
      </c>
      <c r="G92" s="2098" t="s">
        <v>216</v>
      </c>
    </row>
    <row r="93" spans="1:7" s="2004" customFormat="1" ht="14.85" customHeight="1">
      <c r="A93" s="2096"/>
      <c r="B93" s="2003" t="s">
        <v>217</v>
      </c>
      <c r="C93" s="2003" t="s">
        <v>217</v>
      </c>
      <c r="D93" s="2003" t="s">
        <v>217</v>
      </c>
      <c r="E93" s="2003" t="s">
        <v>217</v>
      </c>
      <c r="F93" s="2003" t="s">
        <v>217</v>
      </c>
      <c r="G93" s="2099"/>
    </row>
    <row r="94" spans="1:7" s="2004" customFormat="1" ht="14.85" customHeight="1">
      <c r="A94" s="2096"/>
      <c r="B94" s="2005" t="s">
        <v>218</v>
      </c>
      <c r="C94" s="2005" t="s">
        <v>219</v>
      </c>
      <c r="D94" s="2005" t="s">
        <v>220</v>
      </c>
      <c r="E94" s="2005" t="s">
        <v>221</v>
      </c>
      <c r="F94" s="2005" t="s">
        <v>218</v>
      </c>
      <c r="G94" s="2099"/>
    </row>
    <row r="95" spans="1:7" s="2007" customFormat="1" ht="14.85" customHeight="1">
      <c r="A95" s="2097"/>
      <c r="B95" s="2006" t="s">
        <v>222</v>
      </c>
      <c r="C95" s="2006" t="s">
        <v>223</v>
      </c>
      <c r="D95" s="2006" t="s">
        <v>224</v>
      </c>
      <c r="E95" s="2006" t="s">
        <v>225</v>
      </c>
      <c r="F95" s="2006" t="s">
        <v>222</v>
      </c>
      <c r="G95" s="2100"/>
    </row>
    <row r="96" spans="1:7" ht="20.25" customHeight="1">
      <c r="A96" s="2013" t="s">
        <v>329</v>
      </c>
      <c r="B96" s="2044"/>
      <c r="C96" s="2044"/>
      <c r="D96" s="2044"/>
      <c r="E96" s="2044"/>
      <c r="F96" s="2044"/>
      <c r="G96" s="2014" t="s">
        <v>330</v>
      </c>
    </row>
    <row r="97" spans="1:7" ht="14.25" customHeight="1">
      <c r="A97" s="2015" t="s">
        <v>151</v>
      </c>
      <c r="B97" s="2045">
        <v>0.376</v>
      </c>
      <c r="C97" s="2045">
        <f>'6'!$H$33</f>
        <v>0.376</v>
      </c>
      <c r="D97" s="2045">
        <f>'6'!$H$36</f>
        <v>0.376</v>
      </c>
      <c r="E97" s="2045">
        <f>'6'!$H$39</f>
        <v>0.376</v>
      </c>
      <c r="F97" s="2045">
        <f>'6'!$H$42</f>
        <v>0.376</v>
      </c>
      <c r="G97" s="2012" t="s">
        <v>331</v>
      </c>
    </row>
    <row r="98" spans="1:7" ht="14.25" customHeight="1">
      <c r="A98" s="2015" t="s">
        <v>332</v>
      </c>
      <c r="B98" s="2045">
        <v>0.49020000000000002</v>
      </c>
      <c r="C98" s="2045">
        <f>'6'!$I$33</f>
        <v>0.47749999999999998</v>
      </c>
      <c r="D98" s="2045">
        <f>'6'!$I$36</f>
        <v>0.46229999999999999</v>
      </c>
      <c r="E98" s="2045">
        <f>'6'!$I$39</f>
        <v>0.49320000000000003</v>
      </c>
      <c r="F98" s="2045">
        <f>'6'!$I$42</f>
        <v>0.46539999999999998</v>
      </c>
      <c r="G98" s="2012" t="s">
        <v>333</v>
      </c>
    </row>
    <row r="99" spans="1:7" ht="14.25" customHeight="1">
      <c r="A99" s="2015" t="s">
        <v>334</v>
      </c>
      <c r="B99" s="2045">
        <v>0.4219</v>
      </c>
      <c r="C99" s="2045">
        <f>'6'!$J$33</f>
        <v>0.42770000000000002</v>
      </c>
      <c r="D99" s="2045">
        <f>'6'!$J$36</f>
        <v>0.41149999999999998</v>
      </c>
      <c r="E99" s="2045">
        <f>'6'!$J$39</f>
        <v>0.4214</v>
      </c>
      <c r="F99" s="2045">
        <f>'6'!$J$42</f>
        <v>0.4148</v>
      </c>
      <c r="G99" s="2012" t="s">
        <v>335</v>
      </c>
    </row>
    <row r="100" spans="1:7" ht="14.25" customHeight="1">
      <c r="A100" s="2015" t="s">
        <v>1641</v>
      </c>
      <c r="B100" s="2045">
        <v>3.4</v>
      </c>
      <c r="C100" s="2045">
        <f>'6'!$K$33</f>
        <v>3.5</v>
      </c>
      <c r="D100" s="2045">
        <f>'6'!$K$36</f>
        <v>3.5</v>
      </c>
      <c r="E100" s="2045">
        <f>'6'!$K$39</f>
        <v>3.5</v>
      </c>
      <c r="F100" s="2045">
        <f>'6'!$K$42</f>
        <v>3.5</v>
      </c>
      <c r="G100" s="2012" t="s">
        <v>1642</v>
      </c>
    </row>
    <row r="101" spans="1:7" ht="20.25" customHeight="1">
      <c r="A101" s="2013" t="s">
        <v>95</v>
      </c>
      <c r="B101" s="2035"/>
      <c r="C101" s="2035"/>
      <c r="D101" s="2035"/>
      <c r="E101" s="2035"/>
      <c r="F101" s="2035"/>
      <c r="G101" s="2014" t="s">
        <v>96</v>
      </c>
    </row>
    <row r="102" spans="1:7" ht="14.25" customHeight="1">
      <c r="A102" s="2015" t="s">
        <v>336</v>
      </c>
      <c r="B102" s="798">
        <v>1413.32</v>
      </c>
      <c r="C102" s="798">
        <f>'50'!$H$33</f>
        <v>1471.04</v>
      </c>
      <c r="D102" s="798">
        <f>'50'!$H$36</f>
        <v>1516.53</v>
      </c>
      <c r="E102" s="798">
        <f>'50'!$H$39</f>
        <v>1610.18</v>
      </c>
      <c r="F102" s="798">
        <f>'50'!$H$42</f>
        <v>1350.62</v>
      </c>
      <c r="G102" s="2012" t="s">
        <v>337</v>
      </c>
    </row>
    <row r="103" spans="1:7" ht="14.25" customHeight="1">
      <c r="A103" s="2015" t="s">
        <v>338</v>
      </c>
      <c r="B103" s="798">
        <v>8667.86</v>
      </c>
      <c r="C103" s="798">
        <f>'50'!$I$33</f>
        <v>9220.1169208481806</v>
      </c>
      <c r="D103" s="798">
        <f>'50'!$I$36</f>
        <v>9538.6</v>
      </c>
      <c r="E103" s="798">
        <f>'50'!$I$39</f>
        <v>10134.620000000001</v>
      </c>
      <c r="F103" s="798">
        <f>'50'!$I$42</f>
        <v>8504.6</v>
      </c>
      <c r="G103" s="2012" t="s">
        <v>339</v>
      </c>
    </row>
    <row r="104" spans="1:7" ht="14.25" customHeight="1">
      <c r="A104" s="2011" t="s">
        <v>234</v>
      </c>
      <c r="B104" s="798">
        <v>5.7245572007236829</v>
      </c>
      <c r="C104" s="798">
        <f>(C103-B103)/B103%</f>
        <v>6.3713179590830951</v>
      </c>
      <c r="D104" s="798">
        <f>(D103-C103)/C103%</f>
        <v>3.4542195276469636</v>
      </c>
      <c r="E104" s="798">
        <f>(E103-D103)/D103%</f>
        <v>6.24850607007318</v>
      </c>
      <c r="F104" s="798">
        <f>(F103-E103)/E103%</f>
        <v>-16.083681479917356</v>
      </c>
      <c r="G104" s="2017" t="s">
        <v>1637</v>
      </c>
    </row>
    <row r="105" spans="1:7" ht="14.25" customHeight="1">
      <c r="A105" s="2015" t="s">
        <v>340</v>
      </c>
      <c r="B105" s="798">
        <v>23052.819148936171</v>
      </c>
      <c r="C105" s="798">
        <f>C103/0.376</f>
        <v>24521.587555447288</v>
      </c>
      <c r="D105" s="798">
        <f>D103/0.376</f>
        <v>25368.617021276597</v>
      </c>
      <c r="E105" s="798">
        <f>E103/0.376</f>
        <v>26953.776595744683</v>
      </c>
      <c r="F105" s="798">
        <f>F103/0.376</f>
        <v>22618.617021276597</v>
      </c>
      <c r="G105" s="2012" t="s">
        <v>341</v>
      </c>
    </row>
    <row r="106" spans="1:7" ht="20.25" customHeight="1">
      <c r="A106" s="2013" t="s">
        <v>342</v>
      </c>
      <c r="B106" s="2035"/>
      <c r="C106" s="2035"/>
      <c r="D106" s="2035"/>
      <c r="E106" s="2035"/>
      <c r="F106" s="2035"/>
      <c r="G106" s="2014" t="s">
        <v>343</v>
      </c>
    </row>
    <row r="107" spans="1:7" ht="14.25" customHeight="1">
      <c r="A107" s="2015" t="s">
        <v>344</v>
      </c>
      <c r="B107" s="798">
        <v>3564.9473046379217</v>
      </c>
      <c r="C107" s="798">
        <v>3710.2790334476745</v>
      </c>
      <c r="D107" s="798">
        <v>3647.577367988481</v>
      </c>
      <c r="E107" s="798">
        <v>3581.0438382873117</v>
      </c>
      <c r="F107" s="798"/>
      <c r="G107" s="2012" t="s">
        <v>345</v>
      </c>
    </row>
    <row r="108" spans="1:7" ht="14.25" hidden="1" customHeight="1">
      <c r="A108" s="2046" t="s">
        <v>346</v>
      </c>
      <c r="B108" s="2047"/>
      <c r="C108" s="2047"/>
      <c r="D108" s="2047"/>
      <c r="E108" s="2047"/>
      <c r="F108" s="2047"/>
      <c r="G108" s="2038" t="s">
        <v>347</v>
      </c>
    </row>
    <row r="109" spans="1:7" ht="20.25" customHeight="1">
      <c r="A109" s="2048" t="s">
        <v>348</v>
      </c>
      <c r="B109" s="405"/>
      <c r="C109" s="405"/>
      <c r="D109" s="405"/>
      <c r="E109" s="405"/>
      <c r="F109" s="405"/>
      <c r="G109" s="1774" t="s">
        <v>349</v>
      </c>
    </row>
    <row r="110" spans="1:7">
      <c r="A110" s="2049" t="s">
        <v>1643</v>
      </c>
      <c r="G110" s="2050" t="s">
        <v>1644</v>
      </c>
    </row>
    <row r="111" spans="1:7">
      <c r="G111" s="2051"/>
    </row>
    <row r="121" spans="2:6">
      <c r="B121" s="1496"/>
      <c r="C121" s="1496"/>
      <c r="D121" s="1496"/>
      <c r="E121" s="1496"/>
      <c r="F121" s="1496"/>
    </row>
  </sheetData>
  <mergeCells count="6">
    <mergeCell ref="A92:A95"/>
    <mergeCell ref="G92:G95"/>
    <mergeCell ref="G4:G7"/>
    <mergeCell ref="A4:A7"/>
    <mergeCell ref="A48:A51"/>
    <mergeCell ref="G48:G51"/>
  </mergeCells>
  <phoneticPr fontId="0" type="noConversion"/>
  <printOptions horizontalCentered="1"/>
  <pageMargins left="0" right="0" top="0.3" bottom="0" header="0.511811023622047" footer="0.511811023622047"/>
  <pageSetup paperSize="9" scale="80" orientation="landscape" horizontalDpi="300" verticalDpi="300" r:id="rId1"/>
  <headerFooter alignWithMargins="0"/>
  <rowBreaks count="1" manualBreakCount="1">
    <brk id="4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dimension ref="A1:R49"/>
  <sheetViews>
    <sheetView zoomScale="85" zoomScaleNormal="85" workbookViewId="0">
      <pane ySplit="12" topLeftCell="A41" activePane="bottomLeft" state="frozen"/>
      <selection activeCell="A49" sqref="A1:XFD1048576"/>
      <selection pane="bottomLeft" activeCell="A49" sqref="A1:XFD1048576"/>
    </sheetView>
  </sheetViews>
  <sheetFormatPr defaultColWidth="7.85546875" defaultRowHeight="12.75"/>
  <cols>
    <col min="1" max="2" width="9.28515625" style="160" customWidth="1"/>
    <col min="3" max="3" width="10.7109375" style="160" customWidth="1"/>
    <col min="4" max="4" width="12.7109375" style="160" customWidth="1"/>
    <col min="5" max="5" width="14" style="160" customWidth="1"/>
    <col min="6" max="6" width="9.7109375" style="160" customWidth="1"/>
    <col min="7" max="7" width="12" style="160" customWidth="1"/>
    <col min="8" max="8" width="11.42578125" style="160" customWidth="1"/>
    <col min="9" max="9" width="12.7109375" style="160" customWidth="1"/>
    <col min="10" max="10" width="13.7109375" style="160" customWidth="1"/>
    <col min="11" max="11" width="14" style="160" customWidth="1"/>
    <col min="12" max="12" width="12.42578125" style="160" customWidth="1"/>
    <col min="13" max="13" width="14.7109375" style="160" customWidth="1"/>
    <col min="14" max="14" width="12.7109375" style="160" customWidth="1"/>
    <col min="15" max="15" width="13.7109375" style="160" customWidth="1"/>
    <col min="16" max="16384" width="7.85546875" style="160"/>
  </cols>
  <sheetData>
    <row r="1" spans="1:18" s="406" customFormat="1" ht="18">
      <c r="A1" s="297" t="s">
        <v>1612</v>
      </c>
      <c r="B1" s="1455"/>
      <c r="C1" s="1169"/>
      <c r="D1" s="1169"/>
      <c r="E1" s="1169"/>
      <c r="F1" s="1169"/>
      <c r="G1" s="1169"/>
      <c r="H1" s="1169"/>
      <c r="I1" s="1169"/>
      <c r="J1" s="1169"/>
      <c r="K1" s="1169"/>
      <c r="L1" s="1169"/>
      <c r="M1" s="1169"/>
      <c r="N1" s="1169"/>
      <c r="O1" s="1169"/>
    </row>
    <row r="2" spans="1:18" s="406" customFormat="1" ht="18">
      <c r="A2" s="1423" t="s">
        <v>1029</v>
      </c>
      <c r="B2" s="1455"/>
      <c r="C2" s="1169"/>
      <c r="D2" s="1169"/>
      <c r="E2" s="1169"/>
      <c r="F2" s="1169"/>
      <c r="G2" s="1169"/>
      <c r="H2" s="1169"/>
      <c r="I2" s="1169"/>
      <c r="J2" s="1169"/>
      <c r="K2" s="1169"/>
      <c r="L2" s="1169"/>
      <c r="M2" s="1169"/>
      <c r="N2" s="1169"/>
      <c r="O2" s="1169"/>
    </row>
    <row r="3" spans="1:18" s="406" customFormat="1" ht="18">
      <c r="A3" s="297" t="s">
        <v>1019</v>
      </c>
      <c r="B3" s="1455"/>
      <c r="C3" s="1169"/>
      <c r="D3" s="1169"/>
      <c r="E3" s="1169"/>
      <c r="F3" s="1169"/>
      <c r="G3" s="1169"/>
      <c r="H3" s="1169"/>
      <c r="I3" s="1169"/>
      <c r="J3" s="1169"/>
      <c r="K3" s="1169"/>
      <c r="L3" s="1169"/>
      <c r="M3" s="1169"/>
      <c r="N3" s="1169"/>
      <c r="O3" s="1169"/>
    </row>
    <row r="4" spans="1:18" s="406" customFormat="1" ht="18">
      <c r="A4" s="1423" t="s">
        <v>359</v>
      </c>
      <c r="B4" s="1455"/>
      <c r="C4" s="1169"/>
      <c r="D4" s="1169"/>
      <c r="E4" s="1169"/>
      <c r="F4" s="1169"/>
      <c r="G4" s="1169"/>
      <c r="H4" s="1169"/>
      <c r="I4" s="1169"/>
      <c r="J4" s="1169"/>
      <c r="K4" s="1169"/>
      <c r="L4" s="1169"/>
      <c r="M4" s="1169"/>
      <c r="N4" s="1169"/>
      <c r="O4" s="1169"/>
    </row>
    <row r="5" spans="1:18" s="406" customFormat="1" ht="18">
      <c r="A5" s="297" t="s">
        <v>358</v>
      </c>
      <c r="B5" s="1455"/>
      <c r="C5" s="1169"/>
      <c r="D5" s="1169"/>
      <c r="E5" s="1169"/>
      <c r="F5" s="1169"/>
      <c r="G5" s="1169"/>
      <c r="H5" s="1169"/>
      <c r="I5" s="1169"/>
      <c r="J5" s="1169"/>
      <c r="K5" s="1169"/>
      <c r="L5" s="1169"/>
      <c r="M5" s="1169"/>
      <c r="N5" s="1169"/>
      <c r="O5" s="1169"/>
    </row>
    <row r="6" spans="1:18" ht="15">
      <c r="A6" s="1497" t="s">
        <v>778</v>
      </c>
      <c r="B6" s="1498"/>
      <c r="O6" s="1343" t="s">
        <v>779</v>
      </c>
    </row>
    <row r="7" spans="1:18" s="172" customFormat="1" ht="18" customHeight="1">
      <c r="A7" s="1499"/>
      <c r="B7" s="170"/>
      <c r="C7" s="1500" t="s">
        <v>824</v>
      </c>
      <c r="D7" s="171"/>
      <c r="E7" s="171"/>
      <c r="F7" s="171"/>
      <c r="G7" s="1501" t="s">
        <v>825</v>
      </c>
      <c r="H7" s="1502" t="s">
        <v>1013</v>
      </c>
      <c r="I7" s="171"/>
      <c r="J7" s="171"/>
      <c r="K7" s="171"/>
      <c r="L7" s="171"/>
      <c r="M7" s="1503" t="s">
        <v>1014</v>
      </c>
      <c r="N7" s="1504"/>
      <c r="O7" s="1505" t="s">
        <v>826</v>
      </c>
    </row>
    <row r="8" spans="1:18" s="1516" customFormat="1" ht="18" customHeight="1">
      <c r="A8" s="1506"/>
      <c r="B8" s="1507"/>
      <c r="C8" s="1508"/>
      <c r="D8" s="1509" t="s">
        <v>481</v>
      </c>
      <c r="E8" s="1509"/>
      <c r="F8" s="1510"/>
      <c r="G8" s="1511"/>
      <c r="H8" s="1506"/>
      <c r="I8" s="1512"/>
      <c r="J8" s="1512"/>
      <c r="K8" s="173" t="s">
        <v>989</v>
      </c>
      <c r="L8" s="1513"/>
      <c r="M8" s="1514"/>
      <c r="N8" s="1515" t="s">
        <v>827</v>
      </c>
      <c r="O8" s="1505" t="s">
        <v>801</v>
      </c>
    </row>
    <row r="9" spans="1:18" s="1516" customFormat="1" ht="18" customHeight="1">
      <c r="A9" s="27" t="s">
        <v>364</v>
      </c>
      <c r="B9" s="80"/>
      <c r="C9" s="1508" t="s">
        <v>418</v>
      </c>
      <c r="D9" s="1517" t="s">
        <v>781</v>
      </c>
      <c r="E9" s="1509" t="s">
        <v>376</v>
      </c>
      <c r="F9" s="1509" t="s">
        <v>377</v>
      </c>
      <c r="G9" s="397" t="s">
        <v>1016</v>
      </c>
      <c r="H9" s="1508" t="s">
        <v>418</v>
      </c>
      <c r="I9" s="1509" t="s">
        <v>845</v>
      </c>
      <c r="J9" s="1509" t="s">
        <v>808</v>
      </c>
      <c r="K9" s="1509" t="s">
        <v>991</v>
      </c>
      <c r="L9" s="397" t="s">
        <v>377</v>
      </c>
      <c r="M9" s="397" t="s">
        <v>367</v>
      </c>
      <c r="N9" s="1515" t="s">
        <v>359</v>
      </c>
      <c r="O9" s="1518" t="s">
        <v>804</v>
      </c>
    </row>
    <row r="10" spans="1:18" s="1516" customFormat="1" ht="18" customHeight="1">
      <c r="A10" s="1519" t="s">
        <v>372</v>
      </c>
      <c r="B10" s="1520"/>
      <c r="C10" s="1521"/>
      <c r="D10" s="400" t="s">
        <v>784</v>
      </c>
      <c r="E10" s="400" t="s">
        <v>455</v>
      </c>
      <c r="F10" s="400"/>
      <c r="G10" s="400"/>
      <c r="H10" s="1521"/>
      <c r="I10" s="1520"/>
      <c r="J10" s="1522"/>
      <c r="K10" s="400" t="s">
        <v>995</v>
      </c>
      <c r="L10" s="400"/>
      <c r="M10" s="400"/>
      <c r="N10" s="1523" t="s">
        <v>378</v>
      </c>
      <c r="O10" s="1518" t="s">
        <v>1022</v>
      </c>
    </row>
    <row r="11" spans="1:18" s="1516" customFormat="1" ht="18" customHeight="1">
      <c r="A11" s="1519"/>
      <c r="B11" s="1520"/>
      <c r="C11" s="1521" t="s">
        <v>391</v>
      </c>
      <c r="D11" s="400" t="s">
        <v>786</v>
      </c>
      <c r="E11" s="400" t="s">
        <v>486</v>
      </c>
      <c r="F11" s="400" t="s">
        <v>385</v>
      </c>
      <c r="G11" s="400" t="s">
        <v>378</v>
      </c>
      <c r="H11" s="1521" t="s">
        <v>391</v>
      </c>
      <c r="I11" s="400" t="s">
        <v>786</v>
      </c>
      <c r="J11" s="400" t="s">
        <v>815</v>
      </c>
      <c r="K11" s="400" t="s">
        <v>1000</v>
      </c>
      <c r="L11" s="400" t="s">
        <v>385</v>
      </c>
      <c r="M11" s="400" t="s">
        <v>378</v>
      </c>
      <c r="N11" s="1523" t="s">
        <v>358</v>
      </c>
      <c r="O11" s="1518" t="s">
        <v>6</v>
      </c>
    </row>
    <row r="12" spans="1:18" s="1516" customFormat="1" ht="18" customHeight="1">
      <c r="A12" s="1524"/>
      <c r="B12" s="1525"/>
      <c r="C12" s="1526" t="s">
        <v>812</v>
      </c>
      <c r="D12" s="1527"/>
      <c r="E12" s="1527"/>
      <c r="F12" s="1527" t="s">
        <v>813</v>
      </c>
      <c r="G12" s="1528"/>
      <c r="H12" s="1529"/>
      <c r="I12" s="1528"/>
      <c r="J12" s="1528"/>
      <c r="K12" s="1528"/>
      <c r="L12" s="1527" t="s">
        <v>813</v>
      </c>
      <c r="M12" s="1528"/>
      <c r="N12" s="1530"/>
      <c r="O12" s="1527" t="s">
        <v>1030</v>
      </c>
    </row>
    <row r="13" spans="1:18" s="327" customFormat="1" ht="20.25" customHeight="1">
      <c r="A13" s="432">
        <v>2010</v>
      </c>
      <c r="B13" s="553"/>
      <c r="C13" s="1531">
        <v>8624.176749773349</v>
      </c>
      <c r="D13" s="1532">
        <v>994.7435182735212</v>
      </c>
      <c r="E13" s="984">
        <v>550.68855457882717</v>
      </c>
      <c r="F13" s="1533">
        <v>5228.3596063659252</v>
      </c>
      <c r="G13" s="1534">
        <v>15397.968708161623</v>
      </c>
      <c r="H13" s="1534">
        <v>41553.439594657946</v>
      </c>
      <c r="I13" s="1535">
        <v>32292.155001350802</v>
      </c>
      <c r="J13" s="1536">
        <v>4297.6295</v>
      </c>
      <c r="K13" s="1537">
        <v>46960.482680645982</v>
      </c>
      <c r="L13" s="1534">
        <v>16223.088047560048</v>
      </c>
      <c r="M13" s="1478">
        <v>141326.79482421477</v>
      </c>
      <c r="N13" s="1535">
        <v>156724.76353237644</v>
      </c>
      <c r="O13" s="1538">
        <v>31381.685919969997</v>
      </c>
      <c r="P13" s="1539">
        <f>G13-C13-D13-E13-F13</f>
        <v>2.791700007946929E-4</v>
      </c>
      <c r="Q13" s="1540">
        <f>M13-H13-I13-J13-K13-L13</f>
        <v>0</v>
      </c>
      <c r="R13" s="1539">
        <f>N13-G13-M13</f>
        <v>0</v>
      </c>
    </row>
    <row r="14" spans="1:18" s="435" customFormat="1" ht="14.25" customHeight="1">
      <c r="A14" s="380">
        <v>2011</v>
      </c>
      <c r="B14" s="1378"/>
      <c r="C14" s="947">
        <v>5614.9083379144868</v>
      </c>
      <c r="D14" s="776">
        <v>935.87644466798292</v>
      </c>
      <c r="E14" s="774">
        <v>313.80616695476829</v>
      </c>
      <c r="F14" s="812">
        <v>5962.0452223251077</v>
      </c>
      <c r="G14" s="775">
        <v>12826.636171862345</v>
      </c>
      <c r="H14" s="775">
        <v>33697.648400816965</v>
      </c>
      <c r="I14" s="793">
        <v>19728.506243395321</v>
      </c>
      <c r="J14" s="865">
        <v>3640.2586417400003</v>
      </c>
      <c r="K14" s="801">
        <v>42821.57507251278</v>
      </c>
      <c r="L14" s="775">
        <v>17021.580706789417</v>
      </c>
      <c r="M14" s="750">
        <v>116909.56706525449</v>
      </c>
      <c r="N14" s="777">
        <v>129736.20323711683</v>
      </c>
      <c r="O14" s="901">
        <v>30981.306078379996</v>
      </c>
      <c r="P14" s="1539">
        <v>0</v>
      </c>
      <c r="Q14" s="1540">
        <v>-1.9999999894935172E-3</v>
      </c>
      <c r="R14" s="1539">
        <v>0</v>
      </c>
    </row>
    <row r="15" spans="1:18" s="435" customFormat="1" ht="14.25" customHeight="1">
      <c r="A15" s="380">
        <v>2012</v>
      </c>
      <c r="B15" s="1378"/>
      <c r="C15" s="947">
        <v>5376.1139531041244</v>
      </c>
      <c r="D15" s="776">
        <v>799.91854706841718</v>
      </c>
      <c r="E15" s="774">
        <v>445.00775167534869</v>
      </c>
      <c r="F15" s="812">
        <v>4737.9962243474893</v>
      </c>
      <c r="G15" s="775">
        <v>11359.036476195382</v>
      </c>
      <c r="H15" s="775">
        <v>29390.645606562714</v>
      </c>
      <c r="I15" s="793">
        <v>20955.880828096255</v>
      </c>
      <c r="J15" s="865">
        <v>2899.7147787499998</v>
      </c>
      <c r="K15" s="801">
        <v>30468.315051081387</v>
      </c>
      <c r="L15" s="775">
        <v>19537.15386565261</v>
      </c>
      <c r="M15" s="750">
        <v>103251.66013014296</v>
      </c>
      <c r="N15" s="777">
        <v>114610.74660633835</v>
      </c>
      <c r="O15" s="901">
        <v>31123.476665340004</v>
      </c>
      <c r="P15" s="1539">
        <v>0</v>
      </c>
      <c r="Q15" s="1540">
        <v>-5.0000000002910383E-2</v>
      </c>
      <c r="R15" s="1539">
        <v>5.0000000002910383E-2</v>
      </c>
    </row>
    <row r="16" spans="1:18" s="435" customFormat="1" ht="14.25" customHeight="1">
      <c r="A16" s="380">
        <v>2013</v>
      </c>
      <c r="B16" s="1378"/>
      <c r="C16" s="947">
        <v>4192.0670634969119</v>
      </c>
      <c r="D16" s="776">
        <v>757.0024855232715</v>
      </c>
      <c r="E16" s="774">
        <v>414.89963362215912</v>
      </c>
      <c r="F16" s="812">
        <v>4843.7341682481092</v>
      </c>
      <c r="G16" s="775">
        <v>10207.710817307401</v>
      </c>
      <c r="H16" s="775">
        <v>30308.679981904512</v>
      </c>
      <c r="I16" s="793">
        <v>27625.379818316582</v>
      </c>
      <c r="J16" s="865">
        <v>2453.7311839999998</v>
      </c>
      <c r="K16" s="801">
        <v>28210.451028612973</v>
      </c>
      <c r="L16" s="775">
        <v>17879.739628604286</v>
      </c>
      <c r="M16" s="750">
        <v>106477.9648927567</v>
      </c>
      <c r="N16" s="777">
        <v>116685.67571006413</v>
      </c>
      <c r="O16" s="901">
        <v>33859.748909142385</v>
      </c>
      <c r="P16" s="1539">
        <v>7.4664169496827526E-3</v>
      </c>
      <c r="Q16" s="1540">
        <v>-1.6748681642638985E-2</v>
      </c>
      <c r="R16" s="1539">
        <v>0</v>
      </c>
    </row>
    <row r="17" spans="1:18" s="435" customFormat="1" ht="14.25" customHeight="1">
      <c r="A17" s="380">
        <v>2014</v>
      </c>
      <c r="B17" s="1378"/>
      <c r="C17" s="947">
        <v>5120.4078846251168</v>
      </c>
      <c r="D17" s="776">
        <v>623.28331436892267</v>
      </c>
      <c r="E17" s="774">
        <v>282.30998181478685</v>
      </c>
      <c r="F17" s="812">
        <v>4090.693954573374</v>
      </c>
      <c r="G17" s="775">
        <v>10116.695135382201</v>
      </c>
      <c r="H17" s="775">
        <v>31623.120104949521</v>
      </c>
      <c r="I17" s="793">
        <v>25282.489988762918</v>
      </c>
      <c r="J17" s="865">
        <v>2137.9804282082828</v>
      </c>
      <c r="K17" s="801">
        <v>21281.829296491291</v>
      </c>
      <c r="L17" s="775">
        <v>18842.427775880577</v>
      </c>
      <c r="M17" s="750">
        <v>99167.797594292584</v>
      </c>
      <c r="N17" s="777">
        <v>109284.49272967481</v>
      </c>
      <c r="O17" s="901">
        <v>41794.068802835493</v>
      </c>
      <c r="P17" s="1539">
        <v>0</v>
      </c>
      <c r="Q17" s="1540">
        <v>-4.9999999995634425E-2</v>
      </c>
      <c r="R17" s="1539">
        <v>0</v>
      </c>
    </row>
    <row r="18" spans="1:18" s="435" customFormat="1" ht="14.25" customHeight="1">
      <c r="A18" s="380">
        <v>2015</v>
      </c>
      <c r="B18" s="1378"/>
      <c r="C18" s="947">
        <v>4769.3747938611141</v>
      </c>
      <c r="D18" s="776">
        <v>476.76634609297935</v>
      </c>
      <c r="E18" s="774">
        <v>190.10322301637086</v>
      </c>
      <c r="F18" s="812">
        <v>4165.6299302274019</v>
      </c>
      <c r="G18" s="775">
        <v>9601.9242931978661</v>
      </c>
      <c r="H18" s="775">
        <v>34277.310173194819</v>
      </c>
      <c r="I18" s="793">
        <v>23872.12348408554</v>
      </c>
      <c r="J18" s="865">
        <v>1768.0208966356188</v>
      </c>
      <c r="K18" s="801">
        <v>19988.5227075812</v>
      </c>
      <c r="L18" s="775">
        <v>19305.965289367159</v>
      </c>
      <c r="M18" s="750">
        <v>99211.89255086433</v>
      </c>
      <c r="N18" s="777">
        <v>108813.81684406221</v>
      </c>
      <c r="O18" s="901">
        <v>38417.914977183013</v>
      </c>
      <c r="P18" s="1539">
        <v>4.9999999999272404E-2</v>
      </c>
      <c r="Q18" s="1540">
        <v>-5.0000000010186341E-2</v>
      </c>
      <c r="R18" s="1539">
        <v>0</v>
      </c>
    </row>
    <row r="19" spans="1:18" s="435" customFormat="1" ht="14.25" customHeight="1">
      <c r="A19" s="380">
        <v>2016</v>
      </c>
      <c r="B19" s="1378"/>
      <c r="C19" s="947">
        <v>5472.3688273343332</v>
      </c>
      <c r="D19" s="776">
        <v>621.10597751084401</v>
      </c>
      <c r="E19" s="774">
        <v>170.37068374842158</v>
      </c>
      <c r="F19" s="812">
        <v>3986.2553988007721</v>
      </c>
      <c r="G19" s="775">
        <v>10250.150887394373</v>
      </c>
      <c r="H19" s="775">
        <v>29375.981750743947</v>
      </c>
      <c r="I19" s="793">
        <v>22800.963024890541</v>
      </c>
      <c r="J19" s="865">
        <v>889.49317901572408</v>
      </c>
      <c r="K19" s="801">
        <v>23243.034781728056</v>
      </c>
      <c r="L19" s="775">
        <v>16476.189297391775</v>
      </c>
      <c r="M19" s="750">
        <v>92785.662033770044</v>
      </c>
      <c r="N19" s="777">
        <v>103035.86292116441</v>
      </c>
      <c r="O19" s="901">
        <v>45198.819711732496</v>
      </c>
      <c r="P19" s="1539">
        <v>5.0000000002000888E-2</v>
      </c>
      <c r="Q19" s="1540">
        <v>0</v>
      </c>
      <c r="R19" s="1539">
        <v>5.0000000002910383E-2</v>
      </c>
    </row>
    <row r="20" spans="1:18" s="435" customFormat="1" ht="14.25" customHeight="1">
      <c r="A20" s="380">
        <v>2017</v>
      </c>
      <c r="B20" s="1378"/>
      <c r="C20" s="947">
        <v>5025.098498332788</v>
      </c>
      <c r="D20" s="776">
        <v>872.4821147620022</v>
      </c>
      <c r="E20" s="774">
        <v>201.86325861635936</v>
      </c>
      <c r="F20" s="812">
        <v>4310.0438679272957</v>
      </c>
      <c r="G20" s="775">
        <v>10409.487739638445</v>
      </c>
      <c r="H20" s="775">
        <v>27334.166198318475</v>
      </c>
      <c r="I20" s="793">
        <v>22452.848351277913</v>
      </c>
      <c r="J20" s="865">
        <v>536.98968766308599</v>
      </c>
      <c r="K20" s="801">
        <v>26363.573125527524</v>
      </c>
      <c r="L20" s="775">
        <v>16865.395555478983</v>
      </c>
      <c r="M20" s="750">
        <v>93552.972918265994</v>
      </c>
      <c r="N20" s="777">
        <v>103962.46065790442</v>
      </c>
      <c r="O20" s="901">
        <v>35096.268653169369</v>
      </c>
      <c r="P20" s="1539">
        <v>0</v>
      </c>
      <c r="Q20" s="1540">
        <v>0</v>
      </c>
      <c r="R20" s="1539">
        <v>0</v>
      </c>
    </row>
    <row r="21" spans="1:18" s="411" customFormat="1" ht="14.25" customHeight="1">
      <c r="A21" s="905">
        <v>2018</v>
      </c>
      <c r="B21" s="906"/>
      <c r="C21" s="947">
        <f t="shared" ref="C21:O21" si="0">C25</f>
        <v>4895.4357257052889</v>
      </c>
      <c r="D21" s="776">
        <f t="shared" si="0"/>
        <v>1122.3581754469355</v>
      </c>
      <c r="E21" s="774">
        <f t="shared" si="0"/>
        <v>98.556526336243039</v>
      </c>
      <c r="F21" s="812">
        <f t="shared" si="0"/>
        <v>4354.6995856818785</v>
      </c>
      <c r="G21" s="775">
        <f t="shared" si="0"/>
        <v>10471.060013170347</v>
      </c>
      <c r="H21" s="775">
        <f t="shared" si="0"/>
        <v>28238.359348410253</v>
      </c>
      <c r="I21" s="793">
        <f t="shared" si="0"/>
        <v>21561.610907274004</v>
      </c>
      <c r="J21" s="865">
        <f t="shared" si="0"/>
        <v>3.1446406811759999</v>
      </c>
      <c r="K21" s="801">
        <f t="shared" si="0"/>
        <v>28716.625204093187</v>
      </c>
      <c r="L21" s="775">
        <f t="shared" si="0"/>
        <v>17038.901911210534</v>
      </c>
      <c r="M21" s="750">
        <f t="shared" si="0"/>
        <v>95558.643011669163</v>
      </c>
      <c r="N21" s="777">
        <f t="shared" si="0"/>
        <v>106029.67378658651</v>
      </c>
      <c r="O21" s="901">
        <f t="shared" si="0"/>
        <v>29736.504306127077</v>
      </c>
      <c r="P21" s="946">
        <f>G21-C21-D21-E21-F21</f>
        <v>1.0000000000218279E-2</v>
      </c>
      <c r="Q21" s="948">
        <f>M21-H21-I21-J21-K21-L21</f>
        <v>1.000000014755642E-3</v>
      </c>
      <c r="R21" s="946">
        <f>N21-G21-M21</f>
        <v>-2.923825298785232E-2</v>
      </c>
    </row>
    <row r="22" spans="1:18" s="411" customFormat="1" ht="14.25" customHeight="1">
      <c r="A22" s="1193">
        <v>2019</v>
      </c>
      <c r="B22" s="1483"/>
      <c r="C22" s="1541">
        <f t="shared" ref="C22:O22" si="1">C29</f>
        <v>5562.5000579657335</v>
      </c>
      <c r="D22" s="1542">
        <f t="shared" si="1"/>
        <v>807.22339510005702</v>
      </c>
      <c r="E22" s="1543">
        <f t="shared" si="1"/>
        <v>390.16756657750477</v>
      </c>
      <c r="F22" s="1544">
        <f t="shared" si="1"/>
        <v>5104.2828140965767</v>
      </c>
      <c r="G22" s="1545">
        <f t="shared" si="1"/>
        <v>11864.173826929073</v>
      </c>
      <c r="H22" s="1545">
        <f t="shared" si="1"/>
        <v>30443.485140361805</v>
      </c>
      <c r="I22" s="1546">
        <f t="shared" si="1"/>
        <v>22182.69966964583</v>
      </c>
      <c r="J22" s="1547">
        <f t="shared" si="1"/>
        <v>538.57512067803589</v>
      </c>
      <c r="K22" s="1548">
        <f t="shared" si="1"/>
        <v>30907.858002213099</v>
      </c>
      <c r="L22" s="1545">
        <f t="shared" si="1"/>
        <v>14901.316629968631</v>
      </c>
      <c r="M22" s="1485">
        <f t="shared" si="1"/>
        <v>98973.964562867404</v>
      </c>
      <c r="N22" s="1549">
        <f t="shared" si="1"/>
        <v>110838.15874899647</v>
      </c>
      <c r="O22" s="1550">
        <f t="shared" si="1"/>
        <v>21905.784079995654</v>
      </c>
      <c r="P22" s="946">
        <f>G22-C22-D22-E22-F22</f>
        <v>-6.8107992774457671E-6</v>
      </c>
      <c r="Q22" s="948">
        <f>M22-H22-I22-J22-K22-L22</f>
        <v>3.0000000002473826E-2</v>
      </c>
      <c r="R22" s="946">
        <f>N22-G22-M22</f>
        <v>2.0359200003440492E-2</v>
      </c>
    </row>
    <row r="23" spans="1:18" s="411" customFormat="1" ht="20.25" customHeight="1">
      <c r="A23" s="905">
        <v>2018</v>
      </c>
      <c r="B23" s="906" t="s">
        <v>223</v>
      </c>
      <c r="C23" s="947">
        <v>4788.3251857803434</v>
      </c>
      <c r="D23" s="776">
        <v>1220.6455869179183</v>
      </c>
      <c r="E23" s="774">
        <v>187.69719853183491</v>
      </c>
      <c r="F23" s="812">
        <v>4149.9555661831046</v>
      </c>
      <c r="G23" s="775">
        <v>10346.613537413201</v>
      </c>
      <c r="H23" s="775">
        <v>26967.698661629591</v>
      </c>
      <c r="I23" s="793">
        <v>22726.45955149829</v>
      </c>
      <c r="J23" s="865">
        <v>12.919853210002001</v>
      </c>
      <c r="K23" s="801">
        <v>25872.986202576831</v>
      </c>
      <c r="L23" s="775">
        <v>16909.518433710389</v>
      </c>
      <c r="M23" s="750">
        <v>92489.562702625088</v>
      </c>
      <c r="N23" s="777">
        <v>102836.16751403832</v>
      </c>
      <c r="O23" s="901">
        <v>32166.929099231555</v>
      </c>
      <c r="P23" s="946">
        <f t="shared" ref="P23" si="2">G23-C23-D23-E23-F23</f>
        <v>-1.0000000000218279E-2</v>
      </c>
      <c r="Q23" s="948">
        <f t="shared" ref="Q23" si="3">M23-H23-I23-J23-K23-L23</f>
        <v>-2.000000002226443E-2</v>
      </c>
      <c r="R23" s="946">
        <f t="shared" ref="R23" si="4">N23-G23-M23</f>
        <v>-8.7259999709203839E-3</v>
      </c>
    </row>
    <row r="24" spans="1:18" s="411" customFormat="1" ht="14.25" customHeight="1">
      <c r="A24" s="905"/>
      <c r="B24" s="906" t="s">
        <v>224</v>
      </c>
      <c r="C24" s="947">
        <v>4919.4646848396424</v>
      </c>
      <c r="D24" s="776">
        <v>1282.1166697227102</v>
      </c>
      <c r="E24" s="774">
        <v>151.71968141576548</v>
      </c>
      <c r="F24" s="812">
        <v>4369.6880788564558</v>
      </c>
      <c r="G24" s="775">
        <v>10722.989114834574</v>
      </c>
      <c r="H24" s="775">
        <v>27596.009404489814</v>
      </c>
      <c r="I24" s="793">
        <v>24096.080500727207</v>
      </c>
      <c r="J24" s="865">
        <v>2.2752090025480003</v>
      </c>
      <c r="K24" s="801">
        <v>27264.1340555018</v>
      </c>
      <c r="L24" s="775">
        <v>17482.732339608814</v>
      </c>
      <c r="M24" s="750">
        <v>96441.193509330187</v>
      </c>
      <c r="N24" s="777">
        <v>107164.17337319376</v>
      </c>
      <c r="O24" s="901">
        <v>33419.068160028983</v>
      </c>
      <c r="P24" s="946">
        <v>0</v>
      </c>
      <c r="Q24" s="948">
        <v>-3.7999999993189704E-2</v>
      </c>
      <c r="R24" s="946">
        <v>-9.250971008441411E-3</v>
      </c>
    </row>
    <row r="25" spans="1:18" s="411" customFormat="1" ht="14.25" customHeight="1">
      <c r="A25" s="905"/>
      <c r="B25" s="906" t="s">
        <v>225</v>
      </c>
      <c r="C25" s="947">
        <v>4895.4357257052889</v>
      </c>
      <c r="D25" s="776">
        <v>1122.3581754469355</v>
      </c>
      <c r="E25" s="774">
        <v>98.556526336243039</v>
      </c>
      <c r="F25" s="812">
        <v>4354.6995856818785</v>
      </c>
      <c r="G25" s="775">
        <v>10471.060013170347</v>
      </c>
      <c r="H25" s="775">
        <v>28238.359348410253</v>
      </c>
      <c r="I25" s="793">
        <v>21561.610907274004</v>
      </c>
      <c r="J25" s="865">
        <v>3.1446406811759999</v>
      </c>
      <c r="K25" s="801">
        <v>28716.625204093187</v>
      </c>
      <c r="L25" s="775">
        <v>17038.901911210534</v>
      </c>
      <c r="M25" s="750">
        <v>95558.643011669163</v>
      </c>
      <c r="N25" s="777">
        <v>106029.67378658651</v>
      </c>
      <c r="O25" s="901">
        <v>29736.504306127077</v>
      </c>
      <c r="P25" s="946">
        <v>1.0000000000218279E-2</v>
      </c>
      <c r="Q25" s="948">
        <v>1.000000014755642E-3</v>
      </c>
      <c r="R25" s="946">
        <v>-2.923825298785232E-2</v>
      </c>
    </row>
    <row r="26" spans="1:18" s="411" customFormat="1" ht="20.25" customHeight="1">
      <c r="A26" s="905">
        <v>2019</v>
      </c>
      <c r="B26" s="906" t="s">
        <v>222</v>
      </c>
      <c r="C26" s="947">
        <v>4852.688964677347</v>
      </c>
      <c r="D26" s="776">
        <v>1918.7308436362573</v>
      </c>
      <c r="E26" s="774">
        <v>240.69893289024452</v>
      </c>
      <c r="F26" s="812">
        <v>4589.5897874426728</v>
      </c>
      <c r="G26" s="775">
        <v>11601.74852864652</v>
      </c>
      <c r="H26" s="775">
        <v>29573.019280403554</v>
      </c>
      <c r="I26" s="793">
        <v>23389.811922926492</v>
      </c>
      <c r="J26" s="865">
        <v>1071.9616401071892</v>
      </c>
      <c r="K26" s="801">
        <v>33414.654637491578</v>
      </c>
      <c r="L26" s="775">
        <v>16730.608763147196</v>
      </c>
      <c r="M26" s="750">
        <v>104180.086244076</v>
      </c>
      <c r="N26" s="777">
        <v>115781.83477272252</v>
      </c>
      <c r="O26" s="901">
        <v>27371.753913535365</v>
      </c>
      <c r="P26" s="946">
        <v>3.9999999998144631E-2</v>
      </c>
      <c r="Q26" s="948">
        <v>2.9999999977007974E-2</v>
      </c>
      <c r="R26" s="946">
        <v>0</v>
      </c>
    </row>
    <row r="27" spans="1:18" s="411" customFormat="1" ht="14.25" customHeight="1">
      <c r="A27" s="905"/>
      <c r="B27" s="906" t="s">
        <v>223</v>
      </c>
      <c r="C27" s="947">
        <f t="shared" ref="C27:O27" si="5">C33</f>
        <v>5197.1224130491364</v>
      </c>
      <c r="D27" s="776">
        <f t="shared" si="5"/>
        <v>837.11617840186977</v>
      </c>
      <c r="E27" s="774">
        <f t="shared" si="5"/>
        <v>236.05928537574579</v>
      </c>
      <c r="F27" s="812">
        <f t="shared" si="5"/>
        <v>5134.0069932439055</v>
      </c>
      <c r="G27" s="775">
        <f t="shared" si="5"/>
        <v>11404.304870070657</v>
      </c>
      <c r="H27" s="775">
        <f t="shared" si="5"/>
        <v>31250.795862026178</v>
      </c>
      <c r="I27" s="793">
        <f t="shared" si="5"/>
        <v>19449.224328242883</v>
      </c>
      <c r="J27" s="865">
        <f t="shared" si="5"/>
        <v>536.999301860846</v>
      </c>
      <c r="K27" s="801">
        <f t="shared" si="5"/>
        <v>33779.32619289482</v>
      </c>
      <c r="L27" s="775">
        <f t="shared" si="5"/>
        <v>15129.78379852816</v>
      </c>
      <c r="M27" s="750">
        <f t="shared" si="5"/>
        <v>100146.1297874689</v>
      </c>
      <c r="N27" s="777">
        <f t="shared" si="5"/>
        <v>111550.42465753957</v>
      </c>
      <c r="O27" s="901">
        <f t="shared" si="5"/>
        <v>23010.274594912327</v>
      </c>
      <c r="P27" s="946">
        <f t="shared" ref="P27" si="6">G27-C27-D27-E27-F27</f>
        <v>0</v>
      </c>
      <c r="Q27" s="948">
        <f t="shared" ref="Q27" si="7">M27-H27-I27-J27-K27-L27</f>
        <v>3.0391602012969088E-4</v>
      </c>
      <c r="R27" s="946">
        <f t="shared" ref="R27" si="8">N27-G27-M27</f>
        <v>-9.9999999947613105E-3</v>
      </c>
    </row>
    <row r="28" spans="1:18" s="411" customFormat="1" ht="14.25" customHeight="1">
      <c r="A28" s="905"/>
      <c r="B28" s="906" t="s">
        <v>224</v>
      </c>
      <c r="C28" s="947">
        <f t="shared" ref="C28:O28" si="9">C36</f>
        <v>5717.3294162450893</v>
      </c>
      <c r="D28" s="776">
        <f t="shared" si="9"/>
        <v>968.07098153112452</v>
      </c>
      <c r="E28" s="774">
        <f t="shared" si="9"/>
        <v>348.70171049120881</v>
      </c>
      <c r="F28" s="812">
        <f t="shared" si="9"/>
        <v>4979.1344615561529</v>
      </c>
      <c r="G28" s="775">
        <f t="shared" si="9"/>
        <v>12013.236569823577</v>
      </c>
      <c r="H28" s="775">
        <f t="shared" si="9"/>
        <v>30471.748843974965</v>
      </c>
      <c r="I28" s="793">
        <f t="shared" si="9"/>
        <v>20620.401107532605</v>
      </c>
      <c r="J28" s="865">
        <f t="shared" si="9"/>
        <v>536.77992005696785</v>
      </c>
      <c r="K28" s="801">
        <f t="shared" si="9"/>
        <v>31422.393604603301</v>
      </c>
      <c r="L28" s="775">
        <f t="shared" si="9"/>
        <v>14788.684976961249</v>
      </c>
      <c r="M28" s="750">
        <f t="shared" si="9"/>
        <v>97840.008453129078</v>
      </c>
      <c r="N28" s="777">
        <f t="shared" si="9"/>
        <v>109853.23502295266</v>
      </c>
      <c r="O28" s="901">
        <f t="shared" si="9"/>
        <v>22386.999625166347</v>
      </c>
      <c r="P28" s="946">
        <f t="shared" ref="P28" si="10">G28-C28-D28-E28-F28</f>
        <v>0</v>
      </c>
      <c r="Q28" s="948">
        <f t="shared" ref="Q28" si="11">M28-H28-I28-J28-K28-L28</f>
        <v>-1.4551915228366852E-11</v>
      </c>
      <c r="R28" s="946">
        <f t="shared" ref="R28" si="12">N28-G28-M28</f>
        <v>-9.9999999947613105E-3</v>
      </c>
    </row>
    <row r="29" spans="1:18" s="411" customFormat="1" ht="14.25" customHeight="1">
      <c r="A29" s="905"/>
      <c r="B29" s="906" t="s">
        <v>225</v>
      </c>
      <c r="C29" s="947">
        <f t="shared" ref="C29:O29" si="13">C39</f>
        <v>5562.5000579657335</v>
      </c>
      <c r="D29" s="776">
        <f t="shared" si="13"/>
        <v>807.22339510005702</v>
      </c>
      <c r="E29" s="774">
        <f t="shared" si="13"/>
        <v>390.16756657750477</v>
      </c>
      <c r="F29" s="812">
        <f t="shared" si="13"/>
        <v>5104.2828140965767</v>
      </c>
      <c r="G29" s="775">
        <f t="shared" si="13"/>
        <v>11864.173826929073</v>
      </c>
      <c r="H29" s="775">
        <f t="shared" si="13"/>
        <v>30443.485140361805</v>
      </c>
      <c r="I29" s="793">
        <f t="shared" si="13"/>
        <v>22182.69966964583</v>
      </c>
      <c r="J29" s="865">
        <f t="shared" si="13"/>
        <v>538.57512067803589</v>
      </c>
      <c r="K29" s="801">
        <f t="shared" si="13"/>
        <v>30907.858002213099</v>
      </c>
      <c r="L29" s="775">
        <f t="shared" si="13"/>
        <v>14901.316629968631</v>
      </c>
      <c r="M29" s="750">
        <f t="shared" si="13"/>
        <v>98973.964562867404</v>
      </c>
      <c r="N29" s="777">
        <f t="shared" si="13"/>
        <v>110838.15874899647</v>
      </c>
      <c r="O29" s="901">
        <f t="shared" si="13"/>
        <v>21905.784079995654</v>
      </c>
      <c r="P29" s="946">
        <f t="shared" ref="P29" si="14">G29-C29-D29-E29-F29</f>
        <v>-6.8107992774457671E-6</v>
      </c>
      <c r="Q29" s="948">
        <f t="shared" ref="Q29" si="15">M29-H29-I29-J29-K29-L29</f>
        <v>3.0000000002473826E-2</v>
      </c>
      <c r="R29" s="946">
        <f t="shared" ref="R29" si="16">N29-G29-M29</f>
        <v>2.0359200003440492E-2</v>
      </c>
    </row>
    <row r="30" spans="1:18" s="411" customFormat="1" ht="21" customHeight="1">
      <c r="A30" s="1193">
        <v>2020</v>
      </c>
      <c r="B30" s="1483" t="s">
        <v>222</v>
      </c>
      <c r="C30" s="1541">
        <f t="shared" ref="C30:O30" si="17">C42</f>
        <v>6862.7248124438011</v>
      </c>
      <c r="D30" s="1542">
        <f t="shared" si="17"/>
        <v>957.43176757278684</v>
      </c>
      <c r="E30" s="1543">
        <f t="shared" si="17"/>
        <v>417.49367833097239</v>
      </c>
      <c r="F30" s="1544">
        <f t="shared" si="17"/>
        <v>5500.7629544063775</v>
      </c>
      <c r="G30" s="1545">
        <f t="shared" si="17"/>
        <v>13738.413205943138</v>
      </c>
      <c r="H30" s="1545">
        <f t="shared" si="17"/>
        <v>29896.882537002792</v>
      </c>
      <c r="I30" s="1546">
        <f t="shared" si="17"/>
        <v>22795.149524410168</v>
      </c>
      <c r="J30" s="1547">
        <f t="shared" si="17"/>
        <v>537.20977937694795</v>
      </c>
      <c r="K30" s="1548">
        <f t="shared" si="17"/>
        <v>34237.356225227799</v>
      </c>
      <c r="L30" s="1545">
        <f t="shared" si="17"/>
        <v>14538.757558049383</v>
      </c>
      <c r="M30" s="1485">
        <f t="shared" si="17"/>
        <v>102005.36562406708</v>
      </c>
      <c r="N30" s="1549">
        <f t="shared" si="17"/>
        <v>115743.76883001025</v>
      </c>
      <c r="O30" s="1550">
        <f t="shared" si="17"/>
        <v>22043.673328749701</v>
      </c>
      <c r="P30" s="946">
        <f t="shared" ref="P30" si="18">G30-C30-D30-E30-F30</f>
        <v>-6.8108001869404688E-6</v>
      </c>
      <c r="Q30" s="948">
        <f t="shared" ref="Q30" si="19">M30-H30-I30-J30-K30-L30</f>
        <v>9.9999999911233317E-3</v>
      </c>
      <c r="R30" s="946">
        <f t="shared" ref="R30" si="20">N30-G30-M30</f>
        <v>-9.9999999802093953E-3</v>
      </c>
    </row>
    <row r="31" spans="1:18" s="411" customFormat="1" ht="20.25" customHeight="1">
      <c r="A31" s="905">
        <v>2019</v>
      </c>
      <c r="B31" s="906" t="s">
        <v>399</v>
      </c>
      <c r="C31" s="947">
        <f>SUM('[45]1'!$C$14:$D$14)+SUM('[45]1'!$C$18:$D$18)+SUM('[45]1'!$C$30:$D$30)+SUM('[45]1'!$C$33:$D$33)</f>
        <v>5041.5907490306909</v>
      </c>
      <c r="D31" s="776">
        <f>SUM('[45]1'!$C$25:$D$29)</f>
        <v>2171.1833857798611</v>
      </c>
      <c r="E31" s="774">
        <f>SUM('[45]1'!$C$23:$D$24)</f>
        <v>265.21954503507982</v>
      </c>
      <c r="F31" s="812">
        <f>SUM('[45]1'!$C$31:$D$31)+SUM('[45]1'!$C$34:$D$34)+SUM('[45]1'!$C$36:$D$36)+SUM('[45]1'!$C$37:$D$37)</f>
        <v>4419.1762563793573</v>
      </c>
      <c r="G31" s="775">
        <f>SUM('[45]1'!$C$38:$D$38)</f>
        <v>11897.169936224989</v>
      </c>
      <c r="H31" s="775">
        <f>SUM('[45]1'!$E$14:$H$14)+SUM('[45]1'!$E$18:$H$18)</f>
        <v>29068.904502792044</v>
      </c>
      <c r="I31" s="793">
        <f>SUM('[45]1'!$E$22:$H$22)</f>
        <v>22439.596620768585</v>
      </c>
      <c r="J31" s="865">
        <f>SUM('[45]1'!$E$30:$H$30)</f>
        <v>1069.8957105525392</v>
      </c>
      <c r="K31" s="801">
        <f>SUM('[45]1'!$E$33:$H$33)</f>
        <v>30114.386346671781</v>
      </c>
      <c r="L31" s="775">
        <f>SUM('[45]1'!$E$31:$H$31)+SUM('[45]1'!$E$32:$H$32)+SUM('[45]1'!$E$34:$H$34)+SUM('[45]1'!$E$36:$H$36)+SUM('[45]1'!$E$37:$H$37)</f>
        <v>16815.172706853038</v>
      </c>
      <c r="M31" s="750">
        <f>SUM('[45]1'!$E$38:$H$38)</f>
        <v>99507.996657343989</v>
      </c>
      <c r="N31" s="777">
        <f>'[45]1'!$I$38</f>
        <v>111405.16659356898</v>
      </c>
      <c r="O31" s="901">
        <f>'[45]1'!$I$40</f>
        <v>25852.060536729754</v>
      </c>
      <c r="P31" s="946">
        <f t="shared" ref="P31" si="21">G31-C31-D31-E31-F31</f>
        <v>0</v>
      </c>
      <c r="Q31" s="948">
        <f t="shared" ref="Q31" si="22">M31-H31-I31-J31-K31-L31</f>
        <v>4.0769705992715899E-2</v>
      </c>
      <c r="R31" s="946">
        <f t="shared" ref="R31" si="23">N31-G31-M31</f>
        <v>0</v>
      </c>
    </row>
    <row r="32" spans="1:18" s="411" customFormat="1" ht="14.25" customHeight="1">
      <c r="A32" s="905"/>
      <c r="B32" s="906" t="s">
        <v>400</v>
      </c>
      <c r="C32" s="947">
        <f>SUM('[46]1'!$C$14:$D$14)+SUM('[46]1'!$C$18:$D$18)+SUM('[46]1'!$C$30:$D$30)+SUM('[46]1'!$C$33:$D$33)</f>
        <v>4853.3669589210549</v>
      </c>
      <c r="D32" s="776">
        <f>SUM('[46]1'!$C$25:$D$29)</f>
        <v>981.68246130986881</v>
      </c>
      <c r="E32" s="774">
        <f>SUM('[46]1'!$C$23:$D$24)</f>
        <v>230.71288537679476</v>
      </c>
      <c r="F32" s="812">
        <f>SUM('[46]1'!$C$31:$D$31)+SUM('[46]1'!$C$34:$D$34)+SUM('[46]1'!$C$36:$D$36)+SUM('[46]1'!$C$37:$D$37)-0.01</f>
        <v>5001.3431928886657</v>
      </c>
      <c r="G32" s="775">
        <f>SUM('[46]1'!$C$38:$D$38)</f>
        <v>11067.115498496385</v>
      </c>
      <c r="H32" s="775">
        <f>SUM('[46]1'!$E$14:$H$14)+SUM('[46]1'!$E$18:$H$18)</f>
        <v>31034.92018242523</v>
      </c>
      <c r="I32" s="793">
        <f>SUM('[46]1'!$E$22:$H$22)-0.02</f>
        <v>20985.435844146403</v>
      </c>
      <c r="J32" s="865">
        <f>SUM('[46]1'!$E$30:$H$30)</f>
        <v>538.16782056067495</v>
      </c>
      <c r="K32" s="801">
        <f>SUM('[46]1'!$E$33:$H$33)</f>
        <v>31160.770292442267</v>
      </c>
      <c r="L32" s="775">
        <f>SUM('[46]1'!$E$31:$H$31)+SUM('[46]1'!$E$32:$H$32)+SUM('[46]1'!$E$34:$H$34)+SUM('[46]1'!$E$36:$H$36)+SUM('[46]1'!$E$37:$H$37)</f>
        <v>16206.16756872004</v>
      </c>
      <c r="M32" s="750">
        <f>SUM('[46]1'!$E$38:$H$38)</f>
        <v>99925.504793404602</v>
      </c>
      <c r="N32" s="777">
        <f>'[46]1'!$I$38</f>
        <v>110992.61027661701</v>
      </c>
      <c r="O32" s="901">
        <f>'[46]1'!$I$40</f>
        <v>24114.644031466432</v>
      </c>
      <c r="P32" s="946">
        <f t="shared" ref="P32" si="24">G32-C32-D32-E32-F32</f>
        <v>1.0000000001127773E-2</v>
      </c>
      <c r="Q32" s="948">
        <f t="shared" ref="Q32" si="25">M32-H32-I32-J32-K32-L32</f>
        <v>4.30851099845313E-2</v>
      </c>
      <c r="R32" s="946">
        <f t="shared" ref="R32" si="26">N32-G32-M32</f>
        <v>-1.0015283973189071E-2</v>
      </c>
    </row>
    <row r="33" spans="1:18" s="411" customFormat="1" ht="14.25" customHeight="1">
      <c r="A33" s="905"/>
      <c r="B33" s="906" t="s">
        <v>401</v>
      </c>
      <c r="C33" s="947">
        <f>SUM('[47]1'!$C$14:$D$14)+SUM('[47]1'!$C$18:$D$18)+SUM('[47]1'!$C$30:$D$30)+SUM('[47]1'!$C$33:$D$33)</f>
        <v>5197.1224130491364</v>
      </c>
      <c r="D33" s="776">
        <f>SUM('[47]1'!$C$25:$D$29)</f>
        <v>837.11617840186977</v>
      </c>
      <c r="E33" s="774">
        <f>SUM('[47]1'!$C$23:$D$24)</f>
        <v>236.05928537574579</v>
      </c>
      <c r="F33" s="812">
        <f>SUM('[47]1'!$C$31:$D$31)+SUM('[47]1'!$C$34:$D$34)+SUM('[47]1'!$C$36:$D$36)+SUM('[47]1'!$C$37:$D$37)</f>
        <v>5134.0069932439055</v>
      </c>
      <c r="G33" s="775">
        <f>SUM('[47]1'!$C$38:$D$38)</f>
        <v>11404.304870070657</v>
      </c>
      <c r="H33" s="775">
        <f>SUM('[47]1'!$E$14:$H$14)+SUM('[47]1'!$E$18:$H$18)</f>
        <v>31250.795862026178</v>
      </c>
      <c r="I33" s="793">
        <f>SUM('[47]1'!$E$22:$H$22)</f>
        <v>19449.224328242883</v>
      </c>
      <c r="J33" s="865">
        <f>SUM('[47]1'!$E$30:$H$30)</f>
        <v>536.999301860846</v>
      </c>
      <c r="K33" s="801">
        <f>SUM('[47]1'!$E$33:$H$33)</f>
        <v>33779.32619289482</v>
      </c>
      <c r="L33" s="775">
        <f>SUM('[47]1'!$E$31:$H$31)+SUM('[47]1'!$E$32:$H$32)+SUM('[47]1'!$E$34:$H$34)+SUM('[47]1'!$E$36:$H$36)+SUM('[47]1'!$E$37:$H$37)+0.05</f>
        <v>15129.78379852816</v>
      </c>
      <c r="M33" s="750">
        <f>SUM('[47]1'!$E$38:$H$38)</f>
        <v>100146.1297874689</v>
      </c>
      <c r="N33" s="777">
        <f>'[47]1'!$I$38</f>
        <v>111550.42465753957</v>
      </c>
      <c r="O33" s="901">
        <f>'[47]1'!$I$40</f>
        <v>23010.274594912327</v>
      </c>
      <c r="P33" s="946">
        <f t="shared" ref="P33" si="27">G33-C33-D33-E33-F33</f>
        <v>0</v>
      </c>
      <c r="Q33" s="948">
        <f t="shared" ref="Q33" si="28">M33-H33-I33-J33-K33-L33</f>
        <v>3.0391602012969088E-4</v>
      </c>
      <c r="R33" s="946">
        <f t="shared" ref="R33" si="29">N33-G33-M33</f>
        <v>-9.9999999947613105E-3</v>
      </c>
    </row>
    <row r="34" spans="1:18" s="411" customFormat="1" ht="14.25" customHeight="1">
      <c r="A34" s="905"/>
      <c r="B34" s="906" t="s">
        <v>402</v>
      </c>
      <c r="C34" s="947">
        <f>SUM('[48]1'!$C$14:$D$14)+SUM('[48]1'!$C$18:$D$18)+SUM('[48]1'!$C$30:$D$30)+SUM('[48]1'!$C$33:$D$33)</f>
        <v>4794.8997432530487</v>
      </c>
      <c r="D34" s="776">
        <f>SUM('[48]1'!$C$25:$D$29)</f>
        <v>795.9156596625437</v>
      </c>
      <c r="E34" s="774">
        <f>SUM('[48]1'!$C$23:$D$24)</f>
        <v>288.46812425824982</v>
      </c>
      <c r="F34" s="812">
        <f>SUM('[48]1'!$C$31:$D$31)+SUM('[48]1'!$C$34:$D$34)+SUM('[48]1'!$C$36:$D$36)+SUM('[48]1'!$C$37:$D$37)</f>
        <v>5048.3301659139688</v>
      </c>
      <c r="G34" s="775">
        <f>SUM('[48]1'!$C$38:$D$38)</f>
        <v>10927.613693087809</v>
      </c>
      <c r="H34" s="775">
        <f>SUM('[48]1'!$E$14:$H$14)+SUM('[48]1'!$E$18:$H$18)</f>
        <v>30232.31616154822</v>
      </c>
      <c r="I34" s="793">
        <f>SUM('[48]1'!$E$22:$H$22)</f>
        <v>19808.290530299568</v>
      </c>
      <c r="J34" s="865">
        <f>SUM('[48]1'!$E$30:$H$30)</f>
        <v>533.82570900275198</v>
      </c>
      <c r="K34" s="801">
        <f>SUM('[48]1'!$E$33:$H$33)</f>
        <v>31535.820713138542</v>
      </c>
      <c r="L34" s="775">
        <f>SUM('[48]1'!$E$31:$H$31)+SUM('[48]1'!$E$32:$H$32)+SUM('[48]1'!$E$34:$H$34)+SUM('[48]1'!$E$36:$H$36)+SUM('[48]1'!$E$37:$H$37)+0.05</f>
        <v>15507.482332056767</v>
      </c>
      <c r="M34" s="750">
        <f>SUM('[48]1'!$E$38:$H$38)</f>
        <v>97617.687446045849</v>
      </c>
      <c r="N34" s="777">
        <f>'[48]1'!$I$38</f>
        <v>108545.30113913365</v>
      </c>
      <c r="O34" s="901">
        <f>'[48]1'!$I$40</f>
        <v>21154.929709442789</v>
      </c>
      <c r="P34" s="946">
        <f t="shared" ref="P34" si="30">G34-C34-D34-E34-F34</f>
        <v>0</v>
      </c>
      <c r="Q34" s="948">
        <f t="shared" ref="Q34" si="31">M34-H34-I34-J34-K34-L34</f>
        <v>-4.8000000002502929E-2</v>
      </c>
      <c r="R34" s="946">
        <f t="shared" ref="R34" si="32">N34-G34-M34</f>
        <v>0</v>
      </c>
    </row>
    <row r="35" spans="1:18" s="411" customFormat="1" ht="14.25" customHeight="1">
      <c r="A35" s="905"/>
      <c r="B35" s="906" t="s">
        <v>403</v>
      </c>
      <c r="C35" s="947">
        <f>SUM('[49]1'!$C$14:$D$14)+SUM('[49]1'!$C$18:$D$18)+SUM('[49]1'!$C$30:$D$30)+SUM('[49]1'!$C$33:$D$33)</f>
        <v>5054.9329417511199</v>
      </c>
      <c r="D35" s="776">
        <f>SUM('[49]1'!$C$25:$D$29)</f>
        <v>753.93314338499897</v>
      </c>
      <c r="E35" s="774">
        <f>SUM('[49]1'!$C$23:$D$24)+0.02</f>
        <v>297.05613466230977</v>
      </c>
      <c r="F35" s="812">
        <f>SUM('[49]1'!$C$31:$D$31)+SUM('[49]1'!$C$34:$D$34)+SUM('[49]1'!$C$36:$D$36)+SUM('[49]1'!$C$37:$D$37)</f>
        <v>5135.7864010491348</v>
      </c>
      <c r="G35" s="775">
        <f>SUM('[49]1'!$C$38:$D$38)</f>
        <v>11241.688614035864</v>
      </c>
      <c r="H35" s="775">
        <f>SUM('[49]1'!$E$14:$H$14)+SUM('[49]1'!$E$18:$H$18)</f>
        <v>31181.139337987224</v>
      </c>
      <c r="I35" s="793">
        <f>SUM('[49]1'!$E$22:$H$22)</f>
        <v>18547.482290361084</v>
      </c>
      <c r="J35" s="865">
        <f>SUM('[49]1'!$E$30:$H$30)</f>
        <v>538.52419683024789</v>
      </c>
      <c r="K35" s="801">
        <f>SUM('[49]1'!$E$33:$H$33)</f>
        <v>31466.781913964183</v>
      </c>
      <c r="L35" s="775">
        <f>SUM('[49]1'!$E$31:$H$31)+SUM('[49]1'!$E$32:$H$32)+SUM('[49]1'!$E$34:$H$34)+SUM('[49]1'!$E$36:$H$36)+SUM('[49]1'!$E$37:$H$37)</f>
        <v>14981.383627198957</v>
      </c>
      <c r="M35" s="750">
        <f>SUM('[49]1'!$E$38:$H$38)</f>
        <v>96715.311366341703</v>
      </c>
      <c r="N35" s="777">
        <f>'[49]1'!$I$38</f>
        <v>107956.99998037757</v>
      </c>
      <c r="O35" s="901">
        <f>'[49]1'!$I$40</f>
        <v>20032.882954674671</v>
      </c>
      <c r="P35" s="946">
        <f t="shared" ref="P35" si="33">G35-C35-D35-E35-F35</f>
        <v>-2.0006811700113758E-2</v>
      </c>
      <c r="Q35" s="948">
        <f t="shared" ref="Q35" si="34">M35-H35-I35-J35-K35-L35</f>
        <v>0</v>
      </c>
      <c r="R35" s="946">
        <f t="shared" ref="R35" si="35">N35-G35-M35</f>
        <v>0</v>
      </c>
    </row>
    <row r="36" spans="1:18" s="411" customFormat="1" ht="14.25" customHeight="1">
      <c r="A36" s="905"/>
      <c r="B36" s="906" t="s">
        <v>404</v>
      </c>
      <c r="C36" s="947">
        <f>SUM('[50]1'!$C$14:$D$14)+SUM('[50]1'!$C$18:$D$18)+SUM('[50]1'!$C$30:$D$30)+SUM('[50]1'!$C$33:$D$33)</f>
        <v>5717.3294162450893</v>
      </c>
      <c r="D36" s="776">
        <f>SUM('[50]1'!$C$25:$D$29)</f>
        <v>968.07098153112452</v>
      </c>
      <c r="E36" s="774">
        <f>SUM('[50]1'!$C$23:$D$24)</f>
        <v>348.70171049120881</v>
      </c>
      <c r="F36" s="812">
        <f>SUM('[50]1'!$C$31:$D$31)+SUM('[50]1'!$C$34:$D$34)+SUM('[50]1'!$C$36:$D$36)+SUM('[50]1'!$C$37:$D$37)</f>
        <v>4979.1344615561529</v>
      </c>
      <c r="G36" s="775">
        <f>SUM('[50]1'!$C$38:$D$38)</f>
        <v>12013.236569823577</v>
      </c>
      <c r="H36" s="775">
        <f>SUM('[50]1'!$E$14:$H$14)+SUM('[50]1'!$E$18:$H$18)</f>
        <v>30471.748843974965</v>
      </c>
      <c r="I36" s="793">
        <f>SUM('[50]1'!$E$22:$H$22)</f>
        <v>20620.401107532605</v>
      </c>
      <c r="J36" s="865">
        <f>SUM('[50]1'!$E$30:$H$30)</f>
        <v>536.77992005696785</v>
      </c>
      <c r="K36" s="801">
        <f>SUM('[50]1'!$E$33:$H$33)</f>
        <v>31422.393604603301</v>
      </c>
      <c r="L36" s="775">
        <f>SUM('[50]1'!$E$31:$H$31)+SUM('[50]1'!$E$32:$H$32)+SUM('[50]1'!$E$34:$H$34)+SUM('[50]1'!$E$36:$H$36)+SUM('[50]1'!$E$37:$H$37)</f>
        <v>14788.684976961249</v>
      </c>
      <c r="M36" s="750">
        <f>SUM('[50]1'!$E$38:$H$38)</f>
        <v>97840.008453129078</v>
      </c>
      <c r="N36" s="777">
        <f>'[50]1'!$I$38</f>
        <v>109853.23502295266</v>
      </c>
      <c r="O36" s="901">
        <f>'[50]1'!$I$40</f>
        <v>22386.999625166347</v>
      </c>
      <c r="P36" s="946">
        <f t="shared" ref="P36" si="36">G36-C36-D36-E36-F36</f>
        <v>0</v>
      </c>
      <c r="Q36" s="948">
        <f t="shared" ref="Q36" si="37">M36-H36-I36-J36-K36-L36</f>
        <v>-1.4551915228366852E-11</v>
      </c>
      <c r="R36" s="946">
        <f t="shared" ref="R36" si="38">N36-G36-M36</f>
        <v>-9.9999999947613105E-3</v>
      </c>
    </row>
    <row r="37" spans="1:18" s="411" customFormat="1" ht="14.25" customHeight="1">
      <c r="A37" s="905"/>
      <c r="B37" s="906" t="s">
        <v>405</v>
      </c>
      <c r="C37" s="947">
        <f>SUM('[51]1'!$C$14:$D$14)+SUM('[51]1'!$C$18:$D$18)+SUM('[51]1'!$C$30:$D$30)+SUM('[51]1'!$C$33:$D$33)</f>
        <v>5244.8704771586745</v>
      </c>
      <c r="D37" s="776">
        <f>SUM('[51]1'!$C$25:$D$29)-0.01</f>
        <v>915.64124299720538</v>
      </c>
      <c r="E37" s="774">
        <f>SUM('[51]1'!$C$23:$D$24)</f>
        <v>277.20268087664778</v>
      </c>
      <c r="F37" s="812">
        <f>SUM('[51]1'!$C$31:$D$31)+SUM('[51]1'!$C$34:$D$34)+SUM('[51]1'!$C$36:$D$36)+SUM('[51]1'!$C$37:$D$37)</f>
        <v>5206.989753278438</v>
      </c>
      <c r="G37" s="775">
        <f>SUM('[51]1'!$C$38:$D$38)</f>
        <v>11644.714154310966</v>
      </c>
      <c r="H37" s="775">
        <f>SUM('[51]1'!$E$14:$H$14)+SUM('[51]1'!$E$18:$H$18)-0.02</f>
        <v>31105.440599549591</v>
      </c>
      <c r="I37" s="793">
        <f>SUM('[51]1'!$E$22:$H$22)</f>
        <v>21736.135104917739</v>
      </c>
      <c r="J37" s="865">
        <f>SUM('[51]1'!$E$30:$H$30)</f>
        <v>534.39364838916185</v>
      </c>
      <c r="K37" s="801">
        <f>SUM('[51]1'!$E$33:$H$33)</f>
        <v>31209.291518960781</v>
      </c>
      <c r="L37" s="775">
        <f>SUM('[51]1'!$E$31:$H$31)+SUM('[51]1'!$E$32:$H$32)+SUM('[51]1'!$E$34:$H$34)+SUM('[51]1'!$E$36:$H$36)+SUM('[51]1'!$E$37:$H$37)-0.01</f>
        <v>14832.943422229209</v>
      </c>
      <c r="M37" s="750">
        <f>SUM('[51]1'!$E$38:$H$38)-0.03</f>
        <v>99418.144294046477</v>
      </c>
      <c r="N37" s="777">
        <f>'[51]1'!$I$38-0.05</f>
        <v>111062.82844835745</v>
      </c>
      <c r="O37" s="901">
        <f>'[51]1'!$I$40</f>
        <v>23285.162675190175</v>
      </c>
      <c r="P37" s="946">
        <f t="shared" ref="P37" si="39">G37-C37-D37-E37-F37</f>
        <v>1.0000000001127773E-2</v>
      </c>
      <c r="Q37" s="948">
        <f t="shared" ref="Q37" si="40">M37-H37-I37-J37-K37-L37</f>
        <v>-6.0000000003128662E-2</v>
      </c>
      <c r="R37" s="946">
        <f t="shared" ref="R37" si="41">N37-G37-M37</f>
        <v>-2.9999999984283932E-2</v>
      </c>
    </row>
    <row r="38" spans="1:18" s="411" customFormat="1" ht="14.25" customHeight="1">
      <c r="A38" s="905"/>
      <c r="B38" s="906" t="s">
        <v>406</v>
      </c>
      <c r="C38" s="947">
        <f>SUM('[52]1'!$C$14:$D$14)+SUM('[52]1'!$C$18:$D$18)+SUM('[52]1'!$C$30:$D$30)+SUM('[52]1'!$C$33:$D$33)+0.01</f>
        <v>5045.1582726704728</v>
      </c>
      <c r="D38" s="776">
        <f>SUM('[52]1'!$C$25:$D$29)</f>
        <v>783.19778001802638</v>
      </c>
      <c r="E38" s="774">
        <f>SUM('[52]1'!$C$23:$D$24)</f>
        <v>349.5374776391148</v>
      </c>
      <c r="F38" s="812">
        <f>SUM('[52]1'!$C$31:$D$31)+SUM('[52]1'!$C$34:$D$34)+SUM('[52]1'!$C$36:$D$36)+SUM('[52]1'!$C$37:$D$37)</f>
        <v>5203.7174317827448</v>
      </c>
      <c r="G38" s="775">
        <f>SUM('[52]1'!$C$38:$D$38)</f>
        <v>11381.600955299558</v>
      </c>
      <c r="H38" s="775">
        <f>SUM('[52]1'!$E$14:$H$14)+SUM('[52]1'!$E$18:$H$18)</f>
        <v>31152.833513963036</v>
      </c>
      <c r="I38" s="793">
        <f>SUM('[52]1'!$E$22:$H$22)+0.01</f>
        <v>22292.057908767714</v>
      </c>
      <c r="J38" s="865">
        <f>SUM('[52]1'!$E$30:$H$30)</f>
        <v>538.78374317647103</v>
      </c>
      <c r="K38" s="801">
        <f>SUM('[52]1'!$E$33:$H$33)</f>
        <v>31346.199262458529</v>
      </c>
      <c r="L38" s="775">
        <f>SUM('[52]1'!$E$31:$H$31)+SUM('[52]1'!$E$32:$H$32)+SUM('[52]1'!$E$34:$H$34)+SUM('[52]1'!$E$36:$H$36)+SUM('[52]1'!$E$37:$H$37)</f>
        <v>14764.686824034152</v>
      </c>
      <c r="M38" s="750">
        <f>SUM('[52]1'!$E$38:$H$38)</f>
        <v>100094.55125239992</v>
      </c>
      <c r="N38" s="777">
        <f>'[52]1'!$I$38</f>
        <v>111476.15220769946</v>
      </c>
      <c r="O38" s="901">
        <f>'[52]1'!$I$40</f>
        <v>22857.428427859824</v>
      </c>
      <c r="P38" s="946">
        <f t="shared" ref="P38" si="42">G38-C38-D38-E38-F38</f>
        <v>-1.0006810800405219E-2</v>
      </c>
      <c r="Q38" s="948">
        <f t="shared" ref="Q38" si="43">M38-H38-I38-J38-K38-L38</f>
        <v>-9.9999999856663635E-3</v>
      </c>
      <c r="R38" s="946">
        <f t="shared" ref="R38" si="44">N38-G38-M38</f>
        <v>0</v>
      </c>
    </row>
    <row r="39" spans="1:18" s="411" customFormat="1" ht="14.25" customHeight="1">
      <c r="A39" s="905"/>
      <c r="B39" s="906" t="s">
        <v>407</v>
      </c>
      <c r="C39" s="947">
        <f>SUM('[53]1'!$C$14:$D$14)+SUM('[53]1'!$C$18:$D$18)+SUM('[53]1'!$C$30:$D$30)+SUM('[53]1'!$C$33:$D$33)</f>
        <v>5562.5000579657335</v>
      </c>
      <c r="D39" s="776">
        <f>SUM('[53]1'!$C$25:$D$29)</f>
        <v>807.22339510005702</v>
      </c>
      <c r="E39" s="774">
        <f>SUM('[53]1'!$C$23:$D$24)</f>
        <v>390.16756657750477</v>
      </c>
      <c r="F39" s="812">
        <f>SUM('[53]1'!$C$31:$D$31)+SUM('[53]1'!$C$34:$D$34)+SUM('[53]1'!$C$36:$D$36)+SUM('[53]1'!$C$37:$D$37)</f>
        <v>5104.2828140965767</v>
      </c>
      <c r="G39" s="775">
        <f>SUM('[53]1'!$C$38:$D$38)</f>
        <v>11864.173826929073</v>
      </c>
      <c r="H39" s="775">
        <f>SUM('[53]1'!$E$14:$H$14)+SUM('[53]1'!$E$18:$H$18)</f>
        <v>30443.485140361805</v>
      </c>
      <c r="I39" s="793">
        <f>SUM('[53]1'!$E$22:$H$22)</f>
        <v>22182.69966964583</v>
      </c>
      <c r="J39" s="865">
        <f>SUM('[53]1'!$E$30:$H$30)</f>
        <v>538.57512067803589</v>
      </c>
      <c r="K39" s="801">
        <f>SUM('[53]1'!$E$33:$H$33)+0.03</f>
        <v>30907.858002213099</v>
      </c>
      <c r="L39" s="775">
        <f>SUM('[53]1'!$E$31:$H$31)+SUM('[53]1'!$E$32:$H$32)+SUM('[53]1'!$E$34:$H$34)+SUM('[53]1'!$E$36:$H$36)+SUM('[53]1'!$E$37:$H$37)</f>
        <v>14901.316629968631</v>
      </c>
      <c r="M39" s="750">
        <f>SUM('[53]1'!$E$38:$H$38)+0.05</f>
        <v>98973.964562867404</v>
      </c>
      <c r="N39" s="777">
        <f>'[53]1'!$I$38+0.12</f>
        <v>110838.15874899647</v>
      </c>
      <c r="O39" s="901">
        <f>'[53]1'!$I$40</f>
        <v>21905.784079995654</v>
      </c>
      <c r="P39" s="946">
        <f t="shared" ref="P39" si="45">G39-C39-D39-E39-F39</f>
        <v>-6.8107992774457671E-6</v>
      </c>
      <c r="Q39" s="948">
        <f t="shared" ref="Q39" si="46">M39-H39-I39-J39-K39-L39</f>
        <v>3.0000000002473826E-2</v>
      </c>
      <c r="R39" s="946">
        <f t="shared" ref="R39" si="47">N39-G39-M39</f>
        <v>2.0359200003440492E-2</v>
      </c>
    </row>
    <row r="40" spans="1:18" s="411" customFormat="1" ht="20.25" customHeight="1">
      <c r="A40" s="905">
        <v>2020</v>
      </c>
      <c r="B40" s="906" t="s">
        <v>408</v>
      </c>
      <c r="C40" s="947">
        <f>SUM('[54]1'!$C$14:$D$14)+SUM('[54]1'!$C$18:$D$18)+SUM('[54]1'!$C$30:$D$30)+SUM('[54]1'!$C$33:$D$33)</f>
        <v>6668.9392518510112</v>
      </c>
      <c r="D40" s="776">
        <f>SUM('[54]1'!$C$25:$D$29)</f>
        <v>803.37326224523349</v>
      </c>
      <c r="E40" s="774">
        <f>SUM('[54]1'!$C$23:$D$24)</f>
        <v>306.64904444982579</v>
      </c>
      <c r="F40" s="812">
        <f>SUM('[54]1'!$C$31:$D$31)+SUM('[54]1'!$C$34:$D$34)+SUM('[54]1'!$C$36:$D$36)+SUM('[54]1'!$C$37:$D$37)</f>
        <v>5262.0027896288957</v>
      </c>
      <c r="G40" s="775">
        <f>SUM('[54]1'!$C$38:$D$38)-0.02</f>
        <v>13040.944348174964</v>
      </c>
      <c r="H40" s="775">
        <f>SUM('[54]1'!$E$14:$H$14)+SUM('[54]1'!$E$18:$H$18)</f>
        <v>30168.36684696715</v>
      </c>
      <c r="I40" s="793">
        <f>SUM('[54]1'!$E$22:$H$22)</f>
        <v>23169.145438973923</v>
      </c>
      <c r="J40" s="865">
        <f>SUM('[54]1'!$E$30:$H$30)</f>
        <v>537.51572681163407</v>
      </c>
      <c r="K40" s="801">
        <f>SUM('[54]1'!$E$33:$H$33)</f>
        <v>30130.098123542582</v>
      </c>
      <c r="L40" s="775">
        <f>SUM('[54]1'!$E$31:$H$31)+SUM('[54]1'!$E$32:$H$32)+SUM('[54]1'!$E$34:$H$34)+SUM('[54]1'!$E$36:$H$36)+SUM('[54]1'!$E$37:$H$37)</f>
        <v>14832.850346173542</v>
      </c>
      <c r="M40" s="750">
        <f>SUM('[54]1'!$E$38:$H$38)</f>
        <v>98837.996482468836</v>
      </c>
      <c r="N40" s="777">
        <f>'[54]1'!$I$38-0.01</f>
        <v>111878.9408306438</v>
      </c>
      <c r="O40" s="901">
        <f>'[54]1'!$I$40</f>
        <v>23875.352950789395</v>
      </c>
      <c r="P40" s="946">
        <f t="shared" ref="P40" si="48">G40-C40-D40-E40-F40</f>
        <v>-2.0000000002255547E-2</v>
      </c>
      <c r="Q40" s="948">
        <f t="shared" ref="Q40" si="49">M40-H40-I40-J40-K40-L40</f>
        <v>2.0000000004074536E-2</v>
      </c>
      <c r="R40" s="946">
        <f t="shared" ref="R40" si="50">N40-G40-M40</f>
        <v>0</v>
      </c>
    </row>
    <row r="41" spans="1:18" s="411" customFormat="1" ht="14.25" customHeight="1">
      <c r="A41" s="1082"/>
      <c r="B41" s="906" t="s">
        <v>409</v>
      </c>
      <c r="C41" s="947">
        <f>SUM('[55]1'!$C$14:$D$14)+SUM('[55]1'!$C$18:$D$18)+SUM('[55]1'!$C$30:$D$30)+SUM('[55]1'!$C$33:$D$33)-0.02</f>
        <v>6260.2444081535905</v>
      </c>
      <c r="D41" s="776">
        <f>SUM('[55]1'!$C$25:$D$29)</f>
        <v>828.39709496318551</v>
      </c>
      <c r="E41" s="774">
        <f>SUM('[55]1'!$C$23:$D$24)</f>
        <v>384.59406851406675</v>
      </c>
      <c r="F41" s="812">
        <f>SUM('[55]1'!$C$31:$D$31)+SUM('[55]1'!$C$34:$D$34)+SUM('[55]1'!$C$36:$D$36)+SUM('[55]1'!$C$37:$D$37)</f>
        <v>5441.9038841026104</v>
      </c>
      <c r="G41" s="775">
        <f>SUM('[55]1'!$C$38:$D$38)</f>
        <v>12915.114112902656</v>
      </c>
      <c r="H41" s="775">
        <f>SUM('[55]1'!$E$14:$H$14)+SUM('[55]1'!$E$18:$H$18)</f>
        <v>30505.408159898285</v>
      </c>
      <c r="I41" s="793">
        <f>SUM('[55]1'!$E$22:$H$22)-0.01</f>
        <v>24494.242558193309</v>
      </c>
      <c r="J41" s="865">
        <f>SUM('[55]1'!$E$30:$H$30)</f>
        <v>540.49200595646812</v>
      </c>
      <c r="K41" s="801">
        <f>SUM('[55]1'!$E$33:$H$33)</f>
        <v>30445.056010050066</v>
      </c>
      <c r="L41" s="775">
        <f>SUM('[55]1'!$E$31:$H$31)+SUM('[55]1'!$E$32:$H$32)+SUM('[55]1'!$E$34:$H$34)+SUM('[55]1'!$E$36:$H$36)+SUM('[55]1'!$E$37:$H$37)</f>
        <v>14660.500433061323</v>
      </c>
      <c r="M41" s="750">
        <f>SUM('[55]1'!$E$38:$H$38)</f>
        <v>100645.70916715942</v>
      </c>
      <c r="N41" s="777">
        <f>'[55]1'!$I$38</f>
        <v>113560.81328006211</v>
      </c>
      <c r="O41" s="901">
        <f>'[55]1'!$I$40</f>
        <v>21721.723184590654</v>
      </c>
      <c r="P41" s="946">
        <f t="shared" ref="P41" si="51">G41-C41-D41-E41-F41</f>
        <v>-2.5342830796944327E-2</v>
      </c>
      <c r="Q41" s="948">
        <f t="shared" ref="Q41" si="52">M41-H41-I41-J41-K41-L41</f>
        <v>9.9999999729334377E-3</v>
      </c>
      <c r="R41" s="946">
        <f t="shared" ref="R41" si="53">N41-G41-M41</f>
        <v>-9.9999999656574801E-3</v>
      </c>
    </row>
    <row r="42" spans="1:18" s="411" customFormat="1" ht="14.25" customHeight="1">
      <c r="A42" s="1082"/>
      <c r="B42" s="906" t="s">
        <v>398</v>
      </c>
      <c r="C42" s="947">
        <f>SUM('[56]1'!$C$14:$D$14)+SUM('[56]1'!$C$18:$D$18)+SUM('[56]1'!$C$30:$D$30)+SUM('[56]1'!$C$33:$D$33)</f>
        <v>6862.7248124438011</v>
      </c>
      <c r="D42" s="776">
        <f>SUM('[56]1'!$C$25:$D$29)</f>
        <v>957.43176757278684</v>
      </c>
      <c r="E42" s="774">
        <f>SUM('[56]1'!$C$23:$D$24)</f>
        <v>417.49367833097239</v>
      </c>
      <c r="F42" s="812">
        <f>SUM('[56]1'!$C$31:$D$31)+SUM('[56]1'!$C$34:$D$34)+SUM('[56]1'!$C$36:$D$36)+SUM('[56]1'!$C$37:$D$37)</f>
        <v>5500.7629544063775</v>
      </c>
      <c r="G42" s="775">
        <f>SUM('[56]1'!$C$38:$D$38)</f>
        <v>13738.413205943138</v>
      </c>
      <c r="H42" s="775">
        <f>SUM('[56]1'!$E$14:$H$14)+SUM('[56]1'!$E$18:$H$18)</f>
        <v>29896.882537002792</v>
      </c>
      <c r="I42" s="793">
        <f>SUM('[56]1'!$E$22:$H$22)</f>
        <v>22795.149524410168</v>
      </c>
      <c r="J42" s="865">
        <f>SUM('[56]1'!$E$30:$H$30)</f>
        <v>537.20977937694795</v>
      </c>
      <c r="K42" s="801">
        <f>SUM('[56]1'!$E$33:$H$33)+0.01</f>
        <v>34237.356225227799</v>
      </c>
      <c r="L42" s="775">
        <f>SUM('[56]1'!$E$31:$H$31)+SUM('[56]1'!$E$32:$H$32)+SUM('[56]1'!$E$34:$H$34)+SUM('[56]1'!$E$36:$H$36)+SUM('[56]1'!$E$37:$H$37)</f>
        <v>14538.757558049383</v>
      </c>
      <c r="M42" s="750">
        <f>SUM('[56]1'!$E$38:$H$38)</f>
        <v>102005.36562406708</v>
      </c>
      <c r="N42" s="777">
        <f>'[56]1'!$I$38</f>
        <v>115743.76883001025</v>
      </c>
      <c r="O42" s="901">
        <f>'[56]1'!$I$40</f>
        <v>22043.673328749701</v>
      </c>
      <c r="P42" s="946">
        <f t="shared" ref="P42" si="54">G42-C42-D42-E42-F42</f>
        <v>-6.8108001869404688E-6</v>
      </c>
      <c r="Q42" s="948">
        <f t="shared" ref="Q42" si="55">M42-H42-I42-J42-K42-L42</f>
        <v>9.9999999911233317E-3</v>
      </c>
      <c r="R42" s="946">
        <f t="shared" ref="R42" si="56">N42-G42-M42</f>
        <v>-9.9999999802093953E-3</v>
      </c>
    </row>
    <row r="43" spans="1:18" s="411" customFormat="1" ht="14.25" customHeight="1">
      <c r="A43" s="1082"/>
      <c r="B43" s="906" t="s">
        <v>399</v>
      </c>
      <c r="C43" s="947">
        <f>SUM('[57]1'!$C$14:$D$14)+SUM('[57]1'!$C$18:$D$18)+SUM('[57]1'!$C$30:$D$30)+SUM('[57]1'!$C$33:$D$33)</f>
        <v>6517.359524001462</v>
      </c>
      <c r="D43" s="776">
        <f>SUM('[57]1'!$C$25:$D$29)</f>
        <v>945.63719968207249</v>
      </c>
      <c r="E43" s="774">
        <f>SUM('[57]1'!$C$23:$D$24)</f>
        <v>397.70089991633438</v>
      </c>
      <c r="F43" s="812">
        <f>SUM('[57]1'!$C$31:$D$31)+SUM('[57]1'!$C$34:$D$34)+SUM('[57]1'!$C$36:$D$36)+SUM('[57]1'!$C$37:$D$37)</f>
        <v>5416.57545313419</v>
      </c>
      <c r="G43" s="775">
        <f>SUM('[57]1'!$C$38:$D$38)</f>
        <v>13277.27306992326</v>
      </c>
      <c r="H43" s="775">
        <f>SUM('[57]1'!$E$14:$H$14)+SUM('[57]1'!$E$18:$H$18)</f>
        <v>30591.301140415773</v>
      </c>
      <c r="I43" s="793">
        <f>SUM('[57]1'!$E$22:$H$22)</f>
        <v>22110.567124008408</v>
      </c>
      <c r="J43" s="865">
        <f>SUM('[57]1'!$E$30:$H$30)</f>
        <v>536.66974582619684</v>
      </c>
      <c r="K43" s="801">
        <f>SUM('[57]1'!$E$33:$H$33)-0.03</f>
        <v>32545.929204617274</v>
      </c>
      <c r="L43" s="775">
        <f>SUM('[57]1'!$E$31:$H$31)+SUM('[57]1'!$E$32:$H$32)+SUM('[57]1'!$E$34:$H$34)+SUM('[57]1'!$E$36:$H$36)+SUM('[57]1'!$E$37:$H$37)</f>
        <v>14696.909040196948</v>
      </c>
      <c r="M43" s="750">
        <f>SUM('[57]1'!$E$38:$H$38)</f>
        <v>100481.4162550646</v>
      </c>
      <c r="N43" s="777">
        <f>'[57]1'!$I$38</f>
        <v>113758.67932498787</v>
      </c>
      <c r="O43" s="901">
        <f>'[57]1'!$I$40</f>
        <v>19521.049627905573</v>
      </c>
      <c r="P43" s="946">
        <f t="shared" ref="P43" si="57">G43-C43-D43-E43-F43</f>
        <v>-6.8107992774457671E-6</v>
      </c>
      <c r="Q43" s="948">
        <f t="shared" ref="Q43" si="58">M43-H43-I43-J43-K43-L43</f>
        <v>4.0000000000873115E-2</v>
      </c>
      <c r="R43" s="946">
        <f t="shared" ref="R43" si="59">N43-G43-M43</f>
        <v>-9.9999999947613105E-3</v>
      </c>
    </row>
    <row r="44" spans="1:18" s="406" customFormat="1" ht="20.25" customHeight="1">
      <c r="A44" s="405" t="s">
        <v>1024</v>
      </c>
      <c r="B44" s="405"/>
      <c r="C44" s="405"/>
      <c r="D44" s="405"/>
      <c r="E44" s="405"/>
      <c r="F44" s="236"/>
      <c r="G44" s="236"/>
      <c r="H44" s="236"/>
      <c r="I44" s="405"/>
      <c r="J44" s="405"/>
      <c r="K44" s="405"/>
      <c r="L44" s="405"/>
      <c r="M44" s="405"/>
      <c r="N44" s="405"/>
      <c r="O44" s="436" t="s">
        <v>1031</v>
      </c>
    </row>
    <row r="45" spans="1:18" ht="14.25" customHeight="1">
      <c r="A45" s="407" t="s">
        <v>1032</v>
      </c>
      <c r="B45" s="1498"/>
      <c r="C45" s="1551"/>
      <c r="D45" s="1551"/>
      <c r="E45" s="10"/>
      <c r="K45" s="1552"/>
      <c r="L45" s="1551"/>
      <c r="M45" s="1551"/>
      <c r="N45" s="1551"/>
      <c r="O45" s="439" t="s">
        <v>1033</v>
      </c>
    </row>
    <row r="46" spans="1:18">
      <c r="B46" s="1243"/>
      <c r="C46" s="1553"/>
      <c r="D46" s="1553"/>
      <c r="E46" s="1553"/>
      <c r="F46" s="1553"/>
      <c r="G46" s="1553"/>
      <c r="H46" s="1553"/>
      <c r="I46" s="1553"/>
      <c r="J46" s="1553"/>
      <c r="K46" s="1553"/>
      <c r="L46" s="1553"/>
      <c r="M46" s="1553"/>
      <c r="N46" s="1553"/>
      <c r="O46" s="1553"/>
    </row>
    <row r="47" spans="1:18" ht="14.25">
      <c r="A47" s="341" t="s">
        <v>1034</v>
      </c>
      <c r="B47" s="1243"/>
      <c r="C47" s="1243"/>
      <c r="D47" s="1243"/>
      <c r="E47" s="1243"/>
      <c r="F47" s="1243"/>
      <c r="G47" s="1243"/>
      <c r="H47" s="1243"/>
      <c r="I47" s="1243"/>
      <c r="J47" s="1243"/>
      <c r="K47" s="1243"/>
      <c r="L47" s="1243"/>
      <c r="M47" s="1243"/>
      <c r="N47" s="1243"/>
      <c r="O47" s="1243"/>
    </row>
    <row r="48" spans="1:18">
      <c r="A48" s="20"/>
    </row>
    <row r="49" spans="1:1">
      <c r="A49" s="10"/>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AH50"/>
  <sheetViews>
    <sheetView zoomScale="85" zoomScaleNormal="85" workbookViewId="0">
      <pane ySplit="12" topLeftCell="A40"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2.7109375" style="406" customWidth="1"/>
    <col min="4" max="4" width="11.85546875" style="406" customWidth="1"/>
    <col min="5" max="5" width="12.7109375" style="406" customWidth="1"/>
    <col min="6" max="6" width="11.7109375" style="406" customWidth="1"/>
    <col min="7" max="7" width="12.28515625" style="406" customWidth="1"/>
    <col min="8" max="8" width="10.7109375" style="406" customWidth="1"/>
    <col min="9" max="9" width="10.28515625" style="406" customWidth="1"/>
    <col min="10" max="10" width="11.85546875" style="406" customWidth="1"/>
    <col min="11" max="11" width="12.7109375" style="406" customWidth="1"/>
    <col min="12" max="12" width="13.42578125" style="406" customWidth="1"/>
    <col min="13" max="13" width="12.7109375" style="406" customWidth="1"/>
    <col min="14" max="15" width="11.7109375" style="406" customWidth="1"/>
    <col min="16" max="16" width="10.7109375" style="406" customWidth="1"/>
    <col min="17" max="17" width="10.28515625" style="406" customWidth="1"/>
    <col min="18" max="18" width="8.28515625" style="406" customWidth="1"/>
    <col min="19" max="16384" width="9.140625" style="406"/>
  </cols>
  <sheetData>
    <row r="1" spans="1:22" ht="18">
      <c r="A1" s="297" t="s">
        <v>1611</v>
      </c>
      <c r="B1" s="1455"/>
      <c r="C1" s="1455"/>
      <c r="D1" s="1455"/>
      <c r="E1" s="1455"/>
      <c r="F1" s="1455"/>
      <c r="G1" s="1455"/>
      <c r="H1" s="1455"/>
      <c r="I1" s="1455"/>
      <c r="J1" s="1455"/>
      <c r="K1" s="1455"/>
      <c r="L1" s="1455"/>
      <c r="M1" s="1455"/>
      <c r="N1" s="1455"/>
      <c r="O1" s="1455"/>
      <c r="P1" s="1455"/>
      <c r="Q1" s="1455"/>
    </row>
    <row r="2" spans="1:22" ht="18">
      <c r="A2" s="297" t="s">
        <v>1035</v>
      </c>
      <c r="B2" s="1455"/>
      <c r="C2" s="1455"/>
      <c r="D2" s="1455"/>
      <c r="E2" s="1455"/>
      <c r="F2" s="1455"/>
      <c r="G2" s="1455"/>
      <c r="H2" s="1455"/>
      <c r="I2" s="1455"/>
      <c r="J2" s="1455"/>
      <c r="K2" s="1455"/>
      <c r="L2" s="1455"/>
      <c r="M2" s="1455"/>
      <c r="N2" s="1455"/>
      <c r="O2" s="1455"/>
      <c r="P2" s="1455"/>
      <c r="Q2" s="1455"/>
    </row>
    <row r="3" spans="1:22" ht="18">
      <c r="A3" s="297" t="s">
        <v>1036</v>
      </c>
      <c r="B3" s="1455"/>
      <c r="C3" s="1455"/>
      <c r="D3" s="1455"/>
      <c r="E3" s="1455"/>
      <c r="F3" s="1455"/>
      <c r="G3" s="1455"/>
      <c r="H3" s="1455"/>
      <c r="I3" s="1455"/>
      <c r="J3" s="1455"/>
      <c r="K3" s="1455"/>
      <c r="L3" s="1455"/>
      <c r="M3" s="1455"/>
      <c r="N3" s="1455"/>
      <c r="O3" s="1455"/>
      <c r="P3" s="1455"/>
      <c r="Q3" s="1455"/>
    </row>
    <row r="4" spans="1:22" s="327" customFormat="1" ht="14.25">
      <c r="A4" s="327" t="s">
        <v>778</v>
      </c>
      <c r="B4" s="1457"/>
      <c r="Q4" s="1458" t="s">
        <v>779</v>
      </c>
    </row>
    <row r="5" spans="1:22" s="327" customFormat="1" ht="14.25" hidden="1">
      <c r="B5" s="1457"/>
      <c r="Q5" s="1458"/>
    </row>
    <row r="6" spans="1:22" s="327" customFormat="1" ht="14.25" hidden="1">
      <c r="B6" s="1457"/>
      <c r="Q6" s="1458"/>
    </row>
    <row r="7" spans="1:22" s="327" customFormat="1" ht="14.25" hidden="1">
      <c r="B7" s="1457"/>
      <c r="Q7" s="1458"/>
    </row>
    <row r="8" spans="1:22" s="172" customFormat="1" ht="23.85" customHeight="1">
      <c r="A8" s="183"/>
      <c r="B8" s="170"/>
      <c r="C8" s="386" t="s">
        <v>356</v>
      </c>
      <c r="D8" s="188"/>
      <c r="E8" s="196"/>
      <c r="F8" s="196"/>
      <c r="G8" s="196"/>
      <c r="H8" s="171"/>
      <c r="I8" s="387" t="s">
        <v>357</v>
      </c>
      <c r="J8" s="388"/>
      <c r="K8" s="386" t="s">
        <v>358</v>
      </c>
      <c r="L8" s="188"/>
      <c r="M8" s="196"/>
      <c r="N8" s="196"/>
      <c r="O8" s="196"/>
      <c r="P8" s="171"/>
      <c r="Q8" s="389" t="s">
        <v>359</v>
      </c>
    </row>
    <row r="9" spans="1:22" s="192" customFormat="1" ht="18" customHeight="1">
      <c r="A9" s="189"/>
      <c r="B9" s="190"/>
      <c r="C9" s="207" t="s">
        <v>799</v>
      </c>
      <c r="D9" s="197" t="s">
        <v>911</v>
      </c>
      <c r="E9" s="191" t="s">
        <v>912</v>
      </c>
      <c r="F9" s="178"/>
      <c r="G9" s="191" t="s">
        <v>913</v>
      </c>
      <c r="H9" s="178"/>
      <c r="I9" s="191"/>
      <c r="J9" s="209"/>
      <c r="K9" s="197" t="s">
        <v>799</v>
      </c>
      <c r="L9" s="197" t="s">
        <v>911</v>
      </c>
      <c r="M9" s="191" t="s">
        <v>912</v>
      </c>
      <c r="N9" s="178"/>
      <c r="O9" s="191" t="s">
        <v>913</v>
      </c>
      <c r="P9" s="178"/>
      <c r="Q9" s="191"/>
    </row>
    <row r="10" spans="1:22" s="192" customFormat="1" ht="18" customHeight="1">
      <c r="A10" s="174" t="s">
        <v>364</v>
      </c>
      <c r="B10" s="177"/>
      <c r="C10" s="197" t="s">
        <v>914</v>
      </c>
      <c r="D10" s="197" t="s">
        <v>915</v>
      </c>
      <c r="E10" s="191" t="s">
        <v>482</v>
      </c>
      <c r="F10" s="173" t="s">
        <v>916</v>
      </c>
      <c r="G10" s="191" t="s">
        <v>917</v>
      </c>
      <c r="H10" s="191" t="s">
        <v>918</v>
      </c>
      <c r="I10" s="191" t="s">
        <v>377</v>
      </c>
      <c r="J10" s="209" t="s">
        <v>367</v>
      </c>
      <c r="K10" s="197" t="s">
        <v>914</v>
      </c>
      <c r="L10" s="197" t="s">
        <v>915</v>
      </c>
      <c r="M10" s="191" t="s">
        <v>482</v>
      </c>
      <c r="N10" s="173" t="s">
        <v>916</v>
      </c>
      <c r="O10" s="191" t="s">
        <v>917</v>
      </c>
      <c r="P10" s="191" t="s">
        <v>918</v>
      </c>
      <c r="Q10" s="191" t="s">
        <v>377</v>
      </c>
    </row>
    <row r="11" spans="1:22" s="176" customFormat="1" ht="18" customHeight="1">
      <c r="A11" s="193" t="s">
        <v>372</v>
      </c>
      <c r="B11" s="177"/>
      <c r="C11" s="274" t="s">
        <v>919</v>
      </c>
      <c r="D11" s="276" t="s">
        <v>920</v>
      </c>
      <c r="E11" s="277" t="s">
        <v>921</v>
      </c>
      <c r="F11" s="278" t="s">
        <v>922</v>
      </c>
      <c r="G11" s="278" t="s">
        <v>923</v>
      </c>
      <c r="H11" s="278" t="s">
        <v>924</v>
      </c>
      <c r="I11" s="278" t="s">
        <v>385</v>
      </c>
      <c r="J11" s="279" t="s">
        <v>378</v>
      </c>
      <c r="K11" s="274" t="s">
        <v>919</v>
      </c>
      <c r="L11" s="276" t="s">
        <v>920</v>
      </c>
      <c r="M11" s="280" t="s">
        <v>921</v>
      </c>
      <c r="N11" s="278" t="s">
        <v>922</v>
      </c>
      <c r="O11" s="278" t="s">
        <v>923</v>
      </c>
      <c r="P11" s="278" t="s">
        <v>924</v>
      </c>
      <c r="Q11" s="278" t="s">
        <v>385</v>
      </c>
    </row>
    <row r="12" spans="1:22" s="176" customFormat="1" ht="18" customHeight="1">
      <c r="A12" s="194"/>
      <c r="B12" s="182"/>
      <c r="C12" s="275" t="s">
        <v>925</v>
      </c>
      <c r="D12" s="275"/>
      <c r="E12" s="281" t="s">
        <v>926</v>
      </c>
      <c r="F12" s="282" t="s">
        <v>813</v>
      </c>
      <c r="G12" s="282" t="s">
        <v>927</v>
      </c>
      <c r="H12" s="282"/>
      <c r="I12" s="282"/>
      <c r="J12" s="283"/>
      <c r="K12" s="275" t="s">
        <v>925</v>
      </c>
      <c r="L12" s="275"/>
      <c r="M12" s="282" t="s">
        <v>926</v>
      </c>
      <c r="N12" s="282" t="s">
        <v>813</v>
      </c>
      <c r="O12" s="282" t="s">
        <v>927</v>
      </c>
      <c r="P12" s="282"/>
      <c r="Q12" s="282"/>
    </row>
    <row r="13" spans="1:22" s="195" customFormat="1" ht="26.25" customHeight="1">
      <c r="A13" s="902">
        <v>2010</v>
      </c>
      <c r="B13" s="903"/>
      <c r="C13" s="412">
        <v>10966.959483121775</v>
      </c>
      <c r="D13" s="412">
        <v>51582.864157657401</v>
      </c>
      <c r="E13" s="413">
        <v>5207.6407922864</v>
      </c>
      <c r="F13" s="413">
        <v>15995.292589771299</v>
      </c>
      <c r="G13" s="413">
        <v>61092.509712802632</v>
      </c>
      <c r="H13" s="413">
        <v>10183.735351904499</v>
      </c>
      <c r="I13" s="413">
        <v>1695.767266421544</v>
      </c>
      <c r="J13" s="756">
        <v>156724.76935396553</v>
      </c>
      <c r="K13" s="413">
        <v>15397.977282833161</v>
      </c>
      <c r="L13" s="413">
        <v>42092.176689814049</v>
      </c>
      <c r="M13" s="413">
        <v>12680.483676627506</v>
      </c>
      <c r="N13" s="413">
        <v>11671.18342630231</v>
      </c>
      <c r="O13" s="413">
        <v>66638.271492621003</v>
      </c>
      <c r="P13" s="413">
        <v>6552.620285500233</v>
      </c>
      <c r="Q13" s="413">
        <v>1692.031184942763</v>
      </c>
      <c r="R13" s="376">
        <f>J13-C13-D13-E13-F13-G13-H13-I13</f>
        <v>-3.0695446184836328E-11</v>
      </c>
      <c r="S13" s="376">
        <f>J13-K13-L13-M13-N13-O13-P13-Q13</f>
        <v>2.5315324504390446E-2</v>
      </c>
      <c r="T13" s="1460"/>
      <c r="U13" s="1460"/>
    </row>
    <row r="14" spans="1:22" s="1460" customFormat="1" ht="18" customHeight="1">
      <c r="A14" s="902">
        <v>2011</v>
      </c>
      <c r="B14" s="903"/>
      <c r="C14" s="412">
        <v>10068.746786634023</v>
      </c>
      <c r="D14" s="412">
        <v>44914.06117597477</v>
      </c>
      <c r="E14" s="413">
        <v>4684.4153265576078</v>
      </c>
      <c r="F14" s="413">
        <v>15664.216886976497</v>
      </c>
      <c r="G14" s="413">
        <v>47860.517586300826</v>
      </c>
      <c r="H14" s="413">
        <v>5434.6354999176219</v>
      </c>
      <c r="I14" s="413">
        <v>1109.7065490653899</v>
      </c>
      <c r="J14" s="756">
        <v>129736.23231142673</v>
      </c>
      <c r="K14" s="412">
        <v>12826.55678614034</v>
      </c>
      <c r="L14" s="412">
        <v>39518.498379226294</v>
      </c>
      <c r="M14" s="413">
        <v>10388.913351321706</v>
      </c>
      <c r="N14" s="413">
        <v>7292.1238401537175</v>
      </c>
      <c r="O14" s="413">
        <v>51975.65700002027</v>
      </c>
      <c r="P14" s="413">
        <v>6004.8009986142242</v>
      </c>
      <c r="Q14" s="413">
        <v>1729.6492101196</v>
      </c>
      <c r="R14" s="376">
        <v>-6.7499999992378434E-2</v>
      </c>
      <c r="S14" s="376">
        <v>3.2745830578278401E-2</v>
      </c>
      <c r="V14" s="195"/>
    </row>
    <row r="15" spans="1:22" s="1460" customFormat="1" ht="18" customHeight="1">
      <c r="A15" s="902">
        <v>2012</v>
      </c>
      <c r="B15" s="903"/>
      <c r="C15" s="412">
        <v>7879.8904143606023</v>
      </c>
      <c r="D15" s="412">
        <v>30741.845919138792</v>
      </c>
      <c r="E15" s="413">
        <v>3674.6971352426344</v>
      </c>
      <c r="F15" s="413">
        <v>16719.617742106915</v>
      </c>
      <c r="G15" s="413">
        <v>45840.196917430738</v>
      </c>
      <c r="H15" s="413">
        <v>8520.9377553399281</v>
      </c>
      <c r="I15" s="413">
        <v>1233.6026485179</v>
      </c>
      <c r="J15" s="756">
        <v>114610.7385321375</v>
      </c>
      <c r="K15" s="412">
        <v>11358.974098008815</v>
      </c>
      <c r="L15" s="412">
        <v>41786.638139111186</v>
      </c>
      <c r="M15" s="413">
        <v>10807.580576409386</v>
      </c>
      <c r="N15" s="413">
        <v>5006.5953617604755</v>
      </c>
      <c r="O15" s="413">
        <v>38238.855212616087</v>
      </c>
      <c r="P15" s="413">
        <v>6304.7305630611818</v>
      </c>
      <c r="Q15" s="413">
        <v>1107.3032401664916</v>
      </c>
      <c r="R15" s="376">
        <v>-5.0000000011095835E-2</v>
      </c>
      <c r="S15" s="376">
        <v>6.1341003882944278E-2</v>
      </c>
      <c r="V15" s="195"/>
    </row>
    <row r="16" spans="1:22" s="1460" customFormat="1" ht="18" customHeight="1">
      <c r="A16" s="902">
        <v>2013</v>
      </c>
      <c r="B16" s="903"/>
      <c r="C16" s="412">
        <v>7490.4321008565039</v>
      </c>
      <c r="D16" s="412">
        <v>34258.65520700482</v>
      </c>
      <c r="E16" s="413">
        <v>4316.7742346142413</v>
      </c>
      <c r="F16" s="413">
        <v>13924.802806997939</v>
      </c>
      <c r="G16" s="413">
        <v>45009.142115531802</v>
      </c>
      <c r="H16" s="413">
        <v>10115.067667446532</v>
      </c>
      <c r="I16" s="413">
        <v>1570.7550644628534</v>
      </c>
      <c r="J16" s="756">
        <v>116685.71991353427</v>
      </c>
      <c r="K16" s="412">
        <v>10207.702111944451</v>
      </c>
      <c r="L16" s="412">
        <v>44924.840673960338</v>
      </c>
      <c r="M16" s="413">
        <v>11449.560012360665</v>
      </c>
      <c r="N16" s="413">
        <v>4025.4090940059154</v>
      </c>
      <c r="O16" s="413">
        <v>34717.334025795724</v>
      </c>
      <c r="P16" s="413">
        <v>9028.9390636900953</v>
      </c>
      <c r="Q16" s="413">
        <v>2331.7969913936327</v>
      </c>
      <c r="R16" s="376">
        <v>9.0716619568638635E-2</v>
      </c>
      <c r="S16" s="376">
        <v>0.13794038344121873</v>
      </c>
      <c r="V16" s="195"/>
    </row>
    <row r="17" spans="1:34" s="1460" customFormat="1" ht="18" customHeight="1">
      <c r="A17" s="902">
        <v>2014</v>
      </c>
      <c r="B17" s="903"/>
      <c r="C17" s="412">
        <v>7828.0966458003522</v>
      </c>
      <c r="D17" s="412">
        <v>35057.922110277264</v>
      </c>
      <c r="E17" s="413">
        <v>4237.3643670211022</v>
      </c>
      <c r="F17" s="413">
        <v>8711.3121095164734</v>
      </c>
      <c r="G17" s="413">
        <v>40269.840375099091</v>
      </c>
      <c r="H17" s="413">
        <v>11205.405085786097</v>
      </c>
      <c r="I17" s="413">
        <v>1974.6232716291483</v>
      </c>
      <c r="J17" s="756">
        <v>109284.51396512952</v>
      </c>
      <c r="K17" s="412">
        <v>10116.669261389201</v>
      </c>
      <c r="L17" s="412">
        <v>41327.131420137295</v>
      </c>
      <c r="M17" s="413">
        <v>12399.998749263388</v>
      </c>
      <c r="N17" s="413">
        <v>3535.7916398527909</v>
      </c>
      <c r="O17" s="413">
        <v>30656.314562813266</v>
      </c>
      <c r="P17" s="413">
        <v>8844.0119564405522</v>
      </c>
      <c r="Q17" s="413">
        <v>2404.5847146519154</v>
      </c>
      <c r="R17" s="376">
        <v>-5.0000000006093615E-2</v>
      </c>
      <c r="S17" s="376">
        <v>1.1660581118121627E-2</v>
      </c>
      <c r="V17" s="195"/>
    </row>
    <row r="18" spans="1:34" s="1460" customFormat="1" ht="18" customHeight="1">
      <c r="A18" s="902">
        <v>2015</v>
      </c>
      <c r="B18" s="903"/>
      <c r="C18" s="412">
        <v>8642.3978403717083</v>
      </c>
      <c r="D18" s="412">
        <v>35667.537114680898</v>
      </c>
      <c r="E18" s="413">
        <v>3865.0219452101069</v>
      </c>
      <c r="F18" s="413">
        <v>9099.4166255594464</v>
      </c>
      <c r="G18" s="413">
        <v>37693.404192052607</v>
      </c>
      <c r="H18" s="413">
        <v>11763.418544416128</v>
      </c>
      <c r="I18" s="413">
        <v>2082.6841689904522</v>
      </c>
      <c r="J18" s="756">
        <v>108813.80043128133</v>
      </c>
      <c r="K18" s="412">
        <v>9601.8947499608657</v>
      </c>
      <c r="L18" s="412">
        <v>37848.542640476429</v>
      </c>
      <c r="M18" s="413">
        <v>13272.003486586807</v>
      </c>
      <c r="N18" s="413">
        <v>4882.6396407309267</v>
      </c>
      <c r="O18" s="413">
        <v>30541.395658094356</v>
      </c>
      <c r="P18" s="413">
        <v>10384.604583941687</v>
      </c>
      <c r="Q18" s="413">
        <v>2282.8019357237217</v>
      </c>
      <c r="R18" s="376">
        <v>-8.0000000016298145E-2</v>
      </c>
      <c r="S18" s="376">
        <v>-8.2264233465139114E-2</v>
      </c>
      <c r="V18" s="195"/>
    </row>
    <row r="19" spans="1:34" s="1460" customFormat="1" ht="18" customHeight="1">
      <c r="A19" s="902">
        <v>2016</v>
      </c>
      <c r="B19" s="903"/>
      <c r="C19" s="412">
        <v>9620.0926435942747</v>
      </c>
      <c r="D19" s="412">
        <v>35628.362652639815</v>
      </c>
      <c r="E19" s="413">
        <v>3800.7115319418758</v>
      </c>
      <c r="F19" s="413">
        <v>10678.919490214055</v>
      </c>
      <c r="G19" s="413">
        <v>32259.964900798317</v>
      </c>
      <c r="H19" s="413">
        <v>9304.8609894770616</v>
      </c>
      <c r="I19" s="413">
        <v>1742.916051122651</v>
      </c>
      <c r="J19" s="756">
        <v>103035.87825978805</v>
      </c>
      <c r="K19" s="412">
        <v>10250.17044221769</v>
      </c>
      <c r="L19" s="412">
        <v>35519.263043730811</v>
      </c>
      <c r="M19" s="413">
        <v>14444.59264873529</v>
      </c>
      <c r="N19" s="413">
        <v>4743.1327945661342</v>
      </c>
      <c r="O19" s="413">
        <v>28554.761069293028</v>
      </c>
      <c r="P19" s="413">
        <v>7839.9956002011704</v>
      </c>
      <c r="Q19" s="413">
        <v>1683.8643059898279</v>
      </c>
      <c r="R19" s="376">
        <v>5.000000001200533E-2</v>
      </c>
      <c r="S19" s="376">
        <v>9.8355054102967188E-2</v>
      </c>
      <c r="V19" s="195"/>
    </row>
    <row r="20" spans="1:34" s="1460" customFormat="1" ht="18" customHeight="1">
      <c r="A20" s="902">
        <v>2017</v>
      </c>
      <c r="B20" s="903"/>
      <c r="C20" s="412">
        <v>9844.24222375524</v>
      </c>
      <c r="D20" s="412">
        <v>33126.256780167256</v>
      </c>
      <c r="E20" s="413">
        <v>4168.2348022354199</v>
      </c>
      <c r="F20" s="413">
        <v>10569.579162837721</v>
      </c>
      <c r="G20" s="413">
        <v>34810.035548883476</v>
      </c>
      <c r="H20" s="413">
        <v>9587.1617198524</v>
      </c>
      <c r="I20" s="413">
        <v>1856.958036383021</v>
      </c>
      <c r="J20" s="756">
        <v>103962.51127411453</v>
      </c>
      <c r="K20" s="412">
        <v>10409.521183392748</v>
      </c>
      <c r="L20" s="412">
        <v>35759.500057336394</v>
      </c>
      <c r="M20" s="413">
        <v>13628.657402771465</v>
      </c>
      <c r="N20" s="413">
        <v>5112.7767069530146</v>
      </c>
      <c r="O20" s="413">
        <v>29573.358985932482</v>
      </c>
      <c r="P20" s="413">
        <v>7491.356933333579</v>
      </c>
      <c r="Q20" s="413">
        <v>1987.2176237305448</v>
      </c>
      <c r="R20" s="376">
        <v>4.2999999997846317E-2</v>
      </c>
      <c r="S20" s="376">
        <v>0.12238066429836181</v>
      </c>
      <c r="V20" s="195"/>
    </row>
    <row r="21" spans="1:34" s="1460" customFormat="1" ht="18.75" customHeight="1">
      <c r="A21" s="902">
        <v>2018</v>
      </c>
      <c r="B21" s="903"/>
      <c r="C21" s="412">
        <f t="shared" ref="C21:Q21" si="0">C25</f>
        <v>12077.914251640086</v>
      </c>
      <c r="D21" s="412">
        <f t="shared" si="0"/>
        <v>31562.776179447024</v>
      </c>
      <c r="E21" s="413">
        <f t="shared" si="0"/>
        <v>4773.7616580048834</v>
      </c>
      <c r="F21" s="413">
        <f t="shared" si="0"/>
        <v>10533.217437483518</v>
      </c>
      <c r="G21" s="413">
        <f t="shared" si="0"/>
        <v>36343.584129216615</v>
      </c>
      <c r="H21" s="413">
        <f t="shared" si="0"/>
        <v>8910.7207628212709</v>
      </c>
      <c r="I21" s="413">
        <f t="shared" si="0"/>
        <v>1827.710405353311</v>
      </c>
      <c r="J21" s="756">
        <f t="shared" si="0"/>
        <v>106029.65770123522</v>
      </c>
      <c r="K21" s="412">
        <f t="shared" si="0"/>
        <v>10471.096219403946</v>
      </c>
      <c r="L21" s="412">
        <f t="shared" si="0"/>
        <v>37836.374171146585</v>
      </c>
      <c r="M21" s="413">
        <f t="shared" si="0"/>
        <v>14681.524209703142</v>
      </c>
      <c r="N21" s="413">
        <f t="shared" si="0"/>
        <v>3868.0836081053767</v>
      </c>
      <c r="O21" s="413">
        <f t="shared" si="0"/>
        <v>30757.426323058953</v>
      </c>
      <c r="P21" s="413">
        <f t="shared" si="0"/>
        <v>6888.8544178847615</v>
      </c>
      <c r="Q21" s="413">
        <f t="shared" si="0"/>
        <v>1526.2651469623547</v>
      </c>
      <c r="R21" s="1461">
        <f>J21-C21-D21-E21-F21-G21-H21-I21</f>
        <v>-2.7122731494955588E-2</v>
      </c>
      <c r="S21" s="376">
        <f>J21-K21-L21-M21-N21-O21-P21-Q21</f>
        <v>3.3604970098622289E-2</v>
      </c>
      <c r="V21" s="195"/>
    </row>
    <row r="22" spans="1:34" s="1460" customFormat="1" ht="18.75" customHeight="1">
      <c r="A22" s="1462">
        <v>2019</v>
      </c>
      <c r="B22" s="1463"/>
      <c r="C22" s="1464">
        <f t="shared" ref="C22:Q22" si="1">C29</f>
        <v>15466.11398654036</v>
      </c>
      <c r="D22" s="1464">
        <f t="shared" si="1"/>
        <v>34604.630668385471</v>
      </c>
      <c r="E22" s="1465">
        <f t="shared" si="1"/>
        <v>5815.1032999513063</v>
      </c>
      <c r="F22" s="1465">
        <f t="shared" si="1"/>
        <v>11262.057416418067</v>
      </c>
      <c r="G22" s="1465">
        <f t="shared" si="1"/>
        <v>32793.256255640124</v>
      </c>
      <c r="H22" s="1465">
        <f t="shared" si="1"/>
        <v>9169.9627471668682</v>
      </c>
      <c r="I22" s="1465">
        <f t="shared" si="1"/>
        <v>1726.9934262708496</v>
      </c>
      <c r="J22" s="1466">
        <f t="shared" si="1"/>
        <v>110838.18752805212</v>
      </c>
      <c r="K22" s="1464">
        <f t="shared" si="1"/>
        <v>11864.184531017187</v>
      </c>
      <c r="L22" s="1464">
        <f t="shared" si="1"/>
        <v>39835.566284914938</v>
      </c>
      <c r="M22" s="1465">
        <f t="shared" si="1"/>
        <v>16254.078350112821</v>
      </c>
      <c r="N22" s="1465">
        <f t="shared" si="1"/>
        <v>3950.1455906395749</v>
      </c>
      <c r="O22" s="1465">
        <f t="shared" si="1"/>
        <v>28910.541716264408</v>
      </c>
      <c r="P22" s="1465">
        <f t="shared" si="1"/>
        <v>8583.7159069612644</v>
      </c>
      <c r="Q22" s="1465">
        <f t="shared" si="1"/>
        <v>1439.9585064546654</v>
      </c>
      <c r="R22" s="376">
        <f>J22-C22-D22-E22-F22-G22-H22-I22</f>
        <v>6.9727679069501391E-2</v>
      </c>
      <c r="S22" s="376">
        <f>J22-K22-L22-M22-N22-O22-P22-Q22</f>
        <v>-3.3583127360543585E-3</v>
      </c>
      <c r="V22" s="195"/>
    </row>
    <row r="23" spans="1:34" s="1460" customFormat="1" ht="26.25" customHeight="1">
      <c r="A23" s="902">
        <v>2018</v>
      </c>
      <c r="B23" s="903" t="s">
        <v>223</v>
      </c>
      <c r="C23" s="412">
        <v>10764.172470333269</v>
      </c>
      <c r="D23" s="412">
        <v>31371.150945349833</v>
      </c>
      <c r="E23" s="413">
        <v>4273.404923822839</v>
      </c>
      <c r="F23" s="413">
        <v>9433.3912970127039</v>
      </c>
      <c r="G23" s="413">
        <v>35835.084199098383</v>
      </c>
      <c r="H23" s="413">
        <v>9163.2777487826515</v>
      </c>
      <c r="I23" s="413">
        <v>1995.5529733447256</v>
      </c>
      <c r="J23" s="756">
        <v>102836.20465513272</v>
      </c>
      <c r="K23" s="412">
        <v>10346.622702831199</v>
      </c>
      <c r="L23" s="412">
        <v>36650.348251802272</v>
      </c>
      <c r="M23" s="413">
        <v>13111.394525184513</v>
      </c>
      <c r="N23" s="413">
        <v>5059.1078789428848</v>
      </c>
      <c r="O23" s="413">
        <v>30437.664731238518</v>
      </c>
      <c r="P23" s="413">
        <v>5920.4058354140789</v>
      </c>
      <c r="Q23" s="413">
        <v>1310.7021745755412</v>
      </c>
      <c r="R23" s="376">
        <f t="shared" ref="R23" si="2">J23-C23-D23-E23-F23-G23-H23-I23</f>
        <v>0.17009738831438881</v>
      </c>
      <c r="S23" s="376">
        <f t="shared" ref="S23" si="3">J23-K23-L23-M23-N23-O23-P23-Q23</f>
        <v>-4.1444856287171206E-2</v>
      </c>
      <c r="V23" s="195"/>
    </row>
    <row r="24" spans="1:34" s="1460" customFormat="1" ht="18.75" customHeight="1">
      <c r="A24" s="902"/>
      <c r="B24" s="903" t="s">
        <v>224</v>
      </c>
      <c r="C24" s="412">
        <v>10891.598910523808</v>
      </c>
      <c r="D24" s="412">
        <v>30970.606926895223</v>
      </c>
      <c r="E24" s="413">
        <v>4516.460371696935</v>
      </c>
      <c r="F24" s="413">
        <v>10418.222316250933</v>
      </c>
      <c r="G24" s="413">
        <v>39376.413400153724</v>
      </c>
      <c r="H24" s="413">
        <v>9171.6062281483901</v>
      </c>
      <c r="I24" s="413">
        <v>1819.347610238473</v>
      </c>
      <c r="J24" s="756">
        <v>107164.2054339813</v>
      </c>
      <c r="K24" s="412">
        <v>10722.965271796762</v>
      </c>
      <c r="L24" s="412">
        <v>39745.850740319496</v>
      </c>
      <c r="M24" s="413">
        <v>14079.054600117144</v>
      </c>
      <c r="N24" s="413">
        <v>3942.746477825342</v>
      </c>
      <c r="O24" s="413">
        <v>31206.048112185112</v>
      </c>
      <c r="P24" s="413">
        <v>6140.3050864764318</v>
      </c>
      <c r="Q24" s="413">
        <v>1327.2143824292098</v>
      </c>
      <c r="R24" s="1461">
        <v>-5.0329926189988328E-2</v>
      </c>
      <c r="S24" s="1461">
        <v>2.0762831812135119E-2</v>
      </c>
      <c r="T24" s="1467"/>
      <c r="U24" s="1467"/>
      <c r="V24" s="904"/>
      <c r="W24" s="1467"/>
    </row>
    <row r="25" spans="1:34" s="1460" customFormat="1" ht="18.75" customHeight="1">
      <c r="A25" s="902"/>
      <c r="B25" s="903" t="s">
        <v>225</v>
      </c>
      <c r="C25" s="412">
        <v>12077.914251640086</v>
      </c>
      <c r="D25" s="412">
        <v>31562.776179447024</v>
      </c>
      <c r="E25" s="413">
        <v>4773.7616580048834</v>
      </c>
      <c r="F25" s="413">
        <v>10533.217437483518</v>
      </c>
      <c r="G25" s="413">
        <v>36343.584129216615</v>
      </c>
      <c r="H25" s="413">
        <v>8910.7207628212709</v>
      </c>
      <c r="I25" s="413">
        <v>1827.710405353311</v>
      </c>
      <c r="J25" s="756">
        <v>106029.65770123522</v>
      </c>
      <c r="K25" s="412">
        <v>10471.096219403946</v>
      </c>
      <c r="L25" s="412">
        <v>37836.374171146585</v>
      </c>
      <c r="M25" s="413">
        <v>14681.524209703142</v>
      </c>
      <c r="N25" s="413">
        <v>3868.0836081053767</v>
      </c>
      <c r="O25" s="413">
        <v>30757.426323058953</v>
      </c>
      <c r="P25" s="413">
        <v>6888.8544178847615</v>
      </c>
      <c r="Q25" s="413">
        <v>1526.2651469623547</v>
      </c>
      <c r="R25" s="376">
        <v>-2.7122731494955588E-2</v>
      </c>
      <c r="S25" s="376">
        <v>3.3604970098622289E-2</v>
      </c>
      <c r="V25" s="195"/>
    </row>
    <row r="26" spans="1:34" s="195" customFormat="1" ht="26.25" customHeight="1">
      <c r="A26" s="902">
        <v>2019</v>
      </c>
      <c r="B26" s="903" t="s">
        <v>222</v>
      </c>
      <c r="C26" s="412">
        <v>13091.47905723471</v>
      </c>
      <c r="D26" s="412">
        <v>32460.831175995161</v>
      </c>
      <c r="E26" s="413">
        <v>4906.5206671155074</v>
      </c>
      <c r="F26" s="413">
        <v>10404.556171463648</v>
      </c>
      <c r="G26" s="413">
        <v>43253.043648161802</v>
      </c>
      <c r="H26" s="413">
        <v>10100.642753311407</v>
      </c>
      <c r="I26" s="413">
        <v>1564.782112394098</v>
      </c>
      <c r="J26" s="756">
        <v>115781.84755346496</v>
      </c>
      <c r="K26" s="412">
        <v>11601.731784383222</v>
      </c>
      <c r="L26" s="412">
        <v>39944.769192249194</v>
      </c>
      <c r="M26" s="413">
        <v>14994.316045049243</v>
      </c>
      <c r="N26" s="413">
        <v>4377.6856157214643</v>
      </c>
      <c r="O26" s="413">
        <v>36409.195165839228</v>
      </c>
      <c r="P26" s="413">
        <v>6881.7802784324058</v>
      </c>
      <c r="Q26" s="413">
        <v>1572.3353426895646</v>
      </c>
      <c r="R26" s="1461">
        <v>-8.0322113776674087E-3</v>
      </c>
      <c r="S26" s="1461">
        <v>3.4129100634345377E-2</v>
      </c>
      <c r="T26" s="1467"/>
      <c r="U26" s="1460"/>
    </row>
    <row r="27" spans="1:34" s="195" customFormat="1" ht="19.5" customHeight="1">
      <c r="A27" s="902"/>
      <c r="B27" s="903" t="s">
        <v>223</v>
      </c>
      <c r="C27" s="412">
        <f t="shared" ref="C27:Q27" si="4">C33</f>
        <v>14380.23544413578</v>
      </c>
      <c r="D27" s="412">
        <f t="shared" si="4"/>
        <v>33689.216018909341</v>
      </c>
      <c r="E27" s="413">
        <f t="shared" si="4"/>
        <v>5171.5204248911887</v>
      </c>
      <c r="F27" s="413">
        <f t="shared" si="4"/>
        <v>11675.633314317321</v>
      </c>
      <c r="G27" s="413">
        <f t="shared" si="4"/>
        <v>35654.200654049564</v>
      </c>
      <c r="H27" s="413">
        <f t="shared" si="4"/>
        <v>9667.7884149395395</v>
      </c>
      <c r="I27" s="413">
        <f t="shared" si="4"/>
        <v>1311.9371217942983</v>
      </c>
      <c r="J27" s="756">
        <f t="shared" si="4"/>
        <v>111550.39417585565</v>
      </c>
      <c r="K27" s="412">
        <f t="shared" si="4"/>
        <v>11404.325990491987</v>
      </c>
      <c r="L27" s="412">
        <f t="shared" si="4"/>
        <v>37622.782363560589</v>
      </c>
      <c r="M27" s="413">
        <f t="shared" si="4"/>
        <v>15529.108490167173</v>
      </c>
      <c r="N27" s="413">
        <f t="shared" si="4"/>
        <v>4098.2636827138303</v>
      </c>
      <c r="O27" s="413">
        <f t="shared" si="4"/>
        <v>32912.188380172222</v>
      </c>
      <c r="P27" s="413">
        <f t="shared" si="4"/>
        <v>8406.8023629079144</v>
      </c>
      <c r="Q27" s="413">
        <f t="shared" si="4"/>
        <v>1576.884733853683</v>
      </c>
      <c r="R27" s="1461">
        <f t="shared" ref="R27" si="5">J27-C27-D27-E27-F27-G27-H27-I27</f>
        <v>-0.13721718138663164</v>
      </c>
      <c r="S27" s="1461">
        <f t="shared" ref="S27" si="6">J27-K27-L27-M27-N27-O27-P27-Q27</f>
        <v>3.8171988250269351E-2</v>
      </c>
      <c r="T27" s="1467"/>
      <c r="U27" s="1467"/>
      <c r="V27" s="904"/>
      <c r="W27" s="904"/>
      <c r="X27" s="904"/>
      <c r="Y27" s="904"/>
      <c r="Z27" s="904"/>
      <c r="AA27" s="904"/>
      <c r="AB27" s="904"/>
      <c r="AC27" s="904"/>
      <c r="AD27" s="904"/>
      <c r="AE27" s="904"/>
      <c r="AF27" s="904"/>
      <c r="AG27" s="904"/>
      <c r="AH27" s="904"/>
    </row>
    <row r="28" spans="1:34" s="195" customFormat="1" ht="19.5" customHeight="1">
      <c r="A28" s="902"/>
      <c r="B28" s="903" t="s">
        <v>224</v>
      </c>
      <c r="C28" s="412">
        <f t="shared" ref="C28:Q28" si="7">C36</f>
        <v>15116.553417715844</v>
      </c>
      <c r="D28" s="412">
        <f t="shared" si="7"/>
        <v>33056.277617422675</v>
      </c>
      <c r="E28" s="413">
        <f t="shared" si="7"/>
        <v>5796.355811892272</v>
      </c>
      <c r="F28" s="413">
        <f t="shared" si="7"/>
        <v>10836.44085583911</v>
      </c>
      <c r="G28" s="413">
        <f t="shared" si="7"/>
        <v>34171.209595188418</v>
      </c>
      <c r="H28" s="413">
        <f t="shared" si="7"/>
        <v>9205.5556417443968</v>
      </c>
      <c r="I28" s="413">
        <f t="shared" si="7"/>
        <v>1670.7430182776004</v>
      </c>
      <c r="J28" s="756">
        <f t="shared" si="7"/>
        <v>109853.16340706893</v>
      </c>
      <c r="K28" s="412">
        <f t="shared" si="7"/>
        <v>12013.189011534996</v>
      </c>
      <c r="L28" s="412">
        <f t="shared" si="7"/>
        <v>39464.615470187666</v>
      </c>
      <c r="M28" s="413">
        <f t="shared" si="7"/>
        <v>15737.340697732372</v>
      </c>
      <c r="N28" s="413">
        <f t="shared" si="7"/>
        <v>4002.1846093937074</v>
      </c>
      <c r="O28" s="413">
        <f t="shared" si="7"/>
        <v>28737.513620254969</v>
      </c>
      <c r="P28" s="413">
        <f t="shared" si="7"/>
        <v>8148.3169628278401</v>
      </c>
      <c r="Q28" s="413">
        <f t="shared" si="7"/>
        <v>1750.0958050400482</v>
      </c>
      <c r="R28" s="1461">
        <f t="shared" ref="R28" si="8">J28-C28-D28-E28-F28-G28-H28-I28</f>
        <v>2.7448988619880765E-2</v>
      </c>
      <c r="S28" s="1461">
        <f t="shared" ref="S28" si="9">J28-K28-L28-M28-N28-O28-P28-Q28</f>
        <v>-9.2769902668351278E-2</v>
      </c>
      <c r="T28" s="1467"/>
      <c r="U28" s="1460"/>
    </row>
    <row r="29" spans="1:34" s="904" customFormat="1" ht="19.5" customHeight="1">
      <c r="A29" s="902"/>
      <c r="B29" s="903" t="s">
        <v>225</v>
      </c>
      <c r="C29" s="412">
        <f t="shared" ref="C29:Q29" si="10">C39</f>
        <v>15466.11398654036</v>
      </c>
      <c r="D29" s="412">
        <f t="shared" si="10"/>
        <v>34604.630668385471</v>
      </c>
      <c r="E29" s="413">
        <f t="shared" si="10"/>
        <v>5815.1032999513063</v>
      </c>
      <c r="F29" s="413">
        <f t="shared" si="10"/>
        <v>11262.057416418067</v>
      </c>
      <c r="G29" s="413">
        <f t="shared" si="10"/>
        <v>32793.256255640124</v>
      </c>
      <c r="H29" s="413">
        <f t="shared" si="10"/>
        <v>9169.9627471668682</v>
      </c>
      <c r="I29" s="413">
        <f t="shared" si="10"/>
        <v>1726.9934262708496</v>
      </c>
      <c r="J29" s="756">
        <f t="shared" si="10"/>
        <v>110838.18752805212</v>
      </c>
      <c r="K29" s="412">
        <f t="shared" si="10"/>
        <v>11864.184531017187</v>
      </c>
      <c r="L29" s="412">
        <f t="shared" si="10"/>
        <v>39835.566284914938</v>
      </c>
      <c r="M29" s="413">
        <f t="shared" si="10"/>
        <v>16254.078350112821</v>
      </c>
      <c r="N29" s="413">
        <f t="shared" si="10"/>
        <v>3950.1455906395749</v>
      </c>
      <c r="O29" s="413">
        <f t="shared" si="10"/>
        <v>28910.541716264408</v>
      </c>
      <c r="P29" s="413">
        <f t="shared" si="10"/>
        <v>8583.7159069612644</v>
      </c>
      <c r="Q29" s="413">
        <f t="shared" si="10"/>
        <v>1439.9585064546654</v>
      </c>
      <c r="R29" s="1461">
        <f t="shared" ref="R29" si="11">J29-C29-D29-E29-F29-G29-H29-I29</f>
        <v>6.9727679069501391E-2</v>
      </c>
      <c r="S29" s="1461">
        <f t="shared" ref="S29" si="12">J29-K29-L29-M29-N29-O29-P29-Q29</f>
        <v>-3.3583127360543585E-3</v>
      </c>
      <c r="T29" s="1467"/>
      <c r="U29" s="1467"/>
    </row>
    <row r="30" spans="1:34" s="195" customFormat="1" ht="21" customHeight="1">
      <c r="A30" s="1462">
        <v>2020</v>
      </c>
      <c r="B30" s="1463" t="s">
        <v>222</v>
      </c>
      <c r="C30" s="1464">
        <f t="shared" ref="C30:Q30" si="13">C42</f>
        <v>17305.222455607953</v>
      </c>
      <c r="D30" s="1464">
        <f t="shared" si="13"/>
        <v>35679.246367131396</v>
      </c>
      <c r="E30" s="1465">
        <f t="shared" si="13"/>
        <v>6489.4065303375755</v>
      </c>
      <c r="F30" s="1465">
        <f t="shared" si="13"/>
        <v>11538.159425861662</v>
      </c>
      <c r="G30" s="1465">
        <f t="shared" si="13"/>
        <v>34150.257527980888</v>
      </c>
      <c r="H30" s="1465">
        <f t="shared" si="13"/>
        <v>9019.3854317920959</v>
      </c>
      <c r="I30" s="1465">
        <f t="shared" si="13"/>
        <v>1562.0915742385494</v>
      </c>
      <c r="J30" s="1466">
        <f t="shared" si="13"/>
        <v>115743.76931295013</v>
      </c>
      <c r="K30" s="1464">
        <f t="shared" si="13"/>
        <v>13738.425337960625</v>
      </c>
      <c r="L30" s="1464">
        <f t="shared" si="13"/>
        <v>42134.596849018111</v>
      </c>
      <c r="M30" s="1465">
        <f t="shared" si="13"/>
        <v>15309.661702780386</v>
      </c>
      <c r="N30" s="1465">
        <f t="shared" si="13"/>
        <v>3923.8154900428945</v>
      </c>
      <c r="O30" s="1465">
        <f t="shared" si="13"/>
        <v>29476.870419139366</v>
      </c>
      <c r="P30" s="1465">
        <f t="shared" si="13"/>
        <v>9525.2283567165614</v>
      </c>
      <c r="Q30" s="1465">
        <f t="shared" si="13"/>
        <v>1635.2390645769635</v>
      </c>
      <c r="R30" s="376">
        <f t="shared" ref="R30" si="14">J30-C30-D30-E30-F30-G30-H30-I30</f>
        <v>1.659827830735594E-11</v>
      </c>
      <c r="S30" s="376">
        <f t="shared" ref="S30" si="15">J30-K30-L30-M30-N30-O30-P30-Q30</f>
        <v>-6.7907284778584653E-2</v>
      </c>
      <c r="T30" s="1460"/>
      <c r="U30" s="1460"/>
    </row>
    <row r="31" spans="1:34" s="195" customFormat="1" ht="26.25" customHeight="1">
      <c r="A31" s="902">
        <v>2019</v>
      </c>
      <c r="B31" s="903" t="s">
        <v>399</v>
      </c>
      <c r="C31" s="412">
        <f>'[45]3'!$AA$17</f>
        <v>13699.904284748474</v>
      </c>
      <c r="D31" s="412">
        <f>'[45]3'!$AA$16-'[45]3'!$AA$17</f>
        <v>31962.76293555725</v>
      </c>
      <c r="E31" s="413">
        <f>'[45]3'!$AA$23</f>
        <v>5076.7284906784935</v>
      </c>
      <c r="F31" s="413">
        <f>'[45]3'!$AA$131+0.02</f>
        <v>11387.95740985745</v>
      </c>
      <c r="G31" s="413">
        <f>'[45]3'!$AA$82</f>
        <v>37439.078882433256</v>
      </c>
      <c r="H31" s="413">
        <f>'[45]3'!$AA$36</f>
        <v>10405.523020344976</v>
      </c>
      <c r="I31" s="413">
        <f>'[45]3'!$AA$76+'[45]3'!$AA$103+'[45]3'!$AA$146+'[45]3'!$AA$149</f>
        <v>1433.210441819884</v>
      </c>
      <c r="J31" s="756">
        <f>'[45]3'!$AA$152</f>
        <v>111405.1770546849</v>
      </c>
      <c r="K31" s="412">
        <f>'[45]3'!$N$17-0.1</f>
        <v>11897.205736872444</v>
      </c>
      <c r="L31" s="412">
        <f>'[45]3'!$N$16-'[45]3'!$N$17</f>
        <v>39731.922783025148</v>
      </c>
      <c r="M31" s="413">
        <f>'[45]3'!$N$23</f>
        <v>14952.275282021235</v>
      </c>
      <c r="N31" s="413">
        <f>'[45]3'!$N$131</f>
        <v>4322.2804601504213</v>
      </c>
      <c r="O31" s="413">
        <f>'[45]3'!$N$82</f>
        <v>30950.805593713136</v>
      </c>
      <c r="P31" s="413">
        <f>'[45]3'!$N$36</f>
        <v>7968.5694799750499</v>
      </c>
      <c r="Q31" s="413">
        <f>'[45]3'!$N$76+'[45]3'!$N$103+'[45]3'!$N$146+'[45]3'!$N$149</f>
        <v>1582.0621404794056</v>
      </c>
      <c r="R31" s="376">
        <f t="shared" ref="R31" si="16">J31-C31-D31-E31-F31-G31-H31-I31</f>
        <v>1.158924510241377E-2</v>
      </c>
      <c r="S31" s="376">
        <f t="shared" ref="S31" si="17">J31-K31-L31-M31-N31-O31-P31-Q31</f>
        <v>5.5578448061169183E-2</v>
      </c>
      <c r="T31" s="904"/>
    </row>
    <row r="32" spans="1:34" s="195" customFormat="1" ht="18.75" customHeight="1">
      <c r="A32" s="902"/>
      <c r="B32" s="903" t="s">
        <v>400</v>
      </c>
      <c r="C32" s="413">
        <f>'[46]3'!$AA$17</f>
        <v>13911.893814742803</v>
      </c>
      <c r="D32" s="412">
        <f>'[46]3'!$AA$16-'[46]3'!$AA$17-0.02</f>
        <v>33062.043784023343</v>
      </c>
      <c r="E32" s="413">
        <f>'[46]3'!$AA$23</f>
        <v>5076.3671026622796</v>
      </c>
      <c r="F32" s="413">
        <f>'[46]3'!$AA$131</f>
        <v>11457.771287600339</v>
      </c>
      <c r="G32" s="413">
        <f>'[46]3'!$AA$82</f>
        <v>37172.945248722725</v>
      </c>
      <c r="H32" s="413">
        <f>'[46]3'!$AA$36</f>
        <v>8981.0230173813288</v>
      </c>
      <c r="I32" s="413">
        <f>'[46]3'!$AA$76+'[46]3'!$AA$103+'[46]3'!$AA$146+'[46]3'!$AA$149</f>
        <v>1330.6401299403531</v>
      </c>
      <c r="J32" s="756">
        <f>'[46]3'!$AA$152-0.1</f>
        <v>110992.64316700178</v>
      </c>
      <c r="K32" s="412">
        <f>'[46]3'!$N$17</f>
        <v>11067.124525030422</v>
      </c>
      <c r="L32" s="412">
        <f>'[46]3'!$N$16-'[46]3'!$N$17</f>
        <v>38601.315541832802</v>
      </c>
      <c r="M32" s="413">
        <f>'[46]3'!$N$23</f>
        <v>15270.336542683566</v>
      </c>
      <c r="N32" s="413">
        <f>'[46]3'!$N$131</f>
        <v>3872.3550166207087</v>
      </c>
      <c r="O32" s="413">
        <f>'[46]3'!$N$82</f>
        <v>32411.126660250702</v>
      </c>
      <c r="P32" s="413">
        <f>'[46]3'!$N$36</f>
        <v>8120.5668512291531</v>
      </c>
      <c r="Q32" s="413">
        <f>'[46]3'!$N$76+'[46]3'!$N$103+'[46]3'!$N$146+'[46]3'!$N$149</f>
        <v>1649.836957401827</v>
      </c>
      <c r="R32" s="376">
        <f t="shared" ref="R32" si="18">J32-C32-D32-E32-F32-G32-H32-I32</f>
        <v>-4.1218071388129829E-2</v>
      </c>
      <c r="S32" s="376">
        <f t="shared" ref="S32" si="19">J32-K32-L32-M32-N32-O32-P32-Q32</f>
        <v>-1.8928047399640491E-2</v>
      </c>
      <c r="T32" s="904"/>
    </row>
    <row r="33" spans="1:20" s="195" customFormat="1" ht="18.75" customHeight="1">
      <c r="A33" s="902"/>
      <c r="B33" s="903" t="s">
        <v>401</v>
      </c>
      <c r="C33" s="413">
        <f>'[47]3'!$AA$17+0.2</f>
        <v>14380.23544413578</v>
      </c>
      <c r="D33" s="412">
        <f>'[47]3'!$AA$16-'[47]3'!$AA$17-0.1</f>
        <v>33689.216018909341</v>
      </c>
      <c r="E33" s="413">
        <f>'[47]3'!$AA$23</f>
        <v>5171.5204248911887</v>
      </c>
      <c r="F33" s="413">
        <f>'[47]3'!$AA$131</f>
        <v>11675.633314317321</v>
      </c>
      <c r="G33" s="413">
        <f>'[47]3'!$AA$82</f>
        <v>35654.200654049564</v>
      </c>
      <c r="H33" s="413">
        <f>'[47]3'!$AA$36+0.05</f>
        <v>9667.7884149395395</v>
      </c>
      <c r="I33" s="413">
        <f>'[47]3'!$AA$76+'[47]3'!$AA$103+'[47]3'!$AA$146+'[47]3'!$AA$149</f>
        <v>1311.9371217942983</v>
      </c>
      <c r="J33" s="756">
        <f>'[47]3'!$AA$152</f>
        <v>111550.39417585565</v>
      </c>
      <c r="K33" s="412">
        <f>'[47]3'!$N$17-0.05</f>
        <v>11404.325990491987</v>
      </c>
      <c r="L33" s="412">
        <f>'[47]3'!$N$16-'[47]3'!$N$17</f>
        <v>37622.782363560589</v>
      </c>
      <c r="M33" s="413">
        <f>'[47]3'!$N$23</f>
        <v>15529.108490167173</v>
      </c>
      <c r="N33" s="413">
        <f>'[47]3'!$N$131</f>
        <v>4098.2636827138303</v>
      </c>
      <c r="O33" s="413">
        <f>'[47]3'!$N$82</f>
        <v>32912.188380172222</v>
      </c>
      <c r="P33" s="413">
        <f>'[47]3'!$N$36-0.05</f>
        <v>8406.8023629079144</v>
      </c>
      <c r="Q33" s="413">
        <f>'[47]3'!$N$76+'[47]3'!$N$103+'[47]3'!$N$146+'[47]3'!$N$149</f>
        <v>1576.884733853683</v>
      </c>
      <c r="R33" s="376">
        <f t="shared" ref="R33" si="20">J33-C33-D33-E33-F33-G33-H33-I33</f>
        <v>-0.13721718138663164</v>
      </c>
      <c r="S33" s="376">
        <f t="shared" ref="S33" si="21">J33-K33-L33-M33-N33-O33-P33-Q33</f>
        <v>3.8171988250269351E-2</v>
      </c>
      <c r="T33" s="904"/>
    </row>
    <row r="34" spans="1:20" s="195" customFormat="1" ht="18.75" customHeight="1">
      <c r="A34" s="902"/>
      <c r="B34" s="903" t="s">
        <v>402</v>
      </c>
      <c r="C34" s="413">
        <f>'[48]3'!$AA$17+0.1</f>
        <v>14356.08580696934</v>
      </c>
      <c r="D34" s="412">
        <f>'[48]3'!$AA$16-'[48]3'!$AA$17</f>
        <v>32884.99870087122</v>
      </c>
      <c r="E34" s="413">
        <f>'[48]3'!$AA$23-0.01</f>
        <v>5219.1402739303458</v>
      </c>
      <c r="F34" s="413">
        <f>'[48]3'!$AA$131-0.05</f>
        <v>10531.341539855301</v>
      </c>
      <c r="G34" s="413">
        <f>'[48]3'!$AA$82-0.03</f>
        <v>34624.136274787219</v>
      </c>
      <c r="H34" s="413">
        <f>'[48]3'!$AA$36</f>
        <v>9024.4938887643875</v>
      </c>
      <c r="I34" s="413">
        <f>'[48]3'!$AA$76+'[48]3'!$AA$103+'[48]3'!$AA$146+'[48]3'!$AA$149</f>
        <v>1905.1972082142454</v>
      </c>
      <c r="J34" s="756">
        <f>'[48]3'!$AA$152-0.05</f>
        <v>108545.33342112416</v>
      </c>
      <c r="K34" s="412">
        <f>'[48]3'!$N$17</f>
        <v>10927.618499051261</v>
      </c>
      <c r="L34" s="412">
        <f>'[48]3'!$N$16-'[48]3'!$N$17</f>
        <v>38071.500629555223</v>
      </c>
      <c r="M34" s="413">
        <f>'[48]3'!$N$23</f>
        <v>15646.872112215602</v>
      </c>
      <c r="N34" s="413">
        <f>'[48]3'!$N$131+0.02</f>
        <v>4247.4582176396671</v>
      </c>
      <c r="O34" s="413">
        <f>'[48]3'!$N$82</f>
        <v>29411.966095104759</v>
      </c>
      <c r="P34" s="413">
        <f>'[48]3'!$N$36</f>
        <v>8540.0241942999055</v>
      </c>
      <c r="Q34" s="413">
        <f>'[48]3'!$N$76+'[48]3'!$N$103+'[48]3'!$N$146+'[48]3'!$N$149</f>
        <v>1699.7986056888419</v>
      </c>
      <c r="R34" s="376">
        <f t="shared" ref="R34" si="22">J34-C34-D34-E34-F34-G34-H34-I34</f>
        <v>-6.0272267895697951E-2</v>
      </c>
      <c r="S34" s="376">
        <f t="shared" ref="S34" si="23">J34-K34-L34-M34-N34-O34-P34-Q34</f>
        <v>9.5067568903914434E-2</v>
      </c>
      <c r="T34" s="904"/>
    </row>
    <row r="35" spans="1:20" s="195" customFormat="1" ht="18.75" customHeight="1">
      <c r="A35" s="902"/>
      <c r="B35" s="903" t="s">
        <v>403</v>
      </c>
      <c r="C35" s="413">
        <f>'[49]3'!$AA$17+0.05</f>
        <v>14744.967183161281</v>
      </c>
      <c r="D35" s="412">
        <f>'[49]3'!$AA$16-'[49]3'!$AA$17-0.01</f>
        <v>32866.84442141492</v>
      </c>
      <c r="E35" s="413">
        <f>'[49]3'!$AA$23</f>
        <v>5575.9585508490609</v>
      </c>
      <c r="F35" s="413">
        <f>'[49]3'!$AA$131</f>
        <v>9787.8628594731508</v>
      </c>
      <c r="G35" s="413">
        <f>'[49]3'!$AA$82</f>
        <v>34388.989832888052</v>
      </c>
      <c r="H35" s="413">
        <f>'[49]3'!$AA$36</f>
        <v>9004.5003967481862</v>
      </c>
      <c r="I35" s="413">
        <f>'[49]3'!$AA$76+'[49]3'!$AA$103+'[49]3'!$AA$146+'[49]3'!$AA$149</f>
        <v>1587.7640951005478</v>
      </c>
      <c r="J35" s="756">
        <f>'[49]3'!$AA$152+0.13</f>
        <v>107956.9603706873</v>
      </c>
      <c r="K35" s="412">
        <f>'[49]3'!$N$17+0.02</f>
        <v>11241.664773350411</v>
      </c>
      <c r="L35" s="412">
        <f>'[49]3'!$N$16-'[49]3'!$N$17</f>
        <v>37417.271180588636</v>
      </c>
      <c r="M35" s="413">
        <f>'[49]3'!$N$23</f>
        <v>15729.076554907457</v>
      </c>
      <c r="N35" s="413">
        <f>'[49]3'!$N$131+0.02</f>
        <v>3697.4563231250704</v>
      </c>
      <c r="O35" s="413">
        <f>'[49]3'!$N$82+0.05</f>
        <v>29878.172995133391</v>
      </c>
      <c r="P35" s="413">
        <f>'[49]3'!$N$36</f>
        <v>8238.9809549901747</v>
      </c>
      <c r="Q35" s="413">
        <f>'[49]3'!$N$76+'[49]3'!$N$103+'[49]3'!$N$146+'[49]3'!$N$149+0.01</f>
        <v>1754.1576278288674</v>
      </c>
      <c r="R35" s="376">
        <f t="shared" ref="R35" si="24">J35-C35-D35-E35-F35-G35-H35-I35</f>
        <v>7.3031052103942784E-2</v>
      </c>
      <c r="S35" s="376">
        <f t="shared" ref="S35" si="25">J35-K35-L35-M35-N35-O35-P35-Q35</f>
        <v>0.17996076329768584</v>
      </c>
      <c r="T35" s="904"/>
    </row>
    <row r="36" spans="1:20" s="195" customFormat="1" ht="18.75" customHeight="1">
      <c r="A36" s="902"/>
      <c r="B36" s="903" t="s">
        <v>404</v>
      </c>
      <c r="C36" s="413">
        <f>'[50]3'!$AA$17</f>
        <v>15116.553417715844</v>
      </c>
      <c r="D36" s="412">
        <f>'[50]3'!$AA$16-'[50]3'!$AA$17</f>
        <v>33056.277617422675</v>
      </c>
      <c r="E36" s="413">
        <f>'[50]3'!$AA$23</f>
        <v>5796.355811892272</v>
      </c>
      <c r="F36" s="413">
        <f>'[50]3'!$AA$131</f>
        <v>10836.44085583911</v>
      </c>
      <c r="G36" s="413">
        <f>'[50]3'!$AA$82</f>
        <v>34171.209595188418</v>
      </c>
      <c r="H36" s="413">
        <f>'[50]3'!$AA$36</f>
        <v>9205.5556417443968</v>
      </c>
      <c r="I36" s="413">
        <f>'[50]3'!$AA$76+'[50]3'!$AA$103+'[50]3'!$AA$146+'[50]3'!$AA$149</f>
        <v>1670.7430182776004</v>
      </c>
      <c r="J36" s="756">
        <f>'[50]3'!$AA$152+0.05</f>
        <v>109853.16340706893</v>
      </c>
      <c r="K36" s="412">
        <f>'[50]3'!$N$17</f>
        <v>12013.189011534996</v>
      </c>
      <c r="L36" s="412">
        <f>'[50]3'!$N$16-'[50]3'!$N$17</f>
        <v>39464.615470187666</v>
      </c>
      <c r="M36" s="413">
        <f>'[50]3'!$N$23</f>
        <v>15737.340697732372</v>
      </c>
      <c r="N36" s="413">
        <f>'[50]3'!$N$131</f>
        <v>4002.1846093937074</v>
      </c>
      <c r="O36" s="413">
        <f>'[50]3'!$N$82</f>
        <v>28737.513620254969</v>
      </c>
      <c r="P36" s="413">
        <f>'[50]3'!$N$36</f>
        <v>8148.3169628278401</v>
      </c>
      <c r="Q36" s="413">
        <f>'[50]3'!$N$76+'[50]3'!$N$103+'[50]3'!$N$146+'[50]3'!$N$149</f>
        <v>1750.0958050400482</v>
      </c>
      <c r="R36" s="376">
        <f t="shared" ref="R36" si="26">J36-C36-D36-E36-F36-G36-H36-I36</f>
        <v>2.7448988619880765E-2</v>
      </c>
      <c r="S36" s="376">
        <f t="shared" ref="S36" si="27">J36-K36-L36-M36-N36-O36-P36-Q36</f>
        <v>-9.2769902668351278E-2</v>
      </c>
      <c r="T36" s="904"/>
    </row>
    <row r="37" spans="1:20" s="195" customFormat="1" ht="18.75" customHeight="1">
      <c r="A37" s="902"/>
      <c r="B37" s="903" t="s">
        <v>405</v>
      </c>
      <c r="C37" s="413">
        <f>'[51]3'!$AA$17</f>
        <v>15120.320774582249</v>
      </c>
      <c r="D37" s="412">
        <f>'[51]3'!$AA$16-'[51]3'!$AA$17</f>
        <v>33002.906433303295</v>
      </c>
      <c r="E37" s="413">
        <f>'[51]3'!$AA$23</f>
        <v>5801.4404116328305</v>
      </c>
      <c r="F37" s="413">
        <f>'[51]3'!$AA$131</f>
        <v>10342.431033933215</v>
      </c>
      <c r="G37" s="413">
        <f>'[51]3'!$AA$82</f>
        <v>35959.563903371491</v>
      </c>
      <c r="H37" s="413">
        <f>'[51]3'!$AA$36</f>
        <v>9106.434227499818</v>
      </c>
      <c r="I37" s="413">
        <f>'[51]3'!$AA$76+'[51]3'!$AA$103+'[51]3'!$AA$146+'[51]3'!$AA$149</f>
        <v>1729.8161243591285</v>
      </c>
      <c r="J37" s="756">
        <f>'[51]3'!$AA$152-0.1</f>
        <v>111062.81263641414</v>
      </c>
      <c r="K37" s="412">
        <f>'[51]3'!$N$17-0.1</f>
        <v>11644.74969994465</v>
      </c>
      <c r="L37" s="412">
        <f>'[51]3'!$N$16-'[51]3'!$N$17</f>
        <v>37999.207339536901</v>
      </c>
      <c r="M37" s="413">
        <f>'[51]3'!$N$23</f>
        <v>16182.60730361286</v>
      </c>
      <c r="N37" s="413">
        <f>'[51]3'!$N$131</f>
        <v>3731.7731108555058</v>
      </c>
      <c r="O37" s="413">
        <f>'[51]3'!$N$82</f>
        <v>31234.186395872672</v>
      </c>
      <c r="P37" s="413">
        <f>'[51]3'!$N$36+0.01</f>
        <v>8667.8597607142947</v>
      </c>
      <c r="Q37" s="413">
        <f>'[51]3'!$N$76+'[51]3'!$N$103+'[51]3'!$N$146+'[51]3'!$N$149</f>
        <v>1602.3510551305387</v>
      </c>
      <c r="R37" s="376">
        <f t="shared" ref="R37" si="28">J37-C37-D37-E37-F37-G37-H37-I37</f>
        <v>-0.10027226788497501</v>
      </c>
      <c r="S37" s="376">
        <f t="shared" ref="S37" si="29">J37-K37-L37-M37-N37-O37-P37-Q37</f>
        <v>7.7970746717483053E-2</v>
      </c>
      <c r="T37" s="904"/>
    </row>
    <row r="38" spans="1:20" s="195" customFormat="1" ht="18.75" customHeight="1">
      <c r="A38" s="902"/>
      <c r="B38" s="903" t="s">
        <v>406</v>
      </c>
      <c r="C38" s="413">
        <f>'[52]3'!$AA$17</f>
        <v>15043.430433789003</v>
      </c>
      <c r="D38" s="412">
        <f>'[52]3'!$AA$16-'[52]3'!$AA$17</f>
        <v>34019.81688788475</v>
      </c>
      <c r="E38" s="413">
        <f>'[52]3'!$AA$23</f>
        <v>5849.9100624815619</v>
      </c>
      <c r="F38" s="413">
        <f>'[52]3'!$AA$131+0.01</f>
        <v>10765.65727940521</v>
      </c>
      <c r="G38" s="413">
        <f>'[52]3'!$AA$82+0.03</f>
        <v>35126.655759479079</v>
      </c>
      <c r="H38" s="413">
        <f>'[52]3'!$AA$36</f>
        <v>9170.2590112277812</v>
      </c>
      <c r="I38" s="413">
        <f>'[52]3'!$AA$76+'[52]3'!$AA$103+'[52]3'!$AA$146+'[52]3'!$AA$149</f>
        <v>1500.4158424036332</v>
      </c>
      <c r="J38" s="756">
        <f>'[52]3'!$AA$152+0.06</f>
        <v>111476.16808635007</v>
      </c>
      <c r="K38" s="412">
        <f>'[52]3'!$N$17-0.05</f>
        <v>11381.627853689872</v>
      </c>
      <c r="L38" s="412">
        <f>'[52]3'!$N$16-'[52]3'!$N$17</f>
        <v>39695.194403783455</v>
      </c>
      <c r="M38" s="413">
        <f>'[52]3'!$N$23</f>
        <v>16119.024047011742</v>
      </c>
      <c r="N38" s="413">
        <f>'[52]3'!$N$131</f>
        <v>3949.7988086856203</v>
      </c>
      <c r="O38" s="413">
        <f>'[52]3'!$N$82</f>
        <v>29731.698883162233</v>
      </c>
      <c r="P38" s="413">
        <f>'[52]3'!$N$36</f>
        <v>8972.8899511389063</v>
      </c>
      <c r="Q38" s="413">
        <f>'[52]3'!$N$76+'[52]3'!$N$103+'[52]3'!$N$146+'[52]3'!$N$149</f>
        <v>1625.9582110670272</v>
      </c>
      <c r="R38" s="376">
        <f t="shared" ref="R38" si="30">J38-C38-D38-E38-F38-G38-H38-I38</f>
        <v>2.2809679042438802E-2</v>
      </c>
      <c r="S38" s="376">
        <f t="shared" ref="S38" si="31">J38-K38-L38-M38-N38-O38-P38-Q38</f>
        <v>-2.4072188793070382E-2</v>
      </c>
      <c r="T38" s="904"/>
    </row>
    <row r="39" spans="1:20" s="195" customFormat="1" ht="18.75" customHeight="1">
      <c r="A39" s="902"/>
      <c r="B39" s="903" t="s">
        <v>407</v>
      </c>
      <c r="C39" s="413">
        <f>'[53]3'!$AA$17</f>
        <v>15466.11398654036</v>
      </c>
      <c r="D39" s="412">
        <f>'[53]3'!$AA$16-'[53]3'!$AA$17</f>
        <v>34604.630668385471</v>
      </c>
      <c r="E39" s="413">
        <f>'[53]3'!$AA$23</f>
        <v>5815.1032999513063</v>
      </c>
      <c r="F39" s="413">
        <f>'[53]3'!$AA$131+0.02</f>
        <v>11262.057416418067</v>
      </c>
      <c r="G39" s="413">
        <f>'[53]3'!$AA$82</f>
        <v>32793.256255640124</v>
      </c>
      <c r="H39" s="413">
        <f>'[53]3'!$AA$36</f>
        <v>9169.9627471668682</v>
      </c>
      <c r="I39" s="413">
        <f>'[53]3'!$AA$76+'[53]3'!$AA$103+'[53]3'!$AA$146+'[53]3'!$AA$149</f>
        <v>1726.9934262708496</v>
      </c>
      <c r="J39" s="756">
        <f>'[53]3'!$AA$152+0.1</f>
        <v>110838.18752805212</v>
      </c>
      <c r="K39" s="412">
        <f>'[53]3'!$N$17+0.1</f>
        <v>11864.184531017187</v>
      </c>
      <c r="L39" s="412">
        <f>'[53]3'!$N$16-'[53]3'!$N$17</f>
        <v>39835.566284914938</v>
      </c>
      <c r="M39" s="413">
        <f>'[53]3'!$N$23</f>
        <v>16254.078350112821</v>
      </c>
      <c r="N39" s="413">
        <f>'[53]3'!$N$131</f>
        <v>3950.1455906395749</v>
      </c>
      <c r="O39" s="413">
        <f>'[53]3'!$N$82-0.02</f>
        <v>28910.541716264408</v>
      </c>
      <c r="P39" s="413">
        <f>'[53]3'!$N$36</f>
        <v>8583.7159069612644</v>
      </c>
      <c r="Q39" s="413">
        <f>'[53]3'!$N$76+'[53]3'!$N$103+'[53]3'!$N$146+'[53]3'!$N$149</f>
        <v>1439.9585064546654</v>
      </c>
      <c r="R39" s="376">
        <f t="shared" ref="R39" si="32">J39-C39-D39-E39-F39-G39-H39-I39</f>
        <v>6.9727679069501391E-2</v>
      </c>
      <c r="S39" s="376">
        <f t="shared" ref="S39" si="33">J39-K39-L39-M39-N39-O39-P39-Q39</f>
        <v>-3.3583127360543585E-3</v>
      </c>
      <c r="T39" s="904"/>
    </row>
    <row r="40" spans="1:20" s="195" customFormat="1" ht="26.25" customHeight="1">
      <c r="A40" s="902">
        <v>2020</v>
      </c>
      <c r="B40" s="903" t="s">
        <v>408</v>
      </c>
      <c r="C40" s="412">
        <f>'[54]3'!$AA$17</f>
        <v>16684.069608726626</v>
      </c>
      <c r="D40" s="412">
        <f>'[54]3'!$AA$16-'[54]3'!$AA$17</f>
        <v>34836.871775006002</v>
      </c>
      <c r="E40" s="413">
        <f>'[54]3'!$AA$23</f>
        <v>5899.6844266290618</v>
      </c>
      <c r="F40" s="413">
        <f>'[54]3'!$AA$131</f>
        <v>10739.041164125076</v>
      </c>
      <c r="G40" s="413">
        <f>'[54]3'!$AA$82</f>
        <v>32970.511018486024</v>
      </c>
      <c r="H40" s="413">
        <f>'[54]3'!$AA$36</f>
        <v>8962.9104154515117</v>
      </c>
      <c r="I40" s="413">
        <f>'[54]3'!$AA$76+'[54]3'!$AA$103+'[54]3'!$AA$146+'[54]3'!$AA$149-0.03</f>
        <v>1785.8364393766192</v>
      </c>
      <c r="J40" s="756">
        <f>'[54]3'!$AA$152</f>
        <v>111878.94450553301</v>
      </c>
      <c r="K40" s="412">
        <f>'[54]3'!$N$17</f>
        <v>13040.914200791585</v>
      </c>
      <c r="L40" s="412">
        <f>'[54]3'!$N$16-'[54]3'!$N$17</f>
        <v>40054.708553526674</v>
      </c>
      <c r="M40" s="413">
        <f>'[54]3'!$N$23</f>
        <v>16115.198423810556</v>
      </c>
      <c r="N40" s="413">
        <f>'[54]3'!$N$131</f>
        <v>4019.0447455322728</v>
      </c>
      <c r="O40" s="413">
        <f>'[54]3'!$N$82</f>
        <v>28188.187034251612</v>
      </c>
      <c r="P40" s="413">
        <f>'[54]3'!$N$36</f>
        <v>8945.0866538193313</v>
      </c>
      <c r="Q40" s="413">
        <f>'[54]3'!$N$76+'[54]3'!$N$103+'[54]3'!$N$146+'[54]3'!$N$149</f>
        <v>1515.8038995745769</v>
      </c>
      <c r="R40" s="376">
        <f t="shared" ref="R40" si="34">J40-C40-D40-E40-F40-G40-H40-I40</f>
        <v>1.9657732090763602E-2</v>
      </c>
      <c r="S40" s="376">
        <f t="shared" ref="S40" si="35">J40-K40-L40-M40-N40-O40-P40-Q40</f>
        <v>9.9422641005730839E-4</v>
      </c>
      <c r="T40" s="904"/>
    </row>
    <row r="41" spans="1:20" s="195" customFormat="1" ht="18.75" customHeight="1">
      <c r="A41" s="1083"/>
      <c r="B41" s="1084" t="s">
        <v>409</v>
      </c>
      <c r="C41" s="413">
        <f>'[55]3'!$AA$17-0.02</f>
        <v>16384.243519065967</v>
      </c>
      <c r="D41" s="412">
        <f>'[55]3'!$AA$16-'[55]3'!$AA$17-0.02</f>
        <v>33501.837669165201</v>
      </c>
      <c r="E41" s="413">
        <f>'[55]3'!$AA$23</f>
        <v>6337.6706659374804</v>
      </c>
      <c r="F41" s="413">
        <f>'[55]3'!$AA$131</f>
        <v>10428.982859678337</v>
      </c>
      <c r="G41" s="413">
        <f>'[55]3'!$AA$82</f>
        <v>36134.737287739415</v>
      </c>
      <c r="H41" s="413">
        <f>'[55]3'!$AA$36-0.03</f>
        <v>9037.6401463396596</v>
      </c>
      <c r="I41" s="413">
        <f>'[55]3'!$AA$76+'[55]3'!$AA$103+'[55]3'!$AA$146+'[55]3'!$AA$149</f>
        <v>1735.8467603105732</v>
      </c>
      <c r="J41" s="756">
        <f>'[55]3'!$AA$152-0.2</f>
        <v>113560.82841573397</v>
      </c>
      <c r="K41" s="412">
        <f>'[55]3'!$N$17</f>
        <v>12915.101308839838</v>
      </c>
      <c r="L41" s="412">
        <f>'[55]3'!$N$16-'[55]3'!$N$17</f>
        <v>41478.525826217468</v>
      </c>
      <c r="M41" s="413">
        <f>'[55]3'!$N$23-0.01</f>
        <v>16023.24324555368</v>
      </c>
      <c r="N41" s="413">
        <f>'[55]3'!$N$131</f>
        <v>4333.4817709048802</v>
      </c>
      <c r="O41" s="413">
        <f>'[55]3'!$N$82</f>
        <v>28576.539032164052</v>
      </c>
      <c r="P41" s="413">
        <f>'[55]3'!$N$36-0.02</f>
        <v>8601.1419648741139</v>
      </c>
      <c r="Q41" s="413">
        <f>'[55]3'!$N$76+'[55]3'!$N$103+'[55]3'!$N$146+'[55]3'!$N$149</f>
        <v>1632.946772947309</v>
      </c>
      <c r="R41" s="376">
        <f t="shared" ref="R41" si="36">J41-C41-D41-E41-F41-G41-H41-I41</f>
        <v>-0.13049250266021772</v>
      </c>
      <c r="S41" s="376">
        <f t="shared" ref="S41" si="37">J41-K41-L41-M41-N41-O41-P41-Q41</f>
        <v>-0.15150576737323718</v>
      </c>
      <c r="T41" s="904"/>
    </row>
    <row r="42" spans="1:20" s="195" customFormat="1" ht="18.75" customHeight="1">
      <c r="A42" s="1083"/>
      <c r="B42" s="1084" t="s">
        <v>398</v>
      </c>
      <c r="C42" s="413">
        <f>'[56]3'!$AA$17</f>
        <v>17305.222455607953</v>
      </c>
      <c r="D42" s="412">
        <f>'[56]3'!$AA$16-'[56]3'!$AA$17</f>
        <v>35679.246367131396</v>
      </c>
      <c r="E42" s="413">
        <f>'[56]3'!$AA$23</f>
        <v>6489.4065303375755</v>
      </c>
      <c r="F42" s="413">
        <f>'[56]3'!$AA$131</f>
        <v>11538.159425861662</v>
      </c>
      <c r="G42" s="413">
        <f>'[56]3'!$AA$82</f>
        <v>34150.257527980888</v>
      </c>
      <c r="H42" s="413">
        <f>'[56]3'!$AA$36</f>
        <v>9019.3854317920959</v>
      </c>
      <c r="I42" s="413">
        <f>'[56]3'!$AA$76+'[56]3'!$AA$103+'[56]3'!$AA$146+'[56]3'!$AA$149</f>
        <v>1562.0915742385494</v>
      </c>
      <c r="J42" s="756">
        <f>'[56]3'!$AA$152</f>
        <v>115743.76931295013</v>
      </c>
      <c r="K42" s="412">
        <f>'[56]3'!$N$17</f>
        <v>13738.425337960625</v>
      </c>
      <c r="L42" s="412">
        <f>'[56]3'!$N$16-'[56]3'!$N$17</f>
        <v>42134.596849018111</v>
      </c>
      <c r="M42" s="413">
        <f>'[56]3'!$N$23</f>
        <v>15309.661702780386</v>
      </c>
      <c r="N42" s="413">
        <f>'[56]3'!$N$131</f>
        <v>3923.8154900428945</v>
      </c>
      <c r="O42" s="413">
        <f>'[56]3'!$N$82</f>
        <v>29476.870419139366</v>
      </c>
      <c r="P42" s="413">
        <f>'[56]3'!$N$36</f>
        <v>9525.2283567165614</v>
      </c>
      <c r="Q42" s="413">
        <f>'[56]3'!$N$76+'[56]3'!$N$103+'[56]3'!$N$146+'[56]3'!$N$149-0.02</f>
        <v>1635.2390645769635</v>
      </c>
      <c r="R42" s="376">
        <f t="shared" ref="R42" si="38">J42-C42-D42-E42-F42-G42-H42-I42</f>
        <v>1.659827830735594E-11</v>
      </c>
      <c r="S42" s="376">
        <f t="shared" ref="S42" si="39">J42-K42-L42-M42-N42-O42-P42-Q42</f>
        <v>-6.7907284778584653E-2</v>
      </c>
      <c r="T42" s="904"/>
    </row>
    <row r="43" spans="1:20" s="195" customFormat="1" ht="18.75" customHeight="1">
      <c r="A43" s="1083"/>
      <c r="B43" s="1084" t="s">
        <v>399</v>
      </c>
      <c r="C43" s="413">
        <f>'[57]3'!$AA$17+0.1</f>
        <v>16561.390383931819</v>
      </c>
      <c r="D43" s="412">
        <f>'[57]3'!$AA$16-'[57]3'!$AA$17</f>
        <v>35508.16678569543</v>
      </c>
      <c r="E43" s="413">
        <f>'[57]3'!$AA$23-0.03</f>
        <v>7356.7370239537549</v>
      </c>
      <c r="F43" s="413">
        <f>'[57]3'!$AA$131</f>
        <v>11644.703781708135</v>
      </c>
      <c r="G43" s="413">
        <f>'[57]3'!$AA$82</f>
        <v>31933.501600258038</v>
      </c>
      <c r="H43" s="413">
        <f>'[57]3'!$AA$36</f>
        <v>9180.6165491240099</v>
      </c>
      <c r="I43" s="413">
        <f>'[57]3'!$AA$76+'[57]3'!$AA$103+'[57]3'!$AA$146+'[57]3'!$AA$149</f>
        <v>1573.6085358992784</v>
      </c>
      <c r="J43" s="756">
        <f>'[57]3'!$AA$152</f>
        <v>113758.65466057048</v>
      </c>
      <c r="K43" s="412">
        <f>'[57]3'!$N$17-0.03</f>
        <v>13277.339183576081</v>
      </c>
      <c r="L43" s="412">
        <f>'[57]3'!$N$16-'[57]3'!$N$17</f>
        <v>40159.419103318651</v>
      </c>
      <c r="M43" s="413">
        <f>'[57]3'!$N$23-0.03</f>
        <v>15907.04106704164</v>
      </c>
      <c r="N43" s="413">
        <f>'[57]3'!$N$131</f>
        <v>3704.7209070590516</v>
      </c>
      <c r="O43" s="413">
        <f>'[57]3'!$N$82</f>
        <v>29399.780341298498</v>
      </c>
      <c r="P43" s="413">
        <f>'[57]3'!$N$36</f>
        <v>9737.1932794579498</v>
      </c>
      <c r="Q43" s="413">
        <f>'[57]3'!$N$76+'[57]3'!$N$103+'[57]3'!$N$146+'[57]3'!$N$149-0.03</f>
        <v>1573.3415317629861</v>
      </c>
      <c r="R43" s="376">
        <f t="shared" ref="R43" si="40">J43-C43-D43-E43-F43-G43-H43-I43</f>
        <v>-6.999999999220563E-2</v>
      </c>
      <c r="S43" s="376">
        <f t="shared" ref="S43" si="41">J43-K43-L43-M43-N43-O43-P43-Q43</f>
        <v>-0.18075294438312994</v>
      </c>
      <c r="T43" s="904"/>
    </row>
    <row r="44" spans="1:20" ht="19.5" customHeight="1">
      <c r="A44" s="273" t="s">
        <v>928</v>
      </c>
      <c r="B44" s="405"/>
      <c r="C44" s="405"/>
      <c r="D44" s="405"/>
      <c r="E44" s="405"/>
      <c r="F44" s="405"/>
      <c r="G44" s="405"/>
      <c r="H44" s="405"/>
      <c r="I44" s="405"/>
      <c r="J44" s="405"/>
      <c r="K44" s="1494"/>
      <c r="L44" s="405"/>
      <c r="M44" s="405"/>
      <c r="N44" s="405"/>
      <c r="O44" s="405"/>
      <c r="P44" s="405"/>
      <c r="Q44" s="272" t="s">
        <v>929</v>
      </c>
    </row>
    <row r="45" spans="1:20" s="407" customFormat="1" ht="15.95" customHeight="1">
      <c r="A45" s="381" t="s">
        <v>930</v>
      </c>
      <c r="Q45" s="390" t="s">
        <v>931</v>
      </c>
    </row>
    <row r="46" spans="1:20" s="195" customFormat="1" ht="15">
      <c r="A46" s="381" t="s">
        <v>932</v>
      </c>
      <c r="B46" s="381"/>
      <c r="C46" s="381"/>
      <c r="D46" s="381"/>
      <c r="E46" s="381"/>
      <c r="F46" s="381"/>
      <c r="G46" s="381"/>
      <c r="H46" s="381"/>
      <c r="I46" s="381"/>
      <c r="J46" s="296"/>
      <c r="K46" s="296"/>
      <c r="L46" s="296"/>
      <c r="M46" s="296"/>
      <c r="N46" s="296"/>
      <c r="O46" s="296"/>
      <c r="P46" s="296"/>
      <c r="Q46" s="740" t="s">
        <v>933</v>
      </c>
    </row>
    <row r="48" spans="1:20" s="195" customFormat="1" ht="15">
      <c r="A48" s="296" t="s">
        <v>1037</v>
      </c>
      <c r="B48" s="296"/>
      <c r="C48" s="296"/>
      <c r="D48" s="296"/>
      <c r="E48" s="296"/>
      <c r="F48" s="296"/>
      <c r="G48" s="296"/>
      <c r="H48" s="296"/>
      <c r="I48" s="296"/>
      <c r="J48" s="296"/>
      <c r="K48" s="296"/>
      <c r="L48" s="296"/>
      <c r="M48" s="296"/>
      <c r="N48" s="296"/>
      <c r="O48" s="296"/>
      <c r="P48" s="296"/>
      <c r="Q48" s="296"/>
    </row>
    <row r="50" spans="3:17">
      <c r="C50" s="1496"/>
      <c r="D50" s="1496"/>
      <c r="E50" s="1496"/>
      <c r="F50" s="1496"/>
      <c r="G50" s="1496"/>
      <c r="H50" s="1496"/>
      <c r="I50" s="1496"/>
      <c r="J50" s="1496"/>
      <c r="K50" s="1496"/>
      <c r="L50" s="1496"/>
      <c r="M50" s="1496"/>
      <c r="N50" s="1496"/>
      <c r="O50" s="1496"/>
      <c r="P50" s="1496"/>
      <c r="Q50" s="1496"/>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AF47"/>
  <sheetViews>
    <sheetView zoomScale="80" zoomScaleNormal="80" workbookViewId="0">
      <pane ySplit="12" topLeftCell="A39"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0.85546875" style="406" customWidth="1"/>
    <col min="4" max="4" width="12.85546875" style="406" customWidth="1"/>
    <col min="5" max="5" width="11.7109375" style="406" customWidth="1"/>
    <col min="6" max="6" width="10.7109375" style="406" customWidth="1"/>
    <col min="7" max="7" width="11.85546875" style="406" customWidth="1"/>
    <col min="8" max="8" width="11.7109375" style="406" customWidth="1"/>
    <col min="9" max="9" width="10.7109375" style="406" customWidth="1"/>
    <col min="10" max="10" width="12.7109375" style="406" customWidth="1"/>
    <col min="11" max="11" width="10.85546875" style="406" customWidth="1"/>
    <col min="12" max="12" width="12.85546875" style="406" customWidth="1"/>
    <col min="13" max="13" width="11.7109375" style="406" customWidth="1"/>
    <col min="14" max="14" width="10.7109375" style="406" customWidth="1"/>
    <col min="15" max="16" width="11.7109375" style="406" customWidth="1"/>
    <col min="17" max="17" width="10.7109375" style="406" customWidth="1"/>
    <col min="18" max="16384" width="9.140625" style="406"/>
  </cols>
  <sheetData>
    <row r="1" spans="1:19" ht="18">
      <c r="A1" s="297" t="s">
        <v>1610</v>
      </c>
      <c r="B1" s="1455"/>
      <c r="C1" s="1455"/>
      <c r="D1" s="1455"/>
      <c r="E1" s="1455"/>
      <c r="F1" s="1455"/>
      <c r="G1" s="1455"/>
      <c r="H1" s="1455"/>
      <c r="I1" s="1455"/>
      <c r="J1" s="1455"/>
      <c r="K1" s="1455"/>
      <c r="L1" s="1455"/>
      <c r="M1" s="1455"/>
      <c r="N1" s="1455"/>
      <c r="O1" s="1455"/>
      <c r="P1" s="1455"/>
      <c r="Q1" s="1455"/>
    </row>
    <row r="2" spans="1:19" ht="18">
      <c r="A2" s="1423" t="s">
        <v>1038</v>
      </c>
      <c r="B2" s="1455"/>
      <c r="C2" s="1455"/>
      <c r="D2" s="1455"/>
      <c r="E2" s="1455"/>
      <c r="F2" s="1455"/>
      <c r="G2" s="1455"/>
      <c r="H2" s="1455"/>
      <c r="I2" s="1455"/>
      <c r="J2" s="1455"/>
      <c r="K2" s="1455"/>
      <c r="L2" s="1455"/>
      <c r="M2" s="1455"/>
      <c r="N2" s="1455"/>
      <c r="O2" s="1455"/>
      <c r="P2" s="1455"/>
      <c r="Q2" s="1455"/>
    </row>
    <row r="3" spans="1:19" ht="18">
      <c r="A3" s="1456" t="s">
        <v>1039</v>
      </c>
      <c r="B3" s="1455"/>
      <c r="C3" s="1455"/>
      <c r="D3" s="1455"/>
      <c r="E3" s="1455"/>
      <c r="F3" s="1455"/>
      <c r="G3" s="1455"/>
      <c r="H3" s="1455"/>
      <c r="I3" s="1455"/>
      <c r="J3" s="1455"/>
      <c r="K3" s="1455"/>
      <c r="L3" s="1455"/>
      <c r="M3" s="1455"/>
      <c r="N3" s="1455"/>
      <c r="O3" s="1455"/>
      <c r="P3" s="1455"/>
      <c r="Q3" s="1455"/>
    </row>
    <row r="4" spans="1:19" s="327" customFormat="1" ht="14.25">
      <c r="A4" s="1492" t="s">
        <v>778</v>
      </c>
      <c r="B4" s="1457"/>
      <c r="Q4" s="1458" t="s">
        <v>779</v>
      </c>
    </row>
    <row r="5" spans="1:19" s="343" customFormat="1" ht="14.25" hidden="1">
      <c r="A5" s="382"/>
      <c r="B5" s="383"/>
      <c r="C5" s="384"/>
      <c r="D5" s="384"/>
      <c r="E5" s="384"/>
      <c r="F5" s="384"/>
      <c r="G5" s="384"/>
      <c r="H5" s="384"/>
      <c r="I5" s="384"/>
      <c r="J5" s="384"/>
      <c r="K5" s="384"/>
      <c r="L5" s="384"/>
      <c r="Q5" s="385"/>
    </row>
    <row r="6" spans="1:19" s="343" customFormat="1" ht="14.25" hidden="1">
      <c r="A6" s="382"/>
      <c r="B6" s="383"/>
      <c r="C6" s="384"/>
      <c r="D6" s="384"/>
      <c r="E6" s="384"/>
      <c r="F6" s="384"/>
      <c r="G6" s="384"/>
      <c r="H6" s="384"/>
      <c r="I6" s="384"/>
      <c r="J6" s="384"/>
      <c r="K6" s="384"/>
      <c r="L6" s="384"/>
      <c r="Q6" s="385"/>
    </row>
    <row r="7" spans="1:19" s="343" customFormat="1" ht="14.25" hidden="1">
      <c r="A7" s="382"/>
      <c r="B7" s="383"/>
      <c r="C7" s="384"/>
      <c r="D7" s="384"/>
      <c r="E7" s="384"/>
      <c r="F7" s="384"/>
      <c r="G7" s="384"/>
      <c r="H7" s="384"/>
      <c r="I7" s="384"/>
      <c r="J7" s="384"/>
      <c r="K7" s="384"/>
      <c r="L7" s="384"/>
      <c r="Q7" s="385"/>
    </row>
    <row r="8" spans="1:19" s="172" customFormat="1" ht="23.85" customHeight="1">
      <c r="A8" s="183"/>
      <c r="B8" s="170"/>
      <c r="C8" s="386" t="s">
        <v>356</v>
      </c>
      <c r="D8" s="188"/>
      <c r="E8" s="171"/>
      <c r="F8" s="171"/>
      <c r="G8" s="171"/>
      <c r="H8" s="171"/>
      <c r="I8" s="391" t="s">
        <v>357</v>
      </c>
      <c r="J8" s="392"/>
      <c r="K8" s="393" t="s">
        <v>358</v>
      </c>
      <c r="L8" s="188"/>
      <c r="M8" s="171"/>
      <c r="N8" s="171"/>
      <c r="O8" s="171"/>
      <c r="P8" s="171"/>
      <c r="Q8" s="394" t="s">
        <v>359</v>
      </c>
    </row>
    <row r="9" spans="1:19" s="192" customFormat="1" ht="18" customHeight="1">
      <c r="A9" s="189"/>
      <c r="B9" s="190"/>
      <c r="C9" s="197" t="s">
        <v>937</v>
      </c>
      <c r="D9" s="191" t="s">
        <v>938</v>
      </c>
      <c r="E9" s="191" t="s">
        <v>939</v>
      </c>
      <c r="F9" s="173" t="s">
        <v>940</v>
      </c>
      <c r="G9" s="173"/>
      <c r="H9" s="191" t="s">
        <v>941</v>
      </c>
      <c r="I9" s="191"/>
      <c r="J9" s="210"/>
      <c r="K9" s="197" t="s">
        <v>937</v>
      </c>
      <c r="L9" s="191" t="s">
        <v>938</v>
      </c>
      <c r="M9" s="191" t="s">
        <v>939</v>
      </c>
      <c r="N9" s="173" t="s">
        <v>940</v>
      </c>
      <c r="O9" s="173"/>
      <c r="P9" s="191" t="s">
        <v>941</v>
      </c>
      <c r="Q9" s="191"/>
    </row>
    <row r="10" spans="1:19" s="192" customFormat="1" ht="18" customHeight="1">
      <c r="A10" s="174" t="s">
        <v>364</v>
      </c>
      <c r="B10" s="177"/>
      <c r="C10" s="197" t="s">
        <v>942</v>
      </c>
      <c r="D10" s="191" t="s">
        <v>943</v>
      </c>
      <c r="E10" s="191" t="s">
        <v>944</v>
      </c>
      <c r="F10" s="173" t="s">
        <v>945</v>
      </c>
      <c r="G10" s="173" t="s">
        <v>335</v>
      </c>
      <c r="H10" s="191" t="s">
        <v>946</v>
      </c>
      <c r="I10" s="191" t="s">
        <v>377</v>
      </c>
      <c r="J10" s="209" t="s">
        <v>367</v>
      </c>
      <c r="K10" s="197" t="s">
        <v>942</v>
      </c>
      <c r="L10" s="191" t="s">
        <v>943</v>
      </c>
      <c r="M10" s="191" t="s">
        <v>944</v>
      </c>
      <c r="N10" s="173" t="s">
        <v>945</v>
      </c>
      <c r="O10" s="173" t="s">
        <v>335</v>
      </c>
      <c r="P10" s="191" t="s">
        <v>946</v>
      </c>
      <c r="Q10" s="191" t="s">
        <v>377</v>
      </c>
    </row>
    <row r="11" spans="1:19" s="176" customFormat="1" ht="18" customHeight="1">
      <c r="A11" s="193" t="s">
        <v>372</v>
      </c>
      <c r="B11" s="177"/>
      <c r="C11" s="207" t="s">
        <v>947</v>
      </c>
      <c r="D11" s="178" t="s">
        <v>948</v>
      </c>
      <c r="E11" s="178" t="s">
        <v>949</v>
      </c>
      <c r="F11" s="178" t="s">
        <v>950</v>
      </c>
      <c r="G11" s="178" t="s">
        <v>524</v>
      </c>
      <c r="H11" s="178" t="s">
        <v>951</v>
      </c>
      <c r="I11" s="180" t="s">
        <v>385</v>
      </c>
      <c r="J11" s="211" t="s">
        <v>378</v>
      </c>
      <c r="K11" s="207" t="s">
        <v>947</v>
      </c>
      <c r="L11" s="178" t="s">
        <v>948</v>
      </c>
      <c r="M11" s="178" t="s">
        <v>949</v>
      </c>
      <c r="N11" s="178" t="s">
        <v>950</v>
      </c>
      <c r="O11" s="178" t="s">
        <v>524</v>
      </c>
      <c r="P11" s="178" t="s">
        <v>951</v>
      </c>
      <c r="Q11" s="180" t="s">
        <v>385</v>
      </c>
    </row>
    <row r="12" spans="1:19" s="176" customFormat="1" ht="18" customHeight="1">
      <c r="A12" s="194"/>
      <c r="B12" s="182"/>
      <c r="C12" s="208" t="s">
        <v>952</v>
      </c>
      <c r="D12" s="214" t="s">
        <v>953</v>
      </c>
      <c r="E12" s="214" t="s">
        <v>954</v>
      </c>
      <c r="F12" s="214" t="s">
        <v>955</v>
      </c>
      <c r="G12" s="214"/>
      <c r="H12" s="214" t="s">
        <v>956</v>
      </c>
      <c r="I12" s="215"/>
      <c r="J12" s="212"/>
      <c r="K12" s="208" t="s">
        <v>952</v>
      </c>
      <c r="L12" s="214" t="s">
        <v>953</v>
      </c>
      <c r="M12" s="214" t="s">
        <v>954</v>
      </c>
      <c r="N12" s="214" t="s">
        <v>955</v>
      </c>
      <c r="O12" s="214"/>
      <c r="P12" s="214" t="s">
        <v>956</v>
      </c>
      <c r="Q12" s="214"/>
    </row>
    <row r="13" spans="1:19" s="195" customFormat="1" ht="26.25" customHeight="1">
      <c r="A13" s="902">
        <v>2010</v>
      </c>
      <c r="B13" s="903"/>
      <c r="C13" s="412">
        <v>1109.297297441763</v>
      </c>
      <c r="D13" s="412">
        <v>14073.872670637862</v>
      </c>
      <c r="E13" s="413">
        <v>105954.05402865609</v>
      </c>
      <c r="F13" s="413">
        <v>2262.1996828168999</v>
      </c>
      <c r="G13" s="413">
        <v>16581.694406170122</v>
      </c>
      <c r="H13" s="413">
        <v>1774.1407151303001</v>
      </c>
      <c r="I13" s="413">
        <v>14969.540208159298</v>
      </c>
      <c r="J13" s="756">
        <v>156724.79900901235</v>
      </c>
      <c r="K13" s="413">
        <v>749.38361435089018</v>
      </c>
      <c r="L13" s="413">
        <v>8091.5222024097629</v>
      </c>
      <c r="M13" s="413">
        <v>111834.27999380355</v>
      </c>
      <c r="N13" s="413">
        <v>3262.6813694768184</v>
      </c>
      <c r="O13" s="1459">
        <v>16710.357057032161</v>
      </c>
      <c r="P13" s="413">
        <v>1497.724066474221</v>
      </c>
      <c r="Q13" s="1493">
        <v>14578.779085374625</v>
      </c>
      <c r="R13" s="376">
        <f>J13-C13-D13-E13-F13-G13-H13-I13</f>
        <v>4.3655745685100555E-11</v>
      </c>
      <c r="S13" s="376">
        <f>J13-K13-L13-M13-N13-O13-P13-Q13</f>
        <v>7.1620090306169004E-2</v>
      </c>
    </row>
    <row r="14" spans="1:19" s="970" customFormat="1" ht="18" customHeight="1">
      <c r="A14" s="902">
        <v>2011</v>
      </c>
      <c r="B14" s="903"/>
      <c r="C14" s="412">
        <v>1322.3101732724615</v>
      </c>
      <c r="D14" s="412">
        <v>11099.017937201488</v>
      </c>
      <c r="E14" s="413">
        <v>92210.089508876714</v>
      </c>
      <c r="F14" s="413">
        <v>2634.5219325178991</v>
      </c>
      <c r="G14" s="413">
        <v>12741.904342570002</v>
      </c>
      <c r="H14" s="413">
        <v>913.54722374980008</v>
      </c>
      <c r="I14" s="413">
        <v>8814.930375358299</v>
      </c>
      <c r="J14" s="756">
        <v>129736.22149354668</v>
      </c>
      <c r="K14" s="412">
        <v>748.29362187607376</v>
      </c>
      <c r="L14" s="412">
        <v>9312.4661327057838</v>
      </c>
      <c r="M14" s="413">
        <v>99070.483806939941</v>
      </c>
      <c r="N14" s="413">
        <v>1928.6355917892135</v>
      </c>
      <c r="O14" s="413">
        <v>11178.937511094911</v>
      </c>
      <c r="P14" s="413">
        <v>770.36788877851825</v>
      </c>
      <c r="Q14" s="413">
        <v>6727.014426053699</v>
      </c>
      <c r="R14" s="376">
        <v>-9.9999999980354914E-2</v>
      </c>
      <c r="S14" s="376">
        <v>2.2514308535392047E-2</v>
      </c>
    </row>
    <row r="15" spans="1:19" s="970" customFormat="1" ht="18" customHeight="1">
      <c r="A15" s="902">
        <v>2012</v>
      </c>
      <c r="B15" s="903"/>
      <c r="C15" s="412">
        <v>1256.8351432944871</v>
      </c>
      <c r="D15" s="412">
        <v>13556.598067381236</v>
      </c>
      <c r="E15" s="413">
        <v>75040.758175750118</v>
      </c>
      <c r="F15" s="413">
        <v>2979.7827818111</v>
      </c>
      <c r="G15" s="413">
        <v>11542.434160815501</v>
      </c>
      <c r="H15" s="413">
        <v>1271.4484941634998</v>
      </c>
      <c r="I15" s="413">
        <v>8962.8766822773996</v>
      </c>
      <c r="J15" s="756">
        <v>114610.73350549334</v>
      </c>
      <c r="K15" s="412">
        <v>723.43863832880663</v>
      </c>
      <c r="L15" s="412">
        <v>9638.396940517121</v>
      </c>
      <c r="M15" s="413">
        <v>84153.420102173724</v>
      </c>
      <c r="N15" s="413">
        <v>2181.4944978696208</v>
      </c>
      <c r="O15" s="413">
        <v>9564.5890028657395</v>
      </c>
      <c r="P15" s="413">
        <v>1022.1058731589909</v>
      </c>
      <c r="Q15" s="413">
        <v>7327.3422208923394</v>
      </c>
      <c r="R15" s="376">
        <v>0</v>
      </c>
      <c r="S15" s="376">
        <v>-5.3770313011227699E-2</v>
      </c>
    </row>
    <row r="16" spans="1:19" s="970" customFormat="1" ht="18" customHeight="1">
      <c r="A16" s="902">
        <v>2013</v>
      </c>
      <c r="B16" s="903"/>
      <c r="C16" s="412">
        <v>1219.9079527658273</v>
      </c>
      <c r="D16" s="412">
        <v>13447.544770929071</v>
      </c>
      <c r="E16" s="413">
        <v>76382.305062080894</v>
      </c>
      <c r="F16" s="413">
        <v>3163.7536201004996</v>
      </c>
      <c r="G16" s="413">
        <v>11107.904726118302</v>
      </c>
      <c r="H16" s="413">
        <v>213.44165741500009</v>
      </c>
      <c r="I16" s="413">
        <v>11150.844063773573</v>
      </c>
      <c r="J16" s="756">
        <v>116685.65073394732</v>
      </c>
      <c r="K16" s="412">
        <v>781.02116901207978</v>
      </c>
      <c r="L16" s="412">
        <v>9070.8865872367005</v>
      </c>
      <c r="M16" s="413">
        <v>86337.320904822394</v>
      </c>
      <c r="N16" s="413">
        <v>2498.5136693401964</v>
      </c>
      <c r="O16" s="413">
        <v>10776.326143828483</v>
      </c>
      <c r="P16" s="413">
        <v>188.83192189600803</v>
      </c>
      <c r="Q16" s="413">
        <v>7032.8286640535453</v>
      </c>
      <c r="R16" s="376">
        <v>-5.111923585718614E-2</v>
      </c>
      <c r="S16" s="376">
        <v>-7.8326242087314313E-2</v>
      </c>
    </row>
    <row r="17" spans="1:32" s="970" customFormat="1" ht="18" customHeight="1">
      <c r="A17" s="902">
        <v>2014</v>
      </c>
      <c r="B17" s="903"/>
      <c r="C17" s="412">
        <v>1123.4233147301024</v>
      </c>
      <c r="D17" s="412">
        <v>14286.405499789267</v>
      </c>
      <c r="E17" s="413">
        <v>72375.577594410963</v>
      </c>
      <c r="F17" s="413">
        <v>2831.7857150467503</v>
      </c>
      <c r="G17" s="413">
        <v>7882.432885573553</v>
      </c>
      <c r="H17" s="413">
        <v>302.41052912788962</v>
      </c>
      <c r="I17" s="413">
        <v>10482.478159808505</v>
      </c>
      <c r="J17" s="756">
        <v>109284.48369848701</v>
      </c>
      <c r="K17" s="412">
        <v>482.48403998544467</v>
      </c>
      <c r="L17" s="412">
        <v>8520.8179112804792</v>
      </c>
      <c r="M17" s="413">
        <v>84459.126535141811</v>
      </c>
      <c r="N17" s="413">
        <v>1860.0786824768832</v>
      </c>
      <c r="O17" s="413">
        <v>7247.7891560649523</v>
      </c>
      <c r="P17" s="413">
        <v>200.35536977532516</v>
      </c>
      <c r="Q17" s="413">
        <v>6513.7784428343166</v>
      </c>
      <c r="R17" s="376">
        <v>-3.000000002066372E-2</v>
      </c>
      <c r="S17" s="376">
        <v>5.3560927793114388E-2</v>
      </c>
    </row>
    <row r="18" spans="1:32" s="970" customFormat="1" ht="18" customHeight="1">
      <c r="A18" s="902">
        <v>2015</v>
      </c>
      <c r="B18" s="903"/>
      <c r="C18" s="412">
        <v>1634.8224716742291</v>
      </c>
      <c r="D18" s="412">
        <v>13329.446530279361</v>
      </c>
      <c r="E18" s="413">
        <v>74085.783148039875</v>
      </c>
      <c r="F18" s="413">
        <v>2516.8344517474343</v>
      </c>
      <c r="G18" s="413">
        <v>8272.9836197311015</v>
      </c>
      <c r="H18" s="413">
        <v>265.11841279801604</v>
      </c>
      <c r="I18" s="413">
        <v>8708.8875087851575</v>
      </c>
      <c r="J18" s="756">
        <v>108813.77614305518</v>
      </c>
      <c r="K18" s="412">
        <v>768.40996452642457</v>
      </c>
      <c r="L18" s="412">
        <v>9358.1728144871995</v>
      </c>
      <c r="M18" s="413">
        <v>85126.210369098611</v>
      </c>
      <c r="N18" s="413">
        <v>1557.8007162246365</v>
      </c>
      <c r="O18" s="413">
        <v>8007.5743818072115</v>
      </c>
      <c r="P18" s="413">
        <v>140.212624898153</v>
      </c>
      <c r="Q18" s="413">
        <v>3855.4362431902005</v>
      </c>
      <c r="R18" s="376">
        <v>-0.1000000000003638</v>
      </c>
      <c r="S18" s="376">
        <v>-4.097117726041688E-2</v>
      </c>
    </row>
    <row r="19" spans="1:32" s="970" customFormat="1" ht="18" customHeight="1">
      <c r="A19" s="902">
        <v>2016</v>
      </c>
      <c r="B19" s="903"/>
      <c r="C19" s="412">
        <v>1541.0784734546478</v>
      </c>
      <c r="D19" s="412">
        <v>11851.69125368208</v>
      </c>
      <c r="E19" s="413">
        <v>71479.325538554069</v>
      </c>
      <c r="F19" s="413">
        <v>3490.5772857423458</v>
      </c>
      <c r="G19" s="413">
        <v>7471.044986212517</v>
      </c>
      <c r="H19" s="413">
        <v>377.98042954998209</v>
      </c>
      <c r="I19" s="413">
        <v>6824.1784047769088</v>
      </c>
      <c r="J19" s="756">
        <v>103035.90637197257</v>
      </c>
      <c r="K19" s="412">
        <v>688.67396738712569</v>
      </c>
      <c r="L19" s="412">
        <v>8356.3617379499556</v>
      </c>
      <c r="M19" s="413">
        <v>81330.628564807936</v>
      </c>
      <c r="N19" s="413">
        <v>1547.4756940149259</v>
      </c>
      <c r="O19" s="413">
        <v>7544.9958557605423</v>
      </c>
      <c r="P19" s="413">
        <v>148.52552047431303</v>
      </c>
      <c r="Q19" s="413">
        <v>3419.1565436775008</v>
      </c>
      <c r="R19" s="376">
        <v>3.0000000024301698E-2</v>
      </c>
      <c r="S19" s="376">
        <v>8.8487900267409714E-2</v>
      </c>
    </row>
    <row r="20" spans="1:32" s="970" customFormat="1" ht="18" customHeight="1">
      <c r="A20" s="902">
        <v>2017</v>
      </c>
      <c r="B20" s="903"/>
      <c r="C20" s="412">
        <v>1176.9205855075943</v>
      </c>
      <c r="D20" s="412">
        <v>9769.3189391180204</v>
      </c>
      <c r="E20" s="413">
        <v>72635.958991239357</v>
      </c>
      <c r="F20" s="413">
        <v>2798.0818057817291</v>
      </c>
      <c r="G20" s="413">
        <v>10752.958907859858</v>
      </c>
      <c r="H20" s="413">
        <v>294.17466467098399</v>
      </c>
      <c r="I20" s="413">
        <v>6534.9999185983379</v>
      </c>
      <c r="J20" s="756">
        <v>103962.49781277592</v>
      </c>
      <c r="K20" s="412">
        <v>626.5234194180365</v>
      </c>
      <c r="L20" s="412">
        <v>7636.2683383159856</v>
      </c>
      <c r="M20" s="413">
        <v>80778.005259358877</v>
      </c>
      <c r="N20" s="413">
        <v>1658.1549833033489</v>
      </c>
      <c r="O20" s="413">
        <v>10205.252096955472</v>
      </c>
      <c r="P20" s="413">
        <v>98.511763616606004</v>
      </c>
      <c r="Q20" s="413">
        <v>2959.6854210051997</v>
      </c>
      <c r="R20" s="376">
        <v>8.4000000036212441E-2</v>
      </c>
      <c r="S20" s="376">
        <v>9.6530802393317572E-2</v>
      </c>
    </row>
    <row r="21" spans="1:32" s="1460" customFormat="1" ht="18.75" customHeight="1">
      <c r="A21" s="902">
        <v>2018</v>
      </c>
      <c r="B21" s="903"/>
      <c r="C21" s="412">
        <f t="shared" ref="C21:Q21" si="0">C25</f>
        <v>1880.0094938794382</v>
      </c>
      <c r="D21" s="412">
        <f t="shared" si="0"/>
        <v>10171.921253414715</v>
      </c>
      <c r="E21" s="413">
        <f t="shared" si="0"/>
        <v>72941.909469623119</v>
      </c>
      <c r="F21" s="413">
        <f t="shared" si="0"/>
        <v>2231.041741592624</v>
      </c>
      <c r="G21" s="413">
        <f t="shared" si="0"/>
        <v>11644.685933870116</v>
      </c>
      <c r="H21" s="413">
        <f t="shared" si="0"/>
        <v>370.88744129589702</v>
      </c>
      <c r="I21" s="413">
        <f t="shared" si="0"/>
        <v>6789.3425823645166</v>
      </c>
      <c r="J21" s="756">
        <f t="shared" si="0"/>
        <v>106029.7193068804</v>
      </c>
      <c r="K21" s="412">
        <f t="shared" si="0"/>
        <v>749.49731650714784</v>
      </c>
      <c r="L21" s="412">
        <f t="shared" si="0"/>
        <v>7498.7963311009662</v>
      </c>
      <c r="M21" s="413">
        <f t="shared" si="0"/>
        <v>82983.552076719599</v>
      </c>
      <c r="N21" s="413">
        <f t="shared" si="0"/>
        <v>1054.9598705516221</v>
      </c>
      <c r="O21" s="413">
        <f t="shared" si="0"/>
        <v>9677.0275608329575</v>
      </c>
      <c r="P21" s="413">
        <f t="shared" si="0"/>
        <v>183.56736315040098</v>
      </c>
      <c r="Q21" s="413">
        <f t="shared" si="0"/>
        <v>3882.1808639012002</v>
      </c>
      <c r="R21" s="1461">
        <f>J21-C21-D21-E21-F21-G21-H21-I21</f>
        <v>-7.8609160025735036E-2</v>
      </c>
      <c r="S21" s="376">
        <f>J21-K21-L21-M21-N21-O21-P21-Q21</f>
        <v>0.13792411651593284</v>
      </c>
    </row>
    <row r="22" spans="1:32" s="1460" customFormat="1" ht="18.75" customHeight="1">
      <c r="A22" s="1462">
        <v>2019</v>
      </c>
      <c r="B22" s="1463"/>
      <c r="C22" s="1464">
        <f t="shared" ref="C22:Q22" si="1">C29</f>
        <v>1980.5415704111033</v>
      </c>
      <c r="D22" s="1464">
        <f t="shared" si="1"/>
        <v>11259.484272855218</v>
      </c>
      <c r="E22" s="1465">
        <f t="shared" si="1"/>
        <v>76435.103327875928</v>
      </c>
      <c r="F22" s="1465">
        <f t="shared" si="1"/>
        <v>2945.6893368360616</v>
      </c>
      <c r="G22" s="1465">
        <f t="shared" si="1"/>
        <v>12447.89181408649</v>
      </c>
      <c r="H22" s="1465">
        <f t="shared" si="1"/>
        <v>711.18433966348391</v>
      </c>
      <c r="I22" s="1465">
        <f t="shared" si="1"/>
        <v>5058.3253962455155</v>
      </c>
      <c r="J22" s="1466">
        <f t="shared" si="1"/>
        <v>110838.2357998838</v>
      </c>
      <c r="K22" s="1464">
        <f t="shared" si="1"/>
        <v>471.18499503272551</v>
      </c>
      <c r="L22" s="1464">
        <f t="shared" si="1"/>
        <v>11447.363163742171</v>
      </c>
      <c r="M22" s="1465">
        <f t="shared" si="1"/>
        <v>84033.757649597668</v>
      </c>
      <c r="N22" s="1465">
        <f t="shared" si="1"/>
        <v>824.38181659966006</v>
      </c>
      <c r="O22" s="1465">
        <f t="shared" si="1"/>
        <v>10415.759076903754</v>
      </c>
      <c r="P22" s="1465">
        <f t="shared" si="1"/>
        <v>193.31863362187698</v>
      </c>
      <c r="Q22" s="1465">
        <f t="shared" si="1"/>
        <v>3452.2986135612327</v>
      </c>
      <c r="R22" s="376">
        <f>J22-C22-D22-E22-F22-G22-H22-I22</f>
        <v>1.574190999417624E-2</v>
      </c>
      <c r="S22" s="376">
        <f>J22-K22-L22-M22-N22-O22-P22-Q22</f>
        <v>0.17185082471132773</v>
      </c>
    </row>
    <row r="23" spans="1:32" s="1460" customFormat="1" ht="26.25" customHeight="1">
      <c r="A23" s="902">
        <v>2018</v>
      </c>
      <c r="B23" s="903" t="s">
        <v>223</v>
      </c>
      <c r="C23" s="412">
        <v>1802.0435111502265</v>
      </c>
      <c r="D23" s="412">
        <v>8601.7712505601703</v>
      </c>
      <c r="E23" s="413">
        <v>71179.825870948407</v>
      </c>
      <c r="F23" s="413">
        <v>3088.5375717511874</v>
      </c>
      <c r="G23" s="413">
        <v>10772.171666736362</v>
      </c>
      <c r="H23" s="413">
        <v>89.894695511214991</v>
      </c>
      <c r="I23" s="413">
        <v>7301.9881963170928</v>
      </c>
      <c r="J23" s="756">
        <v>102836.23976297467</v>
      </c>
      <c r="K23" s="412">
        <v>691.16067084535712</v>
      </c>
      <c r="L23" s="412">
        <v>6990.6155022958937</v>
      </c>
      <c r="M23" s="413">
        <v>80521.484108501245</v>
      </c>
      <c r="N23" s="413">
        <v>859.32728961737303</v>
      </c>
      <c r="O23" s="413">
        <v>9984.6236059785133</v>
      </c>
      <c r="P23" s="413">
        <v>57.530400961929004</v>
      </c>
      <c r="Q23" s="413">
        <v>3731.5009971450004</v>
      </c>
      <c r="R23" s="376">
        <f t="shared" ref="R23" si="2">J23-C23-D23-E23-F23-G23-H23-I23</f>
        <v>7.0000000077925506E-3</v>
      </c>
      <c r="S23" s="376">
        <f t="shared" ref="S23" si="3">J23-K23-L23-M23-N23-O23-P23-Q23</f>
        <v>-2.8123706515543745E-3</v>
      </c>
    </row>
    <row r="24" spans="1:32" s="1460" customFormat="1" ht="18.75" customHeight="1">
      <c r="A24" s="902"/>
      <c r="B24" s="903" t="s">
        <v>224</v>
      </c>
      <c r="C24" s="412">
        <v>1579.485596040251</v>
      </c>
      <c r="D24" s="412">
        <v>8963.0552441633918</v>
      </c>
      <c r="E24" s="413">
        <v>73800.629662892039</v>
      </c>
      <c r="F24" s="413">
        <v>2583.9568366462272</v>
      </c>
      <c r="G24" s="413">
        <v>12674.642034838505</v>
      </c>
      <c r="H24" s="413">
        <v>289.856123310393</v>
      </c>
      <c r="I24" s="413">
        <v>7272.4636966884482</v>
      </c>
      <c r="J24" s="756">
        <v>107164.16679457926</v>
      </c>
      <c r="K24" s="412">
        <v>614.97305529895584</v>
      </c>
      <c r="L24" s="412">
        <v>7388.9035045267447</v>
      </c>
      <c r="M24" s="413">
        <v>83553.15979392374</v>
      </c>
      <c r="N24" s="413">
        <v>1404.5645891189822</v>
      </c>
      <c r="O24" s="413">
        <v>10209.366544295886</v>
      </c>
      <c r="P24" s="413">
        <v>49.501491332907001</v>
      </c>
      <c r="Q24" s="413">
        <v>3943.6148555491991</v>
      </c>
      <c r="R24" s="1461">
        <v>7.7600000005077163E-2</v>
      </c>
      <c r="S24" s="1461">
        <v>8.2960532857214275E-2</v>
      </c>
      <c r="T24" s="1467"/>
      <c r="U24" s="1467"/>
    </row>
    <row r="25" spans="1:32" s="1460" customFormat="1" ht="18.75" customHeight="1">
      <c r="A25" s="902"/>
      <c r="B25" s="903" t="s">
        <v>225</v>
      </c>
      <c r="C25" s="412">
        <v>1880.0094938794382</v>
      </c>
      <c r="D25" s="412">
        <v>10171.921253414715</v>
      </c>
      <c r="E25" s="413">
        <v>72941.909469623119</v>
      </c>
      <c r="F25" s="413">
        <v>2231.041741592624</v>
      </c>
      <c r="G25" s="413">
        <v>11644.685933870116</v>
      </c>
      <c r="H25" s="413">
        <v>370.88744129589702</v>
      </c>
      <c r="I25" s="413">
        <v>6789.3425823645166</v>
      </c>
      <c r="J25" s="756">
        <v>106029.7193068804</v>
      </c>
      <c r="K25" s="412">
        <v>749.49731650714784</v>
      </c>
      <c r="L25" s="412">
        <v>7498.7963311009662</v>
      </c>
      <c r="M25" s="413">
        <v>82983.552076719599</v>
      </c>
      <c r="N25" s="413">
        <v>1054.9598705516221</v>
      </c>
      <c r="O25" s="413">
        <v>9677.0275608329575</v>
      </c>
      <c r="P25" s="413">
        <v>183.56736315040098</v>
      </c>
      <c r="Q25" s="413">
        <v>3882.1808639012002</v>
      </c>
      <c r="R25" s="376">
        <v>-7.8609160025735036E-2</v>
      </c>
      <c r="S25" s="376">
        <v>0.13792411651593284</v>
      </c>
    </row>
    <row r="26" spans="1:32" s="1460" customFormat="1" ht="26.25" customHeight="1">
      <c r="A26" s="902">
        <v>2019</v>
      </c>
      <c r="B26" s="903" t="s">
        <v>222</v>
      </c>
      <c r="C26" s="412">
        <v>2421.2455387551295</v>
      </c>
      <c r="D26" s="412">
        <v>11271.009494916656</v>
      </c>
      <c r="E26" s="413">
        <v>79526.601838250863</v>
      </c>
      <c r="F26" s="413">
        <v>2300.2484119221053</v>
      </c>
      <c r="G26" s="413">
        <v>13186.363581947682</v>
      </c>
      <c r="H26" s="413">
        <v>451.90548399889099</v>
      </c>
      <c r="I26" s="413">
        <v>6624.5446869546449</v>
      </c>
      <c r="J26" s="756">
        <v>115781.83803674596</v>
      </c>
      <c r="K26" s="412">
        <v>641.13382552016469</v>
      </c>
      <c r="L26" s="412">
        <v>9482.8146139520686</v>
      </c>
      <c r="M26" s="413">
        <v>87733.335902915147</v>
      </c>
      <c r="N26" s="413">
        <v>941.41143022565893</v>
      </c>
      <c r="O26" s="413">
        <v>11722.809809548215</v>
      </c>
      <c r="P26" s="413">
        <v>212.57471688560801</v>
      </c>
      <c r="Q26" s="413">
        <v>5047.8169419901997</v>
      </c>
      <c r="R26" s="1461">
        <v>-8.1000000007406925E-2</v>
      </c>
      <c r="S26" s="1461">
        <v>-5.9204291106652818E-2</v>
      </c>
    </row>
    <row r="27" spans="1:32" s="1460" customFormat="1" ht="19.5" customHeight="1">
      <c r="A27" s="902"/>
      <c r="B27" s="903" t="s">
        <v>223</v>
      </c>
      <c r="C27" s="412">
        <f t="shared" ref="C27:Q27" si="4">C33</f>
        <v>2210.352670868564</v>
      </c>
      <c r="D27" s="412">
        <f t="shared" si="4"/>
        <v>10327.246258955825</v>
      </c>
      <c r="E27" s="413">
        <f t="shared" si="4"/>
        <v>78025.397466382972</v>
      </c>
      <c r="F27" s="413">
        <f t="shared" si="4"/>
        <v>2274.8526703629659</v>
      </c>
      <c r="G27" s="413">
        <f t="shared" si="4"/>
        <v>12285.837675696219</v>
      </c>
      <c r="H27" s="413">
        <f t="shared" si="4"/>
        <v>522.39790795170086</v>
      </c>
      <c r="I27" s="413">
        <f t="shared" si="4"/>
        <v>5904.347908149879</v>
      </c>
      <c r="J27" s="756">
        <f t="shared" si="4"/>
        <v>111550.39353904813</v>
      </c>
      <c r="K27" s="412">
        <f t="shared" si="4"/>
        <v>423.70791581274256</v>
      </c>
      <c r="L27" s="412">
        <f t="shared" si="4"/>
        <v>10289.020115291401</v>
      </c>
      <c r="M27" s="413">
        <f t="shared" si="4"/>
        <v>85161.415733902511</v>
      </c>
      <c r="N27" s="413">
        <f t="shared" si="4"/>
        <v>916.58616966626869</v>
      </c>
      <c r="O27" s="413">
        <f t="shared" si="4"/>
        <v>10403.088612059086</v>
      </c>
      <c r="P27" s="413">
        <f t="shared" si="4"/>
        <v>224.86040185182102</v>
      </c>
      <c r="Q27" s="413">
        <f t="shared" si="4"/>
        <v>4131.7216606079255</v>
      </c>
      <c r="R27" s="1461">
        <f t="shared" ref="R27" si="5">J27-C27-D27-E27-F27-G27-H27-I27</f>
        <v>-3.9019319996441482E-2</v>
      </c>
      <c r="S27" s="1461">
        <f t="shared" ref="S27" si="6">J27-K27-L27-M27-N27-O27-P27-Q27</f>
        <v>-7.0701436316085164E-3</v>
      </c>
      <c r="T27" s="1467"/>
      <c r="U27" s="1467"/>
      <c r="V27" s="1467"/>
      <c r="W27" s="1467"/>
      <c r="X27" s="1467"/>
      <c r="Y27" s="1467"/>
      <c r="Z27" s="1467"/>
      <c r="AA27" s="1467"/>
      <c r="AB27" s="1467"/>
      <c r="AC27" s="1467"/>
      <c r="AD27" s="1467"/>
      <c r="AE27" s="1467"/>
      <c r="AF27" s="1467"/>
    </row>
    <row r="28" spans="1:32" s="1460" customFormat="1" ht="19.5" customHeight="1">
      <c r="A28" s="902"/>
      <c r="B28" s="903" t="s">
        <v>224</v>
      </c>
      <c r="C28" s="412">
        <f t="shared" ref="C28:Q28" si="7">C36</f>
        <v>2009.7774534210996</v>
      </c>
      <c r="D28" s="412">
        <f t="shared" si="7"/>
        <v>10564.942277780849</v>
      </c>
      <c r="E28" s="413">
        <f t="shared" si="7"/>
        <v>76986.905830617587</v>
      </c>
      <c r="F28" s="413">
        <f t="shared" si="7"/>
        <v>2467.3461130834839</v>
      </c>
      <c r="G28" s="413">
        <f t="shared" si="7"/>
        <v>11996.479706271</v>
      </c>
      <c r="H28" s="413">
        <f t="shared" si="7"/>
        <v>365.62367357633502</v>
      </c>
      <c r="I28" s="413">
        <f t="shared" si="7"/>
        <v>5462.2439453943089</v>
      </c>
      <c r="J28" s="756">
        <f t="shared" si="7"/>
        <v>109853.22658422466</v>
      </c>
      <c r="K28" s="412">
        <f t="shared" si="7"/>
        <v>507.31065193795632</v>
      </c>
      <c r="L28" s="412">
        <f t="shared" si="7"/>
        <v>10866.349745300422</v>
      </c>
      <c r="M28" s="413">
        <f t="shared" si="7"/>
        <v>83814.923475423173</v>
      </c>
      <c r="N28" s="413">
        <f t="shared" si="7"/>
        <v>939.7718216632079</v>
      </c>
      <c r="O28" s="413">
        <f t="shared" si="7"/>
        <v>10010.753592729649</v>
      </c>
      <c r="P28" s="413">
        <f t="shared" si="7"/>
        <v>193.75923819982498</v>
      </c>
      <c r="Q28" s="413">
        <f t="shared" si="7"/>
        <v>3520.29732516899</v>
      </c>
      <c r="R28" s="1461">
        <f t="shared" ref="R28" si="8">J28-C28-D28-E28-F28-G28-H28-I28</f>
        <v>-9.2415920014900621E-2</v>
      </c>
      <c r="S28" s="1461">
        <f t="shared" ref="S28" si="9">J28-K28-L28-M28-N28-O28-P28-Q28</f>
        <v>6.0733801437436341E-2</v>
      </c>
    </row>
    <row r="29" spans="1:32" s="1467" customFormat="1" ht="19.5" customHeight="1">
      <c r="A29" s="902"/>
      <c r="B29" s="903" t="s">
        <v>225</v>
      </c>
      <c r="C29" s="412">
        <f t="shared" ref="C29:Q29" si="10">C39</f>
        <v>1980.5415704111033</v>
      </c>
      <c r="D29" s="412">
        <f t="shared" si="10"/>
        <v>11259.484272855218</v>
      </c>
      <c r="E29" s="413">
        <f t="shared" si="10"/>
        <v>76435.103327875928</v>
      </c>
      <c r="F29" s="413">
        <f t="shared" si="10"/>
        <v>2945.6893368360616</v>
      </c>
      <c r="G29" s="413">
        <f t="shared" si="10"/>
        <v>12447.89181408649</v>
      </c>
      <c r="H29" s="413">
        <f t="shared" si="10"/>
        <v>711.18433966348391</v>
      </c>
      <c r="I29" s="413">
        <f t="shared" si="10"/>
        <v>5058.3253962455155</v>
      </c>
      <c r="J29" s="756">
        <f t="shared" si="10"/>
        <v>110838.2357998838</v>
      </c>
      <c r="K29" s="412">
        <f t="shared" si="10"/>
        <v>471.18499503272551</v>
      </c>
      <c r="L29" s="412">
        <f t="shared" si="10"/>
        <v>11447.363163742171</v>
      </c>
      <c r="M29" s="413">
        <f t="shared" si="10"/>
        <v>84033.757649597668</v>
      </c>
      <c r="N29" s="413">
        <f t="shared" si="10"/>
        <v>824.38181659966006</v>
      </c>
      <c r="O29" s="413">
        <f t="shared" si="10"/>
        <v>10415.759076903754</v>
      </c>
      <c r="P29" s="413">
        <f t="shared" si="10"/>
        <v>193.31863362187698</v>
      </c>
      <c r="Q29" s="413">
        <f t="shared" si="10"/>
        <v>3452.2986135612327</v>
      </c>
      <c r="R29" s="1461">
        <f t="shared" ref="R29" si="11">J29-C29-D29-E29-F29-G29-H29-I29</f>
        <v>1.574190999417624E-2</v>
      </c>
      <c r="S29" s="1461">
        <f t="shared" ref="S29" si="12">J29-K29-L29-M29-N29-O29-P29-Q29</f>
        <v>0.17185082471132773</v>
      </c>
    </row>
    <row r="30" spans="1:32" s="1460" customFormat="1" ht="21" customHeight="1">
      <c r="A30" s="1462">
        <v>2020</v>
      </c>
      <c r="B30" s="1463" t="s">
        <v>222</v>
      </c>
      <c r="C30" s="1464">
        <f t="shared" ref="C30:Q30" si="13">C42</f>
        <v>2438.9223327501986</v>
      </c>
      <c r="D30" s="1464">
        <f t="shared" si="13"/>
        <v>12757.290161895999</v>
      </c>
      <c r="E30" s="1465">
        <f t="shared" si="13"/>
        <v>82287.081710527636</v>
      </c>
      <c r="F30" s="1465">
        <f t="shared" si="13"/>
        <v>1616.5329329134202</v>
      </c>
      <c r="G30" s="1465">
        <f t="shared" si="13"/>
        <v>11999.418225366873</v>
      </c>
      <c r="H30" s="1465">
        <f t="shared" si="13"/>
        <v>335.84149175320601</v>
      </c>
      <c r="I30" s="1465">
        <f t="shared" si="13"/>
        <v>4308.8215985987417</v>
      </c>
      <c r="J30" s="1466">
        <f t="shared" si="13"/>
        <v>115743.84489246609</v>
      </c>
      <c r="K30" s="1464">
        <f t="shared" si="13"/>
        <v>633.80528093412931</v>
      </c>
      <c r="L30" s="1464">
        <f t="shared" si="13"/>
        <v>12266.572942540266</v>
      </c>
      <c r="M30" s="1465">
        <f t="shared" si="13"/>
        <v>88467.103585640827</v>
      </c>
      <c r="N30" s="1465">
        <f t="shared" si="13"/>
        <v>705.89708075540102</v>
      </c>
      <c r="O30" s="1465">
        <f t="shared" si="13"/>
        <v>9672.6800745447181</v>
      </c>
      <c r="P30" s="1465">
        <f t="shared" si="13"/>
        <v>196.21640553989499</v>
      </c>
      <c r="Q30" s="1465">
        <f t="shared" si="13"/>
        <v>3801.4831849678276</v>
      </c>
      <c r="R30" s="376">
        <f t="shared" ref="R30" si="14">J30-C30-D30-E30-F30-G30-H30-I30</f>
        <v>-6.3561339983607468E-2</v>
      </c>
      <c r="S30" s="376">
        <f t="shared" ref="S30" si="15">J30-K30-L30-M30-N30-O30-P30-Q30</f>
        <v>8.6337543023091712E-2</v>
      </c>
    </row>
    <row r="31" spans="1:32" s="970" customFormat="1" ht="26.25" customHeight="1">
      <c r="A31" s="902">
        <v>2019</v>
      </c>
      <c r="B31" s="903" t="s">
        <v>399</v>
      </c>
      <c r="C31" s="412">
        <f>'[45]4'!$G$14</f>
        <v>1924.5174452916167</v>
      </c>
      <c r="D31" s="412">
        <f>SUM('[45]4'!$G$21:$G$22)</f>
        <v>10875.661817302022</v>
      </c>
      <c r="E31" s="413">
        <f>'[45]4'!$G$16</f>
        <v>77615.657763383613</v>
      </c>
      <c r="F31" s="413">
        <f>'[45]4'!$G$17</f>
        <v>2432.3413230164765</v>
      </c>
      <c r="G31" s="413">
        <f>'[45]4'!$G$20</f>
        <v>11918.067247297575</v>
      </c>
      <c r="H31" s="413">
        <f>'[45]4'!$G$18</f>
        <v>292.04069114142902</v>
      </c>
      <c r="I31" s="413">
        <f>'[45]4'!$G$19+'[45]4'!$G$23</f>
        <v>6346.9020421965561</v>
      </c>
      <c r="J31" s="756">
        <f>'[45]4'!$G$24</f>
        <v>111405.17532962927</v>
      </c>
      <c r="K31" s="412">
        <f>'[45]4'!$D$14</f>
        <v>712.64607164532094</v>
      </c>
      <c r="L31" s="412">
        <f>SUM('[45]4'!$D$21:$D$22)</f>
        <v>9225.1305209133152</v>
      </c>
      <c r="M31" s="413">
        <f>'[45]4'!$D$16</f>
        <v>85920.55027358506</v>
      </c>
      <c r="N31" s="413">
        <f>'[45]4'!$D$17</f>
        <v>972.28448120714484</v>
      </c>
      <c r="O31" s="413">
        <f>'[45]4'!$D$20+0.01</f>
        <v>10192.058002657164</v>
      </c>
      <c r="P31" s="413">
        <f>'[45]4'!$D$18</f>
        <v>170.904456882376</v>
      </c>
      <c r="Q31" s="413">
        <f>'[45]4'!$D$19+'[45]4'!$D$23</f>
        <v>4211.5851638145996</v>
      </c>
      <c r="R31" s="376">
        <f t="shared" ref="R31" si="16">J31-C31-D31-E31-F31-G31-H31-I31</f>
        <v>-1.300000001265289E-2</v>
      </c>
      <c r="S31" s="376">
        <f t="shared" ref="S31" si="17">J31-K31-L31-M31-N31-O31-P31-Q31</f>
        <v>1.6358924300220679E-2</v>
      </c>
      <c r="T31" s="904"/>
      <c r="U31" s="195"/>
    </row>
    <row r="32" spans="1:32" s="970" customFormat="1" ht="18.75" customHeight="1">
      <c r="A32" s="902"/>
      <c r="B32" s="903" t="s">
        <v>400</v>
      </c>
      <c r="C32" s="412">
        <f>'[46]4'!$G$14</f>
        <v>2053.1868643477055</v>
      </c>
      <c r="D32" s="412">
        <f>SUM('[46]4'!$G$21:$G$22)</f>
        <v>10188.294874768666</v>
      </c>
      <c r="E32" s="413">
        <f>'[46]4'!$G$16</f>
        <v>78063.418050624707</v>
      </c>
      <c r="F32" s="413">
        <f>'[46]4'!$G$17</f>
        <v>2077.4806935673801</v>
      </c>
      <c r="G32" s="413">
        <f>'[46]4'!$G$20</f>
        <v>11932.403274391909</v>
      </c>
      <c r="H32" s="413">
        <f>'[46]4'!$G$18</f>
        <v>402.73474673876706</v>
      </c>
      <c r="I32" s="413">
        <f>'[46]4'!$G$19+'[46]4'!$G$23+0.03</f>
        <v>6275.0592562375268</v>
      </c>
      <c r="J32" s="756">
        <f>'[46]4'!$G$24+0.02</f>
        <v>110992.55676067669</v>
      </c>
      <c r="K32" s="412">
        <f>'[46]4'!$D$14+0.05</f>
        <v>478.17648665608505</v>
      </c>
      <c r="L32" s="412">
        <f>SUM('[46]4'!$D$21:$D$22)</f>
        <v>10537.884302018316</v>
      </c>
      <c r="M32" s="413">
        <f>'[46]4'!$D$16+0.01</f>
        <v>84630.55900489731</v>
      </c>
      <c r="N32" s="413">
        <f>'[46]4'!$D$17</f>
        <v>829.81121632177201</v>
      </c>
      <c r="O32" s="413">
        <f>'[46]4'!$D$20</f>
        <v>10396.63481208255</v>
      </c>
      <c r="P32" s="413">
        <f>'[46]4'!$D$18</f>
        <v>171.39923697439798</v>
      </c>
      <c r="Q32" s="413">
        <f>'[46]4'!$D$19+'[46]4'!$D$23+0.05</f>
        <v>3948.0757035267998</v>
      </c>
      <c r="R32" s="376">
        <f t="shared" ref="R32" si="18">J32-C32-D32-E32-F32-G32-H32-I32</f>
        <v>-2.0999999971536454E-2</v>
      </c>
      <c r="S32" s="376">
        <f t="shared" ref="S32" si="19">J32-K32-L32-M32-N32-O32-P32-Q32</f>
        <v>1.5998199459772877E-2</v>
      </c>
      <c r="T32" s="904"/>
      <c r="U32" s="195"/>
    </row>
    <row r="33" spans="1:21" s="970" customFormat="1" ht="18.75" customHeight="1">
      <c r="A33" s="902"/>
      <c r="B33" s="903" t="s">
        <v>401</v>
      </c>
      <c r="C33" s="412">
        <f>'[47]4'!$G$14</f>
        <v>2210.352670868564</v>
      </c>
      <c r="D33" s="412">
        <f>SUM('[47]4'!$G$21:$G$22)</f>
        <v>10327.246258955825</v>
      </c>
      <c r="E33" s="413">
        <f>'[47]4'!$G$16</f>
        <v>78025.397466382972</v>
      </c>
      <c r="F33" s="413">
        <f>'[47]4'!$G$17</f>
        <v>2274.8526703629659</v>
      </c>
      <c r="G33" s="413">
        <f>'[47]4'!$G$20</f>
        <v>12285.837675696219</v>
      </c>
      <c r="H33" s="413">
        <f>'[47]4'!$G$18+0.05</f>
        <v>522.39790795170086</v>
      </c>
      <c r="I33" s="413">
        <f>'[47]4'!$G$19+'[47]4'!$G$23</f>
        <v>5904.347908149879</v>
      </c>
      <c r="J33" s="756">
        <f>'[47]4'!$G$24+0.05</f>
        <v>111550.39353904813</v>
      </c>
      <c r="K33" s="412">
        <f>'[47]4'!$D$14</f>
        <v>423.70791581274256</v>
      </c>
      <c r="L33" s="412">
        <f>SUM('[47]4'!$D$21:$D$22)</f>
        <v>10289.020115291401</v>
      </c>
      <c r="M33" s="413">
        <f>'[47]4'!$D$16</f>
        <v>85161.415733902511</v>
      </c>
      <c r="N33" s="413">
        <f>'[47]4'!$D$17</f>
        <v>916.58616966626869</v>
      </c>
      <c r="O33" s="413">
        <f>'[47]4'!$D$20</f>
        <v>10403.088612059086</v>
      </c>
      <c r="P33" s="413">
        <f>'[47]4'!$D$18</f>
        <v>224.86040185182102</v>
      </c>
      <c r="Q33" s="413">
        <f>'[47]4'!$D$19+'[47]4'!$D$23</f>
        <v>4131.7216606079255</v>
      </c>
      <c r="R33" s="376">
        <f t="shared" ref="R33" si="20">J33-C33-D33-E33-F33-G33-H33-I33</f>
        <v>-3.9019319996441482E-2</v>
      </c>
      <c r="S33" s="376">
        <f t="shared" ref="S33" si="21">J33-K33-L33-M33-N33-O33-P33-Q33</f>
        <v>-7.0701436316085164E-3</v>
      </c>
      <c r="T33" s="904"/>
      <c r="U33" s="195"/>
    </row>
    <row r="34" spans="1:21" s="970" customFormat="1" ht="18.75" customHeight="1">
      <c r="A34" s="902"/>
      <c r="B34" s="903" t="s">
        <v>402</v>
      </c>
      <c r="C34" s="412">
        <f>'[48]4'!$G$14</f>
        <v>2304.5080496742112</v>
      </c>
      <c r="D34" s="412">
        <f>SUM('[48]4'!$G$21:$G$22)-0.05</f>
        <v>10088.828324536022</v>
      </c>
      <c r="E34" s="413">
        <f>'[48]4'!$G$16-0.1</f>
        <v>76198.696712108562</v>
      </c>
      <c r="F34" s="413">
        <f>'[48]4'!$G$17</f>
        <v>2061.230465568784</v>
      </c>
      <c r="G34" s="413">
        <f>'[48]4'!$G$20</f>
        <v>12104.248947379199</v>
      </c>
      <c r="H34" s="413">
        <f>'[48]4'!$G$18</f>
        <v>394.90794819106651</v>
      </c>
      <c r="I34" s="413">
        <f>'[48]4'!$G$19+'[48]4'!$G$23</f>
        <v>5393.0070136020477</v>
      </c>
      <c r="J34" s="756">
        <f>'[48]4'!$G$24-0.11</f>
        <v>108545.34238007448</v>
      </c>
      <c r="K34" s="412">
        <f>'[48]4'!$D$14</f>
        <v>516.2001735797453</v>
      </c>
      <c r="L34" s="412">
        <f>SUM('[48]4'!$D$21:$D$22)</f>
        <v>10343.408680448239</v>
      </c>
      <c r="M34" s="413">
        <f>'[48]4'!$D$16</f>
        <v>82888.025896755324</v>
      </c>
      <c r="N34" s="413">
        <f>'[48]4'!$D$17</f>
        <v>786.25807518175782</v>
      </c>
      <c r="O34" s="413">
        <f>'[48]4'!$D$20</f>
        <v>10472.185438133911</v>
      </c>
      <c r="P34" s="413">
        <f>'[48]4'!$D$18</f>
        <v>191.56869361758103</v>
      </c>
      <c r="Q34" s="413">
        <f>'[48]4'!$D$19+'[48]4'!$D$23</f>
        <v>3347.5763159653002</v>
      </c>
      <c r="R34" s="376">
        <f t="shared" ref="R34" si="22">J34-C34-D34-E34-F34-G34-H34-I34</f>
        <v>-8.5080985418244381E-2</v>
      </c>
      <c r="S34" s="376">
        <f t="shared" ref="S34" si="23">J34-K34-L34-M34-N34-O34-P34-Q34</f>
        <v>0.11910639262987388</v>
      </c>
      <c r="T34" s="904"/>
      <c r="U34" s="195"/>
    </row>
    <row r="35" spans="1:21" s="970" customFormat="1" ht="18.75" customHeight="1">
      <c r="A35" s="902"/>
      <c r="B35" s="903" t="s">
        <v>403</v>
      </c>
      <c r="C35" s="412">
        <f>'[49]4'!$G$14</f>
        <v>2106.6336307812157</v>
      </c>
      <c r="D35" s="412">
        <f>SUM('[49]4'!$G$21:$G$22)</f>
        <v>10125.665413353054</v>
      </c>
      <c r="E35" s="413">
        <f>'[49]4'!$G$16</f>
        <v>75729.488068776496</v>
      </c>
      <c r="F35" s="413">
        <f>'[49]4'!$G$17-0.02</f>
        <v>2016.0412220463829</v>
      </c>
      <c r="G35" s="413">
        <f>'[49]4'!$G$20</f>
        <v>11974.612475610173</v>
      </c>
      <c r="H35" s="413">
        <f>'[49]4'!$G$18</f>
        <v>515.06004527073196</v>
      </c>
      <c r="I35" s="413">
        <f>'[49]4'!$G$19+'[49]4'!$G$23</f>
        <v>5489.5297119848037</v>
      </c>
      <c r="J35" s="756">
        <f>'[49]4'!$G$24</f>
        <v>107957.00416782287</v>
      </c>
      <c r="K35" s="412">
        <f>'[49]4'!$D$14</f>
        <v>534.86832770565377</v>
      </c>
      <c r="L35" s="412">
        <f>SUM('[49]4'!$D$21:$D$22)</f>
        <v>10688.519452243891</v>
      </c>
      <c r="M35" s="413">
        <f>'[49]4'!$D$16</f>
        <v>82053.277187220534</v>
      </c>
      <c r="N35" s="413">
        <f>'[49]4'!$D$17+0.03</f>
        <v>785.85781259205612</v>
      </c>
      <c r="O35" s="413">
        <f>'[49]4'!$D$20</f>
        <v>10327.456854115064</v>
      </c>
      <c r="P35" s="413">
        <f>'[49]4'!$D$18</f>
        <v>200.10710610689401</v>
      </c>
      <c r="Q35" s="413">
        <f>'[49]4'!$D$19+'[49]4'!$D$23+0.03</f>
        <v>3366.7555158928008</v>
      </c>
      <c r="R35" s="376">
        <f t="shared" ref="R35" si="24">J35-C35-D35-E35-F35-G35-H35-I35</f>
        <v>-2.6399999985187605E-2</v>
      </c>
      <c r="S35" s="376">
        <f t="shared" ref="S35" si="25">J35-K35-L35-M35-N35-O35-P35-Q35</f>
        <v>0.16191194598650327</v>
      </c>
      <c r="T35" s="904"/>
      <c r="U35" s="195"/>
    </row>
    <row r="36" spans="1:21" s="970" customFormat="1" ht="18.75" customHeight="1">
      <c r="A36" s="902"/>
      <c r="B36" s="903" t="s">
        <v>404</v>
      </c>
      <c r="C36" s="412">
        <f>'[50]4'!$G$14</f>
        <v>2009.7774534210996</v>
      </c>
      <c r="D36" s="412">
        <f>SUM('[50]4'!$G$21:$G$22)-0.01</f>
        <v>10564.942277780849</v>
      </c>
      <c r="E36" s="413">
        <f>'[50]4'!$G$16</f>
        <v>76986.905830617587</v>
      </c>
      <c r="F36" s="413">
        <f>'[50]4'!$G$17</f>
        <v>2467.3461130834839</v>
      </c>
      <c r="G36" s="413">
        <f>'[50]4'!$G$20</f>
        <v>11996.479706271</v>
      </c>
      <c r="H36" s="413">
        <f>'[50]4'!$G$18</f>
        <v>365.62367357633502</v>
      </c>
      <c r="I36" s="413">
        <f>'[50]4'!$G$19+'[50]4'!$G$23-0.02</f>
        <v>5462.2439453943089</v>
      </c>
      <c r="J36" s="756">
        <f>'[50]4'!$G$24-0.05</f>
        <v>109853.22658422466</v>
      </c>
      <c r="K36" s="412">
        <f>'[50]4'!$D$14</f>
        <v>507.31065193795632</v>
      </c>
      <c r="L36" s="412">
        <f>SUM('[50]4'!$D$21:$D$22)</f>
        <v>10866.349745300422</v>
      </c>
      <c r="M36" s="413">
        <f>'[50]4'!$D$16</f>
        <v>83814.923475423173</v>
      </c>
      <c r="N36" s="413">
        <f>'[50]4'!$D$17</f>
        <v>939.7718216632079</v>
      </c>
      <c r="O36" s="413">
        <f>'[50]4'!$D$20</f>
        <v>10010.753592729649</v>
      </c>
      <c r="P36" s="413">
        <f>'[50]4'!$D$18</f>
        <v>193.75923819982498</v>
      </c>
      <c r="Q36" s="413">
        <f>'[50]4'!$D$19+'[50]4'!$D$23</f>
        <v>3520.29732516899</v>
      </c>
      <c r="R36" s="376">
        <f t="shared" ref="R36" si="26">J36-C36-D36-E36-F36-G36-H36-I36</f>
        <v>-9.2415920014900621E-2</v>
      </c>
      <c r="S36" s="376">
        <f t="shared" ref="S36" si="27">J36-K36-L36-M36-N36-O36-P36-Q36</f>
        <v>6.0733801437436341E-2</v>
      </c>
      <c r="T36" s="904"/>
      <c r="U36" s="195"/>
    </row>
    <row r="37" spans="1:21" s="970" customFormat="1" ht="18.75" customHeight="1">
      <c r="A37" s="902"/>
      <c r="B37" s="903" t="s">
        <v>405</v>
      </c>
      <c r="C37" s="412">
        <f>'[51]4'!$G$14</f>
        <v>2047.9614487429185</v>
      </c>
      <c r="D37" s="412">
        <f>SUM('[51]4'!$G$21:$G$22)</f>
        <v>10235.865638136085</v>
      </c>
      <c r="E37" s="413">
        <f>'[51]4'!$G$16</f>
        <v>77974.779241521988</v>
      </c>
      <c r="F37" s="413">
        <f>'[51]4'!$G$17+0.03</f>
        <v>2263.0619855812238</v>
      </c>
      <c r="G37" s="413">
        <f>'[51]4'!$G$20</f>
        <v>12605.530863549222</v>
      </c>
      <c r="H37" s="413">
        <f>'[51]4'!$G$18</f>
        <v>694.01556195016212</v>
      </c>
      <c r="I37" s="413">
        <f>'[51]4'!$G$19+'[51]4'!$G$23</f>
        <v>5241.4975221183631</v>
      </c>
      <c r="J37" s="756">
        <f>'[51]4'!$G$24</f>
        <v>111062.78091621993</v>
      </c>
      <c r="K37" s="412">
        <f>'[51]4'!$D$14</f>
        <v>576.37063003954461</v>
      </c>
      <c r="L37" s="412">
        <f>SUM('[51]4'!$D$21:$D$22)</f>
        <v>11086.424882170293</v>
      </c>
      <c r="M37" s="413">
        <f>'[51]4'!$D$16</f>
        <v>84726.052919507521</v>
      </c>
      <c r="N37" s="413">
        <f>'[51]4'!$D$17+0.01</f>
        <v>868.25958215635023</v>
      </c>
      <c r="O37" s="413">
        <f>'[51]4'!$D$20</f>
        <v>10260.465105477695</v>
      </c>
      <c r="P37" s="413">
        <f>'[51]4'!$D$18</f>
        <v>194.33672144597401</v>
      </c>
      <c r="Q37" s="413">
        <f>'[51]4'!$D$19+'[51]4'!$D$23</f>
        <v>3350.8268661766997</v>
      </c>
      <c r="R37" s="376">
        <f t="shared" ref="R37" si="28">J37-C37-D37-E37-F37-G37-H37-I37</f>
        <v>6.8654619966764585E-2</v>
      </c>
      <c r="S37" s="376">
        <f t="shared" ref="S37" si="29">J37-K37-L37-M37-N37-O37-P37-Q37</f>
        <v>4.4209245850652223E-2</v>
      </c>
      <c r="T37" s="904"/>
      <c r="U37" s="195"/>
    </row>
    <row r="38" spans="1:21" s="970" customFormat="1" ht="18.75" customHeight="1">
      <c r="A38" s="902"/>
      <c r="B38" s="903" t="s">
        <v>406</v>
      </c>
      <c r="C38" s="412">
        <f>'[52]4'!$G$14-0.03</f>
        <v>1844.5390043687855</v>
      </c>
      <c r="D38" s="412">
        <f>SUM('[52]4'!$G$21:$G$22)</f>
        <v>10178.183253346773</v>
      </c>
      <c r="E38" s="413">
        <f>'[52]4'!$G$16</f>
        <v>78400.895659374131</v>
      </c>
      <c r="F38" s="413">
        <f>'[52]4'!$G$17</f>
        <v>2325.9052310862958</v>
      </c>
      <c r="G38" s="413">
        <f>'[52]4'!$G$20</f>
        <v>13146.846514548142</v>
      </c>
      <c r="H38" s="413">
        <f>'[52]4'!$G$18-0.02</f>
        <v>612.14064142319796</v>
      </c>
      <c r="I38" s="413">
        <f>'[52]4'!$G$19+'[52]4'!$G$23</f>
        <v>4967.8142357163488</v>
      </c>
      <c r="J38" s="756">
        <f>'[52]4'!$G$24-0.12</f>
        <v>111476.24488685367</v>
      </c>
      <c r="K38" s="412">
        <f>'[52]4'!$D$14+0.01</f>
        <v>462.2571615404924</v>
      </c>
      <c r="L38" s="412">
        <f>SUM('[52]4'!$D$21:$D$22)+0.03</f>
        <v>11144.563542992941</v>
      </c>
      <c r="M38" s="413">
        <f>'[52]4'!$D$16</f>
        <v>85406.217188803799</v>
      </c>
      <c r="N38" s="413">
        <f>'[52]4'!$D$17</f>
        <v>877.49818704082111</v>
      </c>
      <c r="O38" s="413">
        <f>'[52]4'!$D$20</f>
        <v>10150.669245073019</v>
      </c>
      <c r="P38" s="413">
        <f>'[52]4'!$D$18</f>
        <v>195.51585250008398</v>
      </c>
      <c r="Q38" s="413">
        <f>'[52]4'!$D$19+'[52]4'!$D$23</f>
        <v>3239.4154371247832</v>
      </c>
      <c r="R38" s="376">
        <f t="shared" ref="R38" si="30">J38-C38-D38-E38-F38-G38-H38-I38</f>
        <v>-7.9653009991488943E-2</v>
      </c>
      <c r="S38" s="376">
        <f t="shared" ref="S38" si="31">J38-K38-L38-M38-N38-O38-P38-Q38</f>
        <v>0.1082717777403559</v>
      </c>
      <c r="T38" s="904"/>
      <c r="U38" s="195"/>
    </row>
    <row r="39" spans="1:21" s="970" customFormat="1" ht="18.75" customHeight="1">
      <c r="A39" s="902"/>
      <c r="B39" s="903" t="s">
        <v>407</v>
      </c>
      <c r="C39" s="412">
        <f>'[53]4'!$G$14-0.02</f>
        <v>1980.5415704111033</v>
      </c>
      <c r="D39" s="412">
        <f>SUM('[53]4'!$G$21:$G$22)</f>
        <v>11259.484272855218</v>
      </c>
      <c r="E39" s="413">
        <f>'[53]4'!$G$16</f>
        <v>76435.103327875928</v>
      </c>
      <c r="F39" s="413">
        <f>'[53]4'!$G$17</f>
        <v>2945.6893368360616</v>
      </c>
      <c r="G39" s="413">
        <f>'[53]4'!$G$20</f>
        <v>12447.89181408649</v>
      </c>
      <c r="H39" s="413">
        <f>'[53]4'!$G$18</f>
        <v>711.18433966348391</v>
      </c>
      <c r="I39" s="413">
        <f>'[53]4'!$G$19+'[53]4'!$G$23-0.05</f>
        <v>5058.3253962455155</v>
      </c>
      <c r="J39" s="756">
        <f>'[53]4'!$G$24-0.05</f>
        <v>110838.2357998838</v>
      </c>
      <c r="K39" s="412">
        <f>'[53]4'!$D$14</f>
        <v>471.18499503272551</v>
      </c>
      <c r="L39" s="412">
        <f>SUM('[53]4'!$D$21:$D$22)</f>
        <v>11447.363163742171</v>
      </c>
      <c r="M39" s="413">
        <f>'[53]4'!$D$16+0.01</f>
        <v>84033.757649597668</v>
      </c>
      <c r="N39" s="413">
        <f>'[53]4'!$D$17</f>
        <v>824.38181659966006</v>
      </c>
      <c r="O39" s="413">
        <f>'[53]4'!$D$20+0.02</f>
        <v>10415.759076903754</v>
      </c>
      <c r="P39" s="413">
        <f>'[53]4'!$D$18</f>
        <v>193.31863362187698</v>
      </c>
      <c r="Q39" s="413">
        <f>'[53]4'!$D$19+'[53]4'!$D$23</f>
        <v>3452.2986135612327</v>
      </c>
      <c r="R39" s="376">
        <f t="shared" ref="R39" si="32">J39-C39-D39-E39-F39-G39-H39-I39</f>
        <v>1.574190999417624E-2</v>
      </c>
      <c r="S39" s="376">
        <f t="shared" ref="S39" si="33">J39-K39-L39-M39-N39-O39-P39-Q39</f>
        <v>0.17185082471132773</v>
      </c>
      <c r="T39" s="904"/>
      <c r="U39" s="195"/>
    </row>
    <row r="40" spans="1:21" s="970" customFormat="1" ht="26.25" customHeight="1">
      <c r="A40" s="902">
        <v>2020</v>
      </c>
      <c r="B40" s="903" t="s">
        <v>408</v>
      </c>
      <c r="C40" s="412">
        <f>'[54]4'!$G$14-0.02</f>
        <v>2653.6401817466203</v>
      </c>
      <c r="D40" s="412">
        <f>SUM('[54]4'!$G$21:$G$22)-0.04</f>
        <v>12562.825179093128</v>
      </c>
      <c r="E40" s="413">
        <f>'[54]4'!$G$16</f>
        <v>75621.131998708137</v>
      </c>
      <c r="F40" s="413">
        <f>'[54]4'!$G$17</f>
        <v>3613.690749380859</v>
      </c>
      <c r="G40" s="413">
        <f>'[54]4'!$G$20</f>
        <v>11904.604629579027</v>
      </c>
      <c r="H40" s="413">
        <f>'[54]4'!$G$18</f>
        <v>570.42399604048194</v>
      </c>
      <c r="I40" s="413">
        <f>'[54]4'!$G$19+'[54]4'!$G$23</f>
        <v>4952.7139222064052</v>
      </c>
      <c r="J40" s="756">
        <f>'[54]4'!$G$24-0.1</f>
        <v>111878.94169249467</v>
      </c>
      <c r="K40" s="412">
        <f>'[54]4'!$D$14</f>
        <v>691.90617097683162</v>
      </c>
      <c r="L40" s="412">
        <f>SUM('[54]4'!$D$21:$D$22)</f>
        <v>11675.525095516976</v>
      </c>
      <c r="M40" s="413">
        <f>'[54]4'!$D$16</f>
        <v>84826.723827213893</v>
      </c>
      <c r="N40" s="413">
        <f>'[54]4'!$D$17</f>
        <v>1054.4690472482985</v>
      </c>
      <c r="O40" s="413">
        <f>'[54]4'!$D$20</f>
        <v>10010.198232205386</v>
      </c>
      <c r="P40" s="413">
        <f>'[54]4'!$D$18</f>
        <v>211.20038226186799</v>
      </c>
      <c r="Q40" s="413">
        <f>'[54]4'!$D$19+'[54]4'!$D$23</f>
        <v>3408.9317643742002</v>
      </c>
      <c r="R40" s="376">
        <f t="shared" ref="R40" si="34">J40-C40-D40-E40-F40-G40-H40-I40</f>
        <v>-8.8964259987733385E-2</v>
      </c>
      <c r="S40" s="376">
        <f t="shared" ref="S40" si="35">J40-K40-L40-M40-N40-O40-P40-Q40</f>
        <v>-1.2827302778987359E-2</v>
      </c>
      <c r="T40" s="904"/>
      <c r="U40" s="195"/>
    </row>
    <row r="41" spans="1:21" s="970" customFormat="1" ht="18.75" customHeight="1">
      <c r="A41" s="1083"/>
      <c r="B41" s="1084" t="s">
        <v>409</v>
      </c>
      <c r="C41" s="412">
        <f>'[55]4'!$G$14-0.05</f>
        <v>2586.9348675495621</v>
      </c>
      <c r="D41" s="412">
        <f>SUM('[55]4'!$G$21:$G$22)</f>
        <v>11397.690844599754</v>
      </c>
      <c r="E41" s="413">
        <f>'[55]4'!$G$16</f>
        <v>81462.615816674341</v>
      </c>
      <c r="F41" s="413">
        <f>'[55]4'!$G$17-0.05</f>
        <v>1805.3411912796951</v>
      </c>
      <c r="G41" s="413">
        <f>'[55]4'!$G$20</f>
        <v>11941.335287635273</v>
      </c>
      <c r="H41" s="413">
        <f>'[55]4'!$G$18</f>
        <v>214.54351729812302</v>
      </c>
      <c r="I41" s="413">
        <f>'[55]4'!$G$19+'[55]4'!$G$23</f>
        <v>4152.5041453669173</v>
      </c>
      <c r="J41" s="756">
        <f>'[55]4'!$G$24-0.2</f>
        <v>113560.83647086368</v>
      </c>
      <c r="K41" s="412">
        <f>'[55]4'!$D$14</f>
        <v>697.28025316731919</v>
      </c>
      <c r="L41" s="412">
        <f>SUM('[55]4'!$D$21:$D$22)</f>
        <v>10817.536123121823</v>
      </c>
      <c r="M41" s="413">
        <f>'[55]4'!$D$16</f>
        <v>87226.529151628129</v>
      </c>
      <c r="N41" s="413">
        <f>'[55]4'!$D$17</f>
        <v>1015.8025188553111</v>
      </c>
      <c r="O41" s="413">
        <f>'[55]4'!$D$20</f>
        <v>9957.4257650900818</v>
      </c>
      <c r="P41" s="413">
        <f>'[55]4'!$D$18</f>
        <v>200.76560389815</v>
      </c>
      <c r="Q41" s="413">
        <f>'[55]4'!$D$19+'[55]4'!$D$23-0.03</f>
        <v>3645.541741056863</v>
      </c>
      <c r="R41" s="376">
        <f t="shared" ref="R41" si="36">J41-C41-D41-E41-F41-G41-H41-I41</f>
        <v>-0.12919953997970879</v>
      </c>
      <c r="S41" s="376">
        <f t="shared" ref="S41" si="37">J41-K41-L41-M41-N41-O41-P41-Q41</f>
        <v>-4.4685954003398365E-2</v>
      </c>
      <c r="T41" s="904"/>
      <c r="U41" s="195"/>
    </row>
    <row r="42" spans="1:21" s="970" customFormat="1" ht="18.75" customHeight="1">
      <c r="A42" s="1083"/>
      <c r="B42" s="1084" t="s">
        <v>398</v>
      </c>
      <c r="C42" s="412">
        <f>'[56]4'!$G$14</f>
        <v>2438.9223327501986</v>
      </c>
      <c r="D42" s="412">
        <f>SUM('[56]4'!$G$21:$G$22)</f>
        <v>12757.290161895999</v>
      </c>
      <c r="E42" s="413">
        <f>'[56]4'!$G$16</f>
        <v>82287.081710527636</v>
      </c>
      <c r="F42" s="413">
        <f>'[56]4'!$G$17</f>
        <v>1616.5329329134202</v>
      </c>
      <c r="G42" s="413">
        <f>'[56]4'!$G$20</f>
        <v>11999.418225366873</v>
      </c>
      <c r="H42" s="413">
        <f>'[56]4'!$G$18</f>
        <v>335.84149175320601</v>
      </c>
      <c r="I42" s="413">
        <f>'[56]4'!$G$19+'[56]4'!$G$23</f>
        <v>4308.8215985987417</v>
      </c>
      <c r="J42" s="756">
        <f>'[56]4'!$G$24-0.06</f>
        <v>115743.84489246609</v>
      </c>
      <c r="K42" s="412">
        <f>'[56]4'!$D$14</f>
        <v>633.80528093412931</v>
      </c>
      <c r="L42" s="412">
        <f>SUM('[56]4'!$D$21:$D$22)+0.05</f>
        <v>12266.572942540266</v>
      </c>
      <c r="M42" s="413">
        <f>'[56]4'!$D$16</f>
        <v>88467.103585640827</v>
      </c>
      <c r="N42" s="413">
        <f>'[56]4'!$D$17</f>
        <v>705.89708075540102</v>
      </c>
      <c r="O42" s="413">
        <f>'[56]4'!$D$20</f>
        <v>9672.6800745447181</v>
      </c>
      <c r="P42" s="413">
        <f>'[56]4'!$D$18</f>
        <v>196.21640553989499</v>
      </c>
      <c r="Q42" s="413">
        <f>'[56]4'!$D$19+'[56]4'!$D$23</f>
        <v>3801.4831849678276</v>
      </c>
      <c r="R42" s="376">
        <f t="shared" ref="R42" si="38">J42-C42-D42-E42-F42-G42-H42-I42</f>
        <v>-6.3561339983607468E-2</v>
      </c>
      <c r="S42" s="376">
        <f t="shared" ref="S42" si="39">J42-K42-L42-M42-N42-O42-P42-Q42</f>
        <v>8.6337543023091712E-2</v>
      </c>
      <c r="T42" s="904"/>
      <c r="U42" s="195"/>
    </row>
    <row r="43" spans="1:21" s="970" customFormat="1" ht="18.75" customHeight="1">
      <c r="A43" s="1083"/>
      <c r="B43" s="1084" t="s">
        <v>399</v>
      </c>
      <c r="C43" s="412">
        <f>'[57]4'!$G$14</f>
        <v>1989.9709040514688</v>
      </c>
      <c r="D43" s="412">
        <f>SUM('[57]4'!$G$21:$G$22)-0.01</f>
        <v>13013.442193159117</v>
      </c>
      <c r="E43" s="413">
        <f>'[57]4'!$G$16</f>
        <v>81533.916203239933</v>
      </c>
      <c r="F43" s="413">
        <f>'[57]4'!$G$17</f>
        <v>1635.9028938926347</v>
      </c>
      <c r="G43" s="413">
        <f>'[57]4'!$G$20</f>
        <v>11434.573676589731</v>
      </c>
      <c r="H43" s="413">
        <f>'[57]4'!$G$18</f>
        <v>324.42028412037604</v>
      </c>
      <c r="I43" s="413">
        <f>'[57]4'!$G$19+'[57]4'!$G$23</f>
        <v>3826.4708320054624</v>
      </c>
      <c r="J43" s="756">
        <f>'[57]4'!$G$24-0.02</f>
        <v>113758.74350239261</v>
      </c>
      <c r="K43" s="412">
        <f>'[57]4'!$D$14</f>
        <v>563.0742783389976</v>
      </c>
      <c r="L43" s="412">
        <f>SUM('[57]4'!$D$21:$D$22)</f>
        <v>12011.21974001642</v>
      </c>
      <c r="M43" s="413">
        <f>'[57]4'!$D$16</f>
        <v>87622.436023033879</v>
      </c>
      <c r="N43" s="413">
        <f>'[57]4'!$D$17</f>
        <v>755.39030426782483</v>
      </c>
      <c r="O43" s="413">
        <f>'[57]4'!$D$20</f>
        <v>9241.905608486175</v>
      </c>
      <c r="P43" s="413">
        <f>'[57]4'!$D$18</f>
        <v>179.54546121734901</v>
      </c>
      <c r="Q43" s="413">
        <f>'[57]4'!$D$19+'[57]4'!$D$23-0.03</f>
        <v>3385.2388759666801</v>
      </c>
      <c r="R43" s="376">
        <f t="shared" ref="R43" si="40">J43-C43-D43-E43-F43-G43-H43-I43</f>
        <v>4.6515333879142418E-2</v>
      </c>
      <c r="S43" s="376">
        <f t="shared" ref="S43" si="41">J43-K43-L43-M43-N43-O43-P43-Q43</f>
        <v>-6.6788934715987125E-2</v>
      </c>
      <c r="T43" s="904"/>
      <c r="U43" s="195"/>
    </row>
    <row r="44" spans="1:21" ht="20.25" customHeight="1">
      <c r="A44" s="273" t="s">
        <v>928</v>
      </c>
      <c r="B44" s="405"/>
      <c r="C44" s="405"/>
      <c r="D44" s="405"/>
      <c r="E44" s="405"/>
      <c r="F44" s="405"/>
      <c r="G44" s="405"/>
      <c r="H44" s="405"/>
      <c r="I44" s="405"/>
      <c r="J44" s="405"/>
      <c r="K44" s="1494"/>
      <c r="L44" s="405"/>
      <c r="M44" s="405"/>
      <c r="N44" s="405"/>
      <c r="O44" s="405"/>
      <c r="P44" s="405"/>
      <c r="Q44" s="1495" t="s">
        <v>929</v>
      </c>
    </row>
    <row r="45" spans="1:21" ht="20.25" customHeight="1">
      <c r="A45" s="381"/>
      <c r="B45" s="407"/>
      <c r="C45" s="407"/>
      <c r="D45" s="407"/>
      <c r="E45" s="407"/>
      <c r="F45" s="407"/>
      <c r="G45" s="407"/>
      <c r="H45" s="407"/>
      <c r="I45" s="407"/>
      <c r="J45" s="407"/>
      <c r="K45" s="407"/>
      <c r="L45" s="407"/>
      <c r="M45" s="407"/>
      <c r="N45" s="407"/>
      <c r="O45" s="407"/>
      <c r="P45" s="407"/>
      <c r="Q45" s="390"/>
    </row>
    <row r="46" spans="1:21" ht="20.25" customHeight="1">
      <c r="A46" s="381"/>
      <c r="B46" s="407"/>
      <c r="C46" s="407"/>
      <c r="D46" s="407"/>
      <c r="E46" s="407"/>
      <c r="F46" s="407"/>
      <c r="G46" s="407"/>
      <c r="H46" s="407"/>
      <c r="I46" s="407"/>
      <c r="J46" s="407"/>
      <c r="K46" s="407"/>
      <c r="L46" s="407"/>
      <c r="M46" s="407"/>
      <c r="N46" s="407"/>
      <c r="O46" s="407"/>
      <c r="P46" s="407"/>
      <c r="Q46" s="390"/>
    </row>
    <row r="47" spans="1:21" s="195" customFormat="1" ht="15">
      <c r="A47" s="296" t="s">
        <v>1040</v>
      </c>
      <c r="B47" s="296"/>
      <c r="C47" s="296"/>
      <c r="D47" s="296"/>
      <c r="E47" s="296"/>
      <c r="F47" s="296"/>
      <c r="G47" s="296"/>
      <c r="H47" s="296"/>
      <c r="I47" s="296"/>
      <c r="J47" s="296"/>
      <c r="K47" s="296"/>
      <c r="L47" s="296"/>
      <c r="M47" s="296"/>
      <c r="N47" s="296"/>
      <c r="O47" s="296"/>
      <c r="P47" s="1088"/>
      <c r="Q47" s="296"/>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dimension ref="A1:S49"/>
  <sheetViews>
    <sheetView zoomScale="85" zoomScaleNormal="85" workbookViewId="0">
      <pane ySplit="12" topLeftCell="A40" activePane="bottomLeft" state="frozen"/>
      <selection activeCell="A49" sqref="A1:XFD1048576"/>
      <selection pane="bottomLeft" activeCell="A49" sqref="A1:XFD1048576"/>
    </sheetView>
  </sheetViews>
  <sheetFormatPr defaultRowHeight="12.75"/>
  <cols>
    <col min="1" max="2" width="9.7109375" style="29" customWidth="1"/>
    <col min="3" max="3" width="9.28515625" style="29" customWidth="1"/>
    <col min="4" max="4" width="12.7109375" style="29" customWidth="1"/>
    <col min="5" max="5" width="14.7109375" style="29" customWidth="1"/>
    <col min="6" max="6" width="12" style="29" customWidth="1"/>
    <col min="7" max="7" width="11.85546875" style="29" customWidth="1"/>
    <col min="8" max="8" width="12.28515625" style="29" customWidth="1"/>
    <col min="9" max="9" width="12.7109375" style="29" customWidth="1"/>
    <col min="10" max="10" width="14.7109375" style="29" customWidth="1"/>
    <col min="11" max="11" width="11.7109375" style="29" customWidth="1"/>
    <col min="12" max="12" width="13.28515625" style="29" customWidth="1"/>
    <col min="13" max="13" width="11" style="29" customWidth="1"/>
    <col min="14" max="14" width="11.28515625" style="29" customWidth="1"/>
    <col min="15" max="15" width="11.85546875" style="29" customWidth="1"/>
    <col min="16" max="16" width="10.7109375" style="29" customWidth="1"/>
    <col min="17" max="16384" width="9.140625" style="29"/>
  </cols>
  <sheetData>
    <row r="1" spans="1:19" s="9" customFormat="1" ht="18" customHeight="1">
      <c r="A1" s="1471" t="s">
        <v>1609</v>
      </c>
      <c r="B1" s="1470"/>
      <c r="C1" s="1470"/>
      <c r="D1" s="1470"/>
      <c r="E1" s="1470"/>
      <c r="F1" s="1470"/>
      <c r="G1" s="1470"/>
      <c r="H1" s="1470"/>
      <c r="I1" s="1470"/>
      <c r="J1" s="1470"/>
      <c r="K1" s="1470"/>
      <c r="L1" s="1470"/>
      <c r="M1" s="1470"/>
      <c r="N1" s="1470"/>
      <c r="O1" s="1470"/>
      <c r="P1" s="1470"/>
      <c r="Q1" s="31"/>
      <c r="R1" s="31"/>
      <c r="S1" s="31"/>
    </row>
    <row r="2" spans="1:19" s="9" customFormat="1" ht="18" customHeight="1">
      <c r="A2" s="1469" t="s">
        <v>1041</v>
      </c>
      <c r="B2" s="1470"/>
      <c r="C2" s="1470"/>
      <c r="D2" s="1470"/>
      <c r="E2" s="1470"/>
      <c r="F2" s="1470"/>
      <c r="G2" s="1470"/>
      <c r="H2" s="1470"/>
      <c r="I2" s="1470"/>
      <c r="J2" s="1470"/>
      <c r="K2" s="1470"/>
      <c r="L2" s="1470"/>
      <c r="M2" s="1470"/>
      <c r="N2" s="1470"/>
      <c r="O2" s="1470"/>
      <c r="P2" s="1470"/>
      <c r="Q2" s="31"/>
      <c r="R2" s="31"/>
      <c r="S2" s="31"/>
    </row>
    <row r="3" spans="1:19" s="9" customFormat="1" ht="18" customHeight="1">
      <c r="A3" s="1471" t="s">
        <v>1042</v>
      </c>
      <c r="B3" s="1470"/>
      <c r="C3" s="1470"/>
      <c r="D3" s="1470"/>
      <c r="E3" s="1470"/>
      <c r="F3" s="1470"/>
      <c r="G3" s="1470"/>
      <c r="H3" s="1470"/>
      <c r="I3" s="1470"/>
      <c r="J3" s="1470"/>
      <c r="K3" s="1470"/>
      <c r="L3" s="1470"/>
      <c r="M3" s="1470"/>
      <c r="N3" s="1470"/>
      <c r="O3" s="1470"/>
      <c r="P3" s="1470"/>
      <c r="Q3" s="31"/>
      <c r="R3" s="31"/>
      <c r="S3" s="31"/>
    </row>
    <row r="4" spans="1:19" s="9" customFormat="1" ht="18" customHeight="1">
      <c r="A4" s="1471" t="s">
        <v>357</v>
      </c>
      <c r="B4" s="1470"/>
      <c r="C4" s="1470"/>
      <c r="D4" s="1470"/>
      <c r="E4" s="1470"/>
      <c r="F4" s="1470"/>
      <c r="G4" s="1470"/>
      <c r="H4" s="1470"/>
      <c r="I4" s="1470"/>
      <c r="J4" s="1470"/>
      <c r="K4" s="1470"/>
      <c r="L4" s="1470"/>
      <c r="M4" s="1470"/>
      <c r="N4" s="1470"/>
      <c r="O4" s="1470"/>
      <c r="P4" s="1470"/>
      <c r="Q4" s="31"/>
      <c r="R4" s="31"/>
      <c r="S4" s="31"/>
    </row>
    <row r="5" spans="1:19" ht="20.25" customHeight="1">
      <c r="A5" s="18" t="s">
        <v>356</v>
      </c>
      <c r="B5" s="4"/>
      <c r="C5" s="3"/>
      <c r="D5" s="3"/>
      <c r="E5" s="3"/>
      <c r="F5" s="3"/>
      <c r="G5" s="3"/>
      <c r="H5" s="3"/>
      <c r="I5" s="3"/>
      <c r="J5" s="3"/>
      <c r="K5" s="3"/>
      <c r="L5" s="3"/>
      <c r="M5" s="3"/>
      <c r="N5" s="3"/>
      <c r="O5" s="3"/>
      <c r="P5" s="3"/>
    </row>
    <row r="6" spans="1:19" ht="13.7" customHeight="1">
      <c r="A6" s="9" t="s">
        <v>778</v>
      </c>
      <c r="O6" s="9"/>
      <c r="P6" s="9" t="s">
        <v>779</v>
      </c>
    </row>
    <row r="7" spans="1:19" s="52" customFormat="1" ht="23.25" customHeight="1">
      <c r="A7" s="49"/>
      <c r="B7" s="50"/>
      <c r="C7" s="1487" t="s">
        <v>474</v>
      </c>
      <c r="D7" s="45"/>
      <c r="E7" s="133"/>
      <c r="F7" s="133"/>
      <c r="G7" s="1488"/>
      <c r="H7" s="1489" t="s">
        <v>985</v>
      </c>
      <c r="I7" s="1490" t="s">
        <v>986</v>
      </c>
      <c r="J7" s="45"/>
      <c r="K7" s="133"/>
      <c r="L7" s="133"/>
      <c r="M7" s="1488"/>
      <c r="N7" s="1491" t="s">
        <v>987</v>
      </c>
      <c r="O7" s="1475"/>
      <c r="P7" s="1475"/>
    </row>
    <row r="8" spans="1:19" s="44" customFormat="1" ht="16.5" customHeight="1">
      <c r="A8" s="395" t="s">
        <v>364</v>
      </c>
      <c r="B8" s="88"/>
      <c r="D8" s="290" t="s">
        <v>988</v>
      </c>
      <c r="E8" s="290" t="s">
        <v>988</v>
      </c>
      <c r="F8" s="290" t="s">
        <v>988</v>
      </c>
      <c r="H8" s="290"/>
      <c r="I8" s="290" t="s">
        <v>988</v>
      </c>
      <c r="J8" s="290" t="s">
        <v>988</v>
      </c>
      <c r="K8" s="396"/>
      <c r="L8" s="397" t="s">
        <v>989</v>
      </c>
      <c r="N8" s="396"/>
      <c r="O8" s="290" t="s">
        <v>416</v>
      </c>
      <c r="P8" s="290" t="s">
        <v>990</v>
      </c>
    </row>
    <row r="9" spans="1:19" s="44" customFormat="1" ht="16.5" customHeight="1">
      <c r="A9" s="68" t="s">
        <v>372</v>
      </c>
      <c r="B9" s="80"/>
      <c r="C9" s="290" t="s">
        <v>802</v>
      </c>
      <c r="D9" s="86" t="s">
        <v>418</v>
      </c>
      <c r="E9" s="291" t="s">
        <v>845</v>
      </c>
      <c r="F9" s="103" t="s">
        <v>376</v>
      </c>
      <c r="G9" s="290" t="s">
        <v>377</v>
      </c>
      <c r="H9" s="290" t="s">
        <v>367</v>
      </c>
      <c r="I9" s="86" t="s">
        <v>418</v>
      </c>
      <c r="J9" s="291" t="s">
        <v>845</v>
      </c>
      <c r="K9" s="290" t="s">
        <v>808</v>
      </c>
      <c r="L9" s="397" t="s">
        <v>991</v>
      </c>
      <c r="M9" s="290" t="s">
        <v>377</v>
      </c>
      <c r="N9" s="398" t="s">
        <v>367</v>
      </c>
      <c r="O9" s="69" t="s">
        <v>357</v>
      </c>
      <c r="P9" s="69" t="s">
        <v>992</v>
      </c>
    </row>
    <row r="10" spans="1:19" s="44" customFormat="1" ht="16.5" customHeight="1">
      <c r="A10" s="89"/>
      <c r="B10" s="80"/>
      <c r="C10" s="399" t="s">
        <v>805</v>
      </c>
      <c r="D10" s="115" t="s">
        <v>993</v>
      </c>
      <c r="E10" s="115" t="s">
        <v>993</v>
      </c>
      <c r="F10" s="115" t="s">
        <v>993</v>
      </c>
      <c r="G10" s="245" t="s">
        <v>994</v>
      </c>
      <c r="H10" s="399" t="s">
        <v>378</v>
      </c>
      <c r="I10" s="115" t="s">
        <v>993</v>
      </c>
      <c r="J10" s="115" t="s">
        <v>993</v>
      </c>
      <c r="K10" s="245" t="s">
        <v>815</v>
      </c>
      <c r="L10" s="400" t="s">
        <v>995</v>
      </c>
      <c r="M10" s="245" t="s">
        <v>994</v>
      </c>
      <c r="N10" s="401" t="s">
        <v>378</v>
      </c>
      <c r="O10" s="399" t="s">
        <v>378</v>
      </c>
      <c r="P10" s="399" t="s">
        <v>996</v>
      </c>
    </row>
    <row r="11" spans="1:19" s="44" customFormat="1" ht="16.5" customHeight="1">
      <c r="A11" s="89"/>
      <c r="B11" s="80"/>
      <c r="C11" s="399"/>
      <c r="D11" s="115" t="s">
        <v>997</v>
      </c>
      <c r="E11" s="115" t="s">
        <v>998</v>
      </c>
      <c r="F11" s="115" t="s">
        <v>999</v>
      </c>
      <c r="G11" s="245"/>
      <c r="H11" s="245"/>
      <c r="I11" s="115" t="s">
        <v>997</v>
      </c>
      <c r="J11" s="115" t="s">
        <v>998</v>
      </c>
      <c r="K11" s="82"/>
      <c r="L11" s="400" t="s">
        <v>1000</v>
      </c>
      <c r="M11" s="245"/>
      <c r="N11" s="402"/>
      <c r="O11" s="245" t="s">
        <v>356</v>
      </c>
      <c r="P11" s="245" t="s">
        <v>762</v>
      </c>
    </row>
    <row r="12" spans="1:19" s="44" customFormat="1" ht="16.5" customHeight="1">
      <c r="A12" s="94"/>
      <c r="B12" s="106"/>
      <c r="C12" s="403"/>
      <c r="D12" s="149" t="s">
        <v>813</v>
      </c>
      <c r="E12" s="404" t="s">
        <v>395</v>
      </c>
      <c r="F12" s="149"/>
      <c r="G12" s="148"/>
      <c r="H12" s="148"/>
      <c r="I12" s="149"/>
      <c r="J12" s="404" t="s">
        <v>395</v>
      </c>
      <c r="K12" s="140"/>
      <c r="L12" s="149"/>
      <c r="M12" s="148"/>
      <c r="N12" s="247"/>
      <c r="O12" s="148" t="s">
        <v>812</v>
      </c>
      <c r="P12" s="148" t="s">
        <v>1001</v>
      </c>
    </row>
    <row r="13" spans="1:19" s="381" customFormat="1" ht="20.25" customHeight="1">
      <c r="A13" s="432">
        <v>2010</v>
      </c>
      <c r="B13" s="821"/>
      <c r="C13" s="1476">
        <v>62.191633751183964</v>
      </c>
      <c r="D13" s="1476">
        <v>3515.0258549645901</v>
      </c>
      <c r="E13" s="1478">
        <v>6372.0304482663141</v>
      </c>
      <c r="F13" s="1478">
        <v>340.076066257766</v>
      </c>
      <c r="G13" s="1478">
        <v>2074.0342871362718</v>
      </c>
      <c r="H13" s="1478">
        <v>12363.308290376126</v>
      </c>
      <c r="I13" s="1476">
        <v>1730.2322018667605</v>
      </c>
      <c r="J13" s="1476">
        <v>2414.4756080477396</v>
      </c>
      <c r="K13" s="1478">
        <v>3042.5132063127394</v>
      </c>
      <c r="L13" s="1478">
        <v>5440.6174736402763</v>
      </c>
      <c r="M13" s="1478">
        <v>365.37267585888799</v>
      </c>
      <c r="N13" s="1476">
        <v>12993.211165726403</v>
      </c>
      <c r="O13" s="1478">
        <v>25356.519456102527</v>
      </c>
      <c r="P13" s="1482" t="s">
        <v>606</v>
      </c>
      <c r="Q13" s="411">
        <f>H13-C13-D13-E13-F13-G13</f>
        <v>-5.0000000000181899E-2</v>
      </c>
      <c r="R13" s="411">
        <f>N13-I13-J13-K13-L13-M13</f>
        <v>-6.8212102632969618E-13</v>
      </c>
      <c r="S13" s="411">
        <f>O13-H13-N13</f>
        <v>0</v>
      </c>
    </row>
    <row r="14" spans="1:19" s="435" customFormat="1" ht="14.25" customHeight="1">
      <c r="A14" s="380">
        <v>2011</v>
      </c>
      <c r="B14" s="1378"/>
      <c r="C14" s="1480">
        <v>67.164816913243484</v>
      </c>
      <c r="D14" s="1480">
        <v>3809.9084074772786</v>
      </c>
      <c r="E14" s="1481">
        <v>6558.9764069925368</v>
      </c>
      <c r="F14" s="1481">
        <v>556.21604819627669</v>
      </c>
      <c r="G14" s="1481">
        <v>1654.2466315502816</v>
      </c>
      <c r="H14" s="1481">
        <v>12646.512311129616</v>
      </c>
      <c r="I14" s="1480">
        <v>1587.9756474314149</v>
      </c>
      <c r="J14" s="1480">
        <v>1821.6167310254461</v>
      </c>
      <c r="K14" s="1481">
        <v>2341.1825128289065</v>
      </c>
      <c r="L14" s="1481">
        <v>5961.6845793952925</v>
      </c>
      <c r="M14" s="1481">
        <v>338.30108815114869</v>
      </c>
      <c r="N14" s="1480">
        <v>12050.810558832211</v>
      </c>
      <c r="O14" s="1481">
        <v>24697.322869961827</v>
      </c>
      <c r="P14" s="1482" t="s">
        <v>606</v>
      </c>
      <c r="Q14" s="411">
        <v>0</v>
      </c>
      <c r="R14" s="411">
        <v>5.0000000002398792E-2</v>
      </c>
      <c r="S14" s="411">
        <v>0</v>
      </c>
    </row>
    <row r="15" spans="1:19" s="435" customFormat="1" ht="14.25" customHeight="1">
      <c r="A15" s="380">
        <v>2012</v>
      </c>
      <c r="B15" s="1378"/>
      <c r="C15" s="1480">
        <v>94.296868173028656</v>
      </c>
      <c r="D15" s="1480">
        <v>3515.3711215338681</v>
      </c>
      <c r="E15" s="1481">
        <v>6684.1153215147078</v>
      </c>
      <c r="F15" s="1481">
        <v>673.87811273805846</v>
      </c>
      <c r="G15" s="1481">
        <v>1855.8318703041655</v>
      </c>
      <c r="H15" s="1481">
        <v>12823.543294263827</v>
      </c>
      <c r="I15" s="1480">
        <v>1389.9960255684884</v>
      </c>
      <c r="J15" s="1480">
        <v>1777.1225645887075</v>
      </c>
      <c r="K15" s="1481">
        <v>2539.3943323480653</v>
      </c>
      <c r="L15" s="1481">
        <v>6105.0130583709542</v>
      </c>
      <c r="M15" s="1481">
        <v>926.99925451303704</v>
      </c>
      <c r="N15" s="1480">
        <v>12738.475235389251</v>
      </c>
      <c r="O15" s="1481">
        <v>25561.968529653081</v>
      </c>
      <c r="P15" s="1482" t="s">
        <v>606</v>
      </c>
      <c r="Q15" s="411">
        <v>4.999999999836291E-2</v>
      </c>
      <c r="R15" s="411">
        <v>-5.0000000002796696E-2</v>
      </c>
      <c r="S15" s="411">
        <v>-4.9999999997453415E-2</v>
      </c>
    </row>
    <row r="16" spans="1:19" s="435" customFormat="1" ht="14.25" customHeight="1">
      <c r="A16" s="380">
        <v>2013</v>
      </c>
      <c r="B16" s="1378"/>
      <c r="C16" s="1480">
        <v>108.17583702897652</v>
      </c>
      <c r="D16" s="1480">
        <v>3708.5730643845823</v>
      </c>
      <c r="E16" s="1481">
        <v>7306.9568481067881</v>
      </c>
      <c r="F16" s="1481">
        <v>635.19607123015965</v>
      </c>
      <c r="G16" s="1481">
        <v>1723.7349815371172</v>
      </c>
      <c r="H16" s="1481">
        <v>13482.686802287622</v>
      </c>
      <c r="I16" s="1480">
        <v>1654.3260898630688</v>
      </c>
      <c r="J16" s="1480">
        <v>1712.7799304145533</v>
      </c>
      <c r="K16" s="1481">
        <v>2530.6371905154392</v>
      </c>
      <c r="L16" s="1481">
        <v>2970.086860550874</v>
      </c>
      <c r="M16" s="1481">
        <v>948.30584900769531</v>
      </c>
      <c r="N16" s="1480">
        <v>9816.1359203516295</v>
      </c>
      <c r="O16" s="1481">
        <v>23298.772722639253</v>
      </c>
      <c r="P16" s="1482" t="s">
        <v>606</v>
      </c>
      <c r="Q16" s="411">
        <v>4.999999999836291E-2</v>
      </c>
      <c r="R16" s="411">
        <v>-1.5916157281026244E-12</v>
      </c>
      <c r="S16" s="411">
        <v>-4.9999999999272404E-2</v>
      </c>
    </row>
    <row r="17" spans="1:19" s="435" customFormat="1" ht="14.25" customHeight="1">
      <c r="A17" s="380">
        <v>2014</v>
      </c>
      <c r="B17" s="1378"/>
      <c r="C17" s="1480">
        <v>115.23492968663609</v>
      </c>
      <c r="D17" s="1480">
        <v>3890.9316636515532</v>
      </c>
      <c r="E17" s="1481">
        <v>7786.1239387319965</v>
      </c>
      <c r="F17" s="1481">
        <v>754.65635909359742</v>
      </c>
      <c r="G17" s="1481">
        <v>1870.1874512995992</v>
      </c>
      <c r="H17" s="1481">
        <v>14417.134342463381</v>
      </c>
      <c r="I17" s="1480">
        <v>1641.0082287931207</v>
      </c>
      <c r="J17" s="1480">
        <v>2112.0624580993467</v>
      </c>
      <c r="K17" s="1481">
        <v>2777.3240109234239</v>
      </c>
      <c r="L17" s="1481">
        <v>3077.3508538749388</v>
      </c>
      <c r="M17" s="1481">
        <v>870.14805597527118</v>
      </c>
      <c r="N17" s="1480">
        <v>10477.893607666101</v>
      </c>
      <c r="O17" s="1481">
        <v>24895.027950129483</v>
      </c>
      <c r="P17" s="1482" t="s">
        <v>606</v>
      </c>
      <c r="Q17" s="411">
        <v>0</v>
      </c>
      <c r="R17" s="411">
        <v>1.0231815394945443E-12</v>
      </c>
      <c r="S17" s="411">
        <v>0</v>
      </c>
    </row>
    <row r="18" spans="1:19" s="435" customFormat="1" ht="14.25" customHeight="1">
      <c r="A18" s="380">
        <v>2015</v>
      </c>
      <c r="B18" s="1378"/>
      <c r="C18" s="1480">
        <v>135.19516525051907</v>
      </c>
      <c r="D18" s="1480">
        <v>3240.4303710238928</v>
      </c>
      <c r="E18" s="1481">
        <v>8634.7751160416847</v>
      </c>
      <c r="F18" s="1481">
        <v>1398.1908580339534</v>
      </c>
      <c r="G18" s="1481">
        <v>2319.1905478570611</v>
      </c>
      <c r="H18" s="1481">
        <v>15727.782058207113</v>
      </c>
      <c r="I18" s="1480">
        <v>1624.5563750305269</v>
      </c>
      <c r="J18" s="1480">
        <v>2158.0716703687235</v>
      </c>
      <c r="K18" s="1481">
        <v>2372.0454767914325</v>
      </c>
      <c r="L18" s="1481">
        <v>2762.0995860316907</v>
      </c>
      <c r="M18" s="1481">
        <v>697.91655947821869</v>
      </c>
      <c r="N18" s="1480">
        <v>9614.6896677005934</v>
      </c>
      <c r="O18" s="1481">
        <v>25342.471725907704</v>
      </c>
      <c r="P18" s="1482" t="s">
        <v>606</v>
      </c>
      <c r="Q18" s="411">
        <v>0</v>
      </c>
      <c r="R18" s="411">
        <v>2.0463630789890885E-12</v>
      </c>
      <c r="S18" s="411">
        <v>0</v>
      </c>
    </row>
    <row r="19" spans="1:19" s="435" customFormat="1" ht="14.25" customHeight="1">
      <c r="A19" s="380">
        <v>2016</v>
      </c>
      <c r="B19" s="1378"/>
      <c r="C19" s="1480">
        <v>120.22797464935482</v>
      </c>
      <c r="D19" s="1480">
        <v>4105.3350049019009</v>
      </c>
      <c r="E19" s="1481">
        <v>9137.0684017827225</v>
      </c>
      <c r="F19" s="1481">
        <v>1934.1422542546011</v>
      </c>
      <c r="G19" s="1481">
        <v>1619.2007948840751</v>
      </c>
      <c r="H19" s="1481">
        <v>16915.944430472653</v>
      </c>
      <c r="I19" s="1480">
        <v>1651.3915218554803</v>
      </c>
      <c r="J19" s="1480">
        <v>1860.7899408962419</v>
      </c>
      <c r="K19" s="1481">
        <v>2585.206405477692</v>
      </c>
      <c r="L19" s="1481">
        <v>2694.8139282300303</v>
      </c>
      <c r="M19" s="1481">
        <v>582.3651644639499</v>
      </c>
      <c r="N19" s="1480">
        <v>9374.5669609233937</v>
      </c>
      <c r="O19" s="1481">
        <v>26290.541391396051</v>
      </c>
      <c r="P19" s="1482" t="s">
        <v>606</v>
      </c>
      <c r="Q19" s="411">
        <v>-3.0000000001564331E-2</v>
      </c>
      <c r="R19" s="411">
        <v>-9.0949470177292824E-13</v>
      </c>
      <c r="S19" s="411">
        <v>3.0000000004292815E-2</v>
      </c>
    </row>
    <row r="20" spans="1:19" s="435" customFormat="1" ht="14.25" customHeight="1">
      <c r="A20" s="380">
        <v>2017</v>
      </c>
      <c r="B20" s="1378"/>
      <c r="C20" s="1480">
        <v>156.31655123491296</v>
      </c>
      <c r="D20" s="1480">
        <v>4330.5636100570664</v>
      </c>
      <c r="E20" s="1481">
        <v>9625.5315162505885</v>
      </c>
      <c r="F20" s="1481">
        <v>2385.8845530120993</v>
      </c>
      <c r="G20" s="1481">
        <v>1934.4151456389654</v>
      </c>
      <c r="H20" s="1481">
        <v>18432.711376193634</v>
      </c>
      <c r="I20" s="1480">
        <v>1636.4852314575953</v>
      </c>
      <c r="J20" s="1480">
        <v>1447.648181711668</v>
      </c>
      <c r="K20" s="1481">
        <v>2014.7349589525902</v>
      </c>
      <c r="L20" s="1481">
        <v>2331.1935625820015</v>
      </c>
      <c r="M20" s="1481">
        <v>882.77542292042642</v>
      </c>
      <c r="N20" s="1480">
        <v>8312.8373576242811</v>
      </c>
      <c r="O20" s="1481">
        <v>26745.548733817915</v>
      </c>
      <c r="P20" s="1482" t="s">
        <v>606</v>
      </c>
      <c r="Q20" s="411">
        <v>3.1832314562052488E-12</v>
      </c>
      <c r="R20" s="411">
        <v>0</v>
      </c>
      <c r="S20" s="411">
        <v>0</v>
      </c>
    </row>
    <row r="21" spans="1:19" s="411" customFormat="1" ht="14.25" customHeight="1">
      <c r="A21" s="905">
        <v>2018</v>
      </c>
      <c r="B21" s="906"/>
      <c r="C21" s="907">
        <f t="shared" ref="C21:P21" si="0">C25</f>
        <v>163.32329856562671</v>
      </c>
      <c r="D21" s="907">
        <f t="shared" si="0"/>
        <v>4793.400533608984</v>
      </c>
      <c r="E21" s="750">
        <f t="shared" si="0"/>
        <v>10732.237257631179</v>
      </c>
      <c r="F21" s="750">
        <f t="shared" si="0"/>
        <v>2854.9394617960766</v>
      </c>
      <c r="G21" s="750">
        <f t="shared" si="0"/>
        <v>1849.2924188181851</v>
      </c>
      <c r="H21" s="750">
        <f t="shared" si="0"/>
        <v>20393.142970420049</v>
      </c>
      <c r="I21" s="907">
        <f t="shared" si="0"/>
        <v>1444.9914662899439</v>
      </c>
      <c r="J21" s="907">
        <f t="shared" si="0"/>
        <v>1541.1068672536403</v>
      </c>
      <c r="K21" s="750">
        <f t="shared" si="0"/>
        <v>2061.38778036241</v>
      </c>
      <c r="L21" s="750">
        <f t="shared" si="0"/>
        <v>1776.3614481054028</v>
      </c>
      <c r="M21" s="750">
        <f t="shared" si="0"/>
        <v>711.24447766921469</v>
      </c>
      <c r="N21" s="907">
        <f t="shared" si="0"/>
        <v>7535.0920396806141</v>
      </c>
      <c r="O21" s="750">
        <f t="shared" si="0"/>
        <v>27928.23501010066</v>
      </c>
      <c r="P21" s="908" t="str">
        <f t="shared" si="0"/>
        <v>N/A</v>
      </c>
      <c r="Q21" s="411">
        <f>H21-C21-D21-E21-F21-G21</f>
        <v>-4.9999999999727152E-2</v>
      </c>
      <c r="R21" s="411">
        <f>N21-I21-J21-K21-L21-M21</f>
        <v>2.6147972675971687E-12</v>
      </c>
      <c r="S21" s="411">
        <f>O21-H21-N21</f>
        <v>0</v>
      </c>
    </row>
    <row r="22" spans="1:19" s="411" customFormat="1" ht="14.25" customHeight="1">
      <c r="A22" s="1193">
        <v>2019</v>
      </c>
      <c r="B22" s="1483"/>
      <c r="C22" s="1484">
        <f t="shared" ref="C22:P22" si="1">C29</f>
        <v>158.5730356655547</v>
      </c>
      <c r="D22" s="1484">
        <f t="shared" si="1"/>
        <v>5171.7735174593399</v>
      </c>
      <c r="E22" s="1485">
        <f t="shared" si="1"/>
        <v>11687.627876231698</v>
      </c>
      <c r="F22" s="1485">
        <f t="shared" si="1"/>
        <v>4001.1479588786506</v>
      </c>
      <c r="G22" s="1485">
        <f t="shared" si="1"/>
        <v>2533.2029464076782</v>
      </c>
      <c r="H22" s="1485">
        <f t="shared" si="1"/>
        <v>23552.345334642923</v>
      </c>
      <c r="I22" s="1484">
        <f t="shared" si="1"/>
        <v>1666.3906992675084</v>
      </c>
      <c r="J22" s="1484">
        <f t="shared" si="1"/>
        <v>1863.5646445005862</v>
      </c>
      <c r="K22" s="1485">
        <f t="shared" si="1"/>
        <v>2624.2132100350536</v>
      </c>
      <c r="L22" s="1485">
        <f t="shared" si="1"/>
        <v>1666.2304012699274</v>
      </c>
      <c r="M22" s="1485">
        <f t="shared" si="1"/>
        <v>709.89546473997302</v>
      </c>
      <c r="N22" s="1484">
        <f t="shared" si="1"/>
        <v>8530.2644198130492</v>
      </c>
      <c r="O22" s="1485">
        <f t="shared" si="1"/>
        <v>32082.609754455967</v>
      </c>
      <c r="P22" s="1486" t="str">
        <f t="shared" si="1"/>
        <v>N/A</v>
      </c>
      <c r="Q22" s="411">
        <f>H22-C22-D22-E22-F22-G22</f>
        <v>2.00000000018008E-2</v>
      </c>
      <c r="R22" s="411">
        <f>N22-I22-J22-K22-L22-M22</f>
        <v>-2.999999999906322E-2</v>
      </c>
      <c r="S22" s="411">
        <f>O22-H22-N22</f>
        <v>0</v>
      </c>
    </row>
    <row r="23" spans="1:19" s="411" customFormat="1" ht="20.25" customHeight="1">
      <c r="A23" s="905">
        <v>2018</v>
      </c>
      <c r="B23" s="906" t="s">
        <v>223</v>
      </c>
      <c r="C23" s="907">
        <v>143.97327374264088</v>
      </c>
      <c r="D23" s="907">
        <v>4514.6142046464447</v>
      </c>
      <c r="E23" s="750">
        <v>10032.68650542835</v>
      </c>
      <c r="F23" s="750">
        <v>2727.692058696065</v>
      </c>
      <c r="G23" s="750">
        <v>1987.140978092687</v>
      </c>
      <c r="H23" s="750">
        <v>19406.127020606182</v>
      </c>
      <c r="I23" s="907">
        <v>1377.0324715939589</v>
      </c>
      <c r="J23" s="907">
        <v>1538.5102831564227</v>
      </c>
      <c r="K23" s="750">
        <v>2001.5212463971484</v>
      </c>
      <c r="L23" s="750">
        <v>1946.7649581531102</v>
      </c>
      <c r="M23" s="750">
        <v>820.51421227188041</v>
      </c>
      <c r="N23" s="907">
        <v>7684.3431715725219</v>
      </c>
      <c r="O23" s="750">
        <v>27090.440192178707</v>
      </c>
      <c r="P23" s="908" t="s">
        <v>606</v>
      </c>
      <c r="Q23" s="411">
        <f t="shared" ref="Q23" si="2">H23-C23-D23-E23-F23-G23</f>
        <v>1.99999999931606E-2</v>
      </c>
      <c r="R23" s="411">
        <f t="shared" ref="R23" si="3">N23-I23-J23-K23-L23-M23</f>
        <v>1.4779288903810084E-12</v>
      </c>
      <c r="S23" s="411">
        <f t="shared" ref="S23" si="4">O23-H23-N23</f>
        <v>-2.9999999997016857E-2</v>
      </c>
    </row>
    <row r="24" spans="1:19" s="411" customFormat="1" ht="14.25" customHeight="1">
      <c r="A24" s="905"/>
      <c r="B24" s="906" t="s">
        <v>224</v>
      </c>
      <c r="C24" s="907">
        <v>150.14085394481461</v>
      </c>
      <c r="D24" s="907">
        <v>4574.1276297988843</v>
      </c>
      <c r="E24" s="750">
        <v>10245.3094266401</v>
      </c>
      <c r="F24" s="750">
        <v>2948.669945343057</v>
      </c>
      <c r="G24" s="750">
        <v>1879.0662266882841</v>
      </c>
      <c r="H24" s="750">
        <v>19797.314082415141</v>
      </c>
      <c r="I24" s="907">
        <v>1311.2370622493734</v>
      </c>
      <c r="J24" s="907">
        <v>1659.5008538751306</v>
      </c>
      <c r="K24" s="750">
        <v>2029.9693092758639</v>
      </c>
      <c r="L24" s="750">
        <v>1956.5157719931228</v>
      </c>
      <c r="M24" s="750">
        <v>826.4827335916018</v>
      </c>
      <c r="N24" s="907">
        <v>7783.7057309850934</v>
      </c>
      <c r="O24" s="750">
        <v>27581.019813400231</v>
      </c>
      <c r="P24" s="908" t="s">
        <v>606</v>
      </c>
      <c r="Q24" s="411">
        <v>2.7284841053187847E-12</v>
      </c>
      <c r="R24" s="411">
        <v>0</v>
      </c>
      <c r="S24" s="411">
        <v>0</v>
      </c>
    </row>
    <row r="25" spans="1:19" s="411" customFormat="1" ht="14.25" customHeight="1">
      <c r="A25" s="905"/>
      <c r="B25" s="906" t="s">
        <v>225</v>
      </c>
      <c r="C25" s="907">
        <v>163.32329856562671</v>
      </c>
      <c r="D25" s="907">
        <v>4793.400533608984</v>
      </c>
      <c r="E25" s="750">
        <v>10732.237257631179</v>
      </c>
      <c r="F25" s="750">
        <v>2854.9394617960766</v>
      </c>
      <c r="G25" s="750">
        <v>1849.2924188181851</v>
      </c>
      <c r="H25" s="750">
        <v>20393.142970420049</v>
      </c>
      <c r="I25" s="907">
        <v>1444.9914662899439</v>
      </c>
      <c r="J25" s="907">
        <v>1541.1068672536403</v>
      </c>
      <c r="K25" s="750">
        <v>2061.38778036241</v>
      </c>
      <c r="L25" s="750">
        <v>1776.3614481054028</v>
      </c>
      <c r="M25" s="750">
        <v>711.24447766921469</v>
      </c>
      <c r="N25" s="907">
        <v>7535.0920396806141</v>
      </c>
      <c r="O25" s="750">
        <v>27928.23501010066</v>
      </c>
      <c r="P25" s="908" t="s">
        <v>606</v>
      </c>
      <c r="Q25" s="411">
        <v>-4.9999999999727152E-2</v>
      </c>
      <c r="R25" s="411">
        <v>2.6147972675971687E-12</v>
      </c>
      <c r="S25" s="411">
        <v>0</v>
      </c>
    </row>
    <row r="26" spans="1:19" s="411" customFormat="1" ht="20.25" customHeight="1">
      <c r="A26" s="905">
        <v>2019</v>
      </c>
      <c r="B26" s="906" t="s">
        <v>222</v>
      </c>
      <c r="C26" s="907">
        <v>158.27182011192227</v>
      </c>
      <c r="D26" s="907">
        <v>5839.4011229676071</v>
      </c>
      <c r="E26" s="750">
        <v>10667.683416110878</v>
      </c>
      <c r="F26" s="750">
        <v>3536.7115315204483</v>
      </c>
      <c r="G26" s="750">
        <v>1711.6719250780388</v>
      </c>
      <c r="H26" s="750">
        <v>21913.759815788897</v>
      </c>
      <c r="I26" s="907">
        <v>1648.1919691469479</v>
      </c>
      <c r="J26" s="907">
        <v>1636.0345890057274</v>
      </c>
      <c r="K26" s="750">
        <v>2210.4152384195695</v>
      </c>
      <c r="L26" s="750">
        <v>1953.9663627473556</v>
      </c>
      <c r="M26" s="750">
        <v>698.01378234095068</v>
      </c>
      <c r="N26" s="907">
        <v>8146.6219416605509</v>
      </c>
      <c r="O26" s="750">
        <v>30060.361757449446</v>
      </c>
      <c r="P26" s="908" t="s">
        <v>606</v>
      </c>
      <c r="Q26" s="411">
        <v>2.0000000004074536E-2</v>
      </c>
      <c r="R26" s="411">
        <v>0</v>
      </c>
      <c r="S26" s="411">
        <v>-2.0000000002255547E-2</v>
      </c>
    </row>
    <row r="27" spans="1:19" s="411" customFormat="1" ht="14.25" customHeight="1">
      <c r="A27" s="905"/>
      <c r="B27" s="906" t="s">
        <v>223</v>
      </c>
      <c r="C27" s="907">
        <f t="shared" ref="C27:O27" si="5">C33</f>
        <v>135.60130497277768</v>
      </c>
      <c r="D27" s="907">
        <f t="shared" si="5"/>
        <v>5213.9941949479653</v>
      </c>
      <c r="E27" s="750">
        <f t="shared" si="5"/>
        <v>11779.991453438863</v>
      </c>
      <c r="F27" s="750">
        <f t="shared" si="5"/>
        <v>3522.7584286764268</v>
      </c>
      <c r="G27" s="750">
        <f t="shared" si="5"/>
        <v>2046.6926028553282</v>
      </c>
      <c r="H27" s="750">
        <f t="shared" si="5"/>
        <v>22699.087984891357</v>
      </c>
      <c r="I27" s="907">
        <f t="shared" si="5"/>
        <v>1233.9680780322701</v>
      </c>
      <c r="J27" s="907">
        <f t="shared" si="5"/>
        <v>1454.3145999537883</v>
      </c>
      <c r="K27" s="750">
        <f t="shared" si="5"/>
        <v>2790.7917287272771</v>
      </c>
      <c r="L27" s="750">
        <f t="shared" si="5"/>
        <v>1820.4918875155008</v>
      </c>
      <c r="M27" s="750">
        <f t="shared" si="5"/>
        <v>738.79517384017413</v>
      </c>
      <c r="N27" s="907">
        <f t="shared" si="5"/>
        <v>8038.41146806901</v>
      </c>
      <c r="O27" s="750">
        <f t="shared" si="5"/>
        <v>30737.499452960372</v>
      </c>
      <c r="P27" s="908" t="s">
        <v>606</v>
      </c>
      <c r="Q27" s="411">
        <f t="shared" ref="Q27" si="6">H27-C27-D27-E27-F27-G27</f>
        <v>4.9999999997226041E-2</v>
      </c>
      <c r="R27" s="411">
        <f t="shared" ref="R27" si="7">N27-I27-J27-K27-L27-M27</f>
        <v>4.9999999999954525E-2</v>
      </c>
      <c r="S27" s="411">
        <f t="shared" ref="S27" si="8">O27-H27-N27</f>
        <v>0</v>
      </c>
    </row>
    <row r="28" spans="1:19" s="411" customFormat="1" ht="14.25" customHeight="1">
      <c r="A28" s="905"/>
      <c r="B28" s="906" t="s">
        <v>224</v>
      </c>
      <c r="C28" s="907">
        <f t="shared" ref="C28:O28" si="9">C36</f>
        <v>153.10964328867942</v>
      </c>
      <c r="D28" s="907">
        <f t="shared" si="9"/>
        <v>4887.9599498892667</v>
      </c>
      <c r="E28" s="750">
        <f t="shared" si="9"/>
        <v>11629.012414047935</v>
      </c>
      <c r="F28" s="750">
        <f t="shared" si="9"/>
        <v>3718.5042690199748</v>
      </c>
      <c r="G28" s="750">
        <f t="shared" si="9"/>
        <v>2493.2515066665801</v>
      </c>
      <c r="H28" s="750">
        <f t="shared" si="9"/>
        <v>22881.877782912434</v>
      </c>
      <c r="I28" s="907">
        <f t="shared" si="9"/>
        <v>1453.8874600398633</v>
      </c>
      <c r="J28" s="907">
        <f t="shared" si="9"/>
        <v>1819.027383388637</v>
      </c>
      <c r="K28" s="750">
        <f t="shared" si="9"/>
        <v>2532.9303970064384</v>
      </c>
      <c r="L28" s="750">
        <f t="shared" si="9"/>
        <v>1859.1515072450482</v>
      </c>
      <c r="M28" s="750">
        <f t="shared" si="9"/>
        <v>731.23803278058881</v>
      </c>
      <c r="N28" s="907">
        <f t="shared" si="9"/>
        <v>8396.2347804605761</v>
      </c>
      <c r="O28" s="750">
        <f t="shared" si="9"/>
        <v>31278.062563373009</v>
      </c>
      <c r="P28" s="908" t="s">
        <v>606</v>
      </c>
      <c r="Q28" s="411">
        <f t="shared" ref="Q28" si="10">H28-C28-D28-E28-F28-G28</f>
        <v>3.9999999995870894E-2</v>
      </c>
      <c r="R28" s="411">
        <f t="shared" ref="R28" si="11">N28-I28-J28-K28-L28-M28</f>
        <v>9.0949470177292824E-13</v>
      </c>
      <c r="S28" s="411">
        <f t="shared" ref="S28" si="12">O28-H28-N28</f>
        <v>-5.0000000001091394E-2</v>
      </c>
    </row>
    <row r="29" spans="1:19" s="411" customFormat="1" ht="14.25" customHeight="1">
      <c r="A29" s="905"/>
      <c r="B29" s="906" t="s">
        <v>225</v>
      </c>
      <c r="C29" s="907">
        <f t="shared" ref="C29:O29" si="13">C39</f>
        <v>158.5730356655547</v>
      </c>
      <c r="D29" s="907">
        <f t="shared" si="13"/>
        <v>5171.7735174593399</v>
      </c>
      <c r="E29" s="750">
        <f t="shared" si="13"/>
        <v>11687.627876231698</v>
      </c>
      <c r="F29" s="750">
        <f t="shared" si="13"/>
        <v>4001.1479588786506</v>
      </c>
      <c r="G29" s="750">
        <f t="shared" si="13"/>
        <v>2533.2029464076782</v>
      </c>
      <c r="H29" s="750">
        <f t="shared" si="13"/>
        <v>23552.345334642923</v>
      </c>
      <c r="I29" s="907">
        <f t="shared" si="13"/>
        <v>1666.3906992675084</v>
      </c>
      <c r="J29" s="907">
        <f t="shared" si="13"/>
        <v>1863.5646445005862</v>
      </c>
      <c r="K29" s="750">
        <f t="shared" si="13"/>
        <v>2624.2132100350536</v>
      </c>
      <c r="L29" s="750">
        <f t="shared" si="13"/>
        <v>1666.2304012699274</v>
      </c>
      <c r="M29" s="750">
        <f t="shared" si="13"/>
        <v>709.89546473997302</v>
      </c>
      <c r="N29" s="907">
        <f t="shared" si="13"/>
        <v>8530.2644198130492</v>
      </c>
      <c r="O29" s="750">
        <f t="shared" si="13"/>
        <v>32082.609754455967</v>
      </c>
      <c r="P29" s="908" t="s">
        <v>606</v>
      </c>
      <c r="Q29" s="411">
        <f t="shared" ref="Q29" si="14">H29-C29-D29-E29-F29-G29</f>
        <v>2.00000000018008E-2</v>
      </c>
      <c r="R29" s="411">
        <f t="shared" ref="R29" si="15">N29-I29-J29-K29-L29-M29</f>
        <v>-2.999999999906322E-2</v>
      </c>
      <c r="S29" s="411">
        <f t="shared" ref="S29" si="16">O29-H29-N29</f>
        <v>0</v>
      </c>
    </row>
    <row r="30" spans="1:19" s="411" customFormat="1" ht="21" customHeight="1">
      <c r="A30" s="1193">
        <v>2020</v>
      </c>
      <c r="B30" s="1483" t="s">
        <v>222</v>
      </c>
      <c r="C30" s="1484">
        <f t="shared" ref="C30:O30" si="17">C42</f>
        <v>148.21936333213264</v>
      </c>
      <c r="D30" s="1484">
        <f t="shared" si="17"/>
        <v>5210.936756117987</v>
      </c>
      <c r="E30" s="1485">
        <f t="shared" si="17"/>
        <v>11836.498245972769</v>
      </c>
      <c r="F30" s="1485">
        <f t="shared" si="17"/>
        <v>4266.9562572968016</v>
      </c>
      <c r="G30" s="1485">
        <f t="shared" si="17"/>
        <v>2594.4060003159293</v>
      </c>
      <c r="H30" s="1485">
        <f t="shared" si="17"/>
        <v>24057.006623035613</v>
      </c>
      <c r="I30" s="1484">
        <f t="shared" si="17"/>
        <v>1538.6529662479522</v>
      </c>
      <c r="J30" s="1484">
        <f t="shared" si="17"/>
        <v>1727.5736834902159</v>
      </c>
      <c r="K30" s="1485">
        <f t="shared" si="17"/>
        <v>2818.9131634566465</v>
      </c>
      <c r="L30" s="1485">
        <f t="shared" si="17"/>
        <v>1702.0530482630652</v>
      </c>
      <c r="M30" s="1485">
        <f t="shared" si="17"/>
        <v>691.51016029938603</v>
      </c>
      <c r="N30" s="1484">
        <f t="shared" si="17"/>
        <v>8478.7530217572657</v>
      </c>
      <c r="O30" s="1485">
        <f t="shared" si="17"/>
        <v>32535.759644792885</v>
      </c>
      <c r="P30" s="1486" t="s">
        <v>606</v>
      </c>
      <c r="Q30" s="411">
        <f t="shared" ref="Q30" si="18">H30-C30-D30-E30-F30-G30</f>
        <v>-1.0000000005675247E-2</v>
      </c>
      <c r="R30" s="411">
        <f t="shared" ref="R30" si="19">N30-I30-J30-K30-L30-M30</f>
        <v>5.0000000000068212E-2</v>
      </c>
      <c r="S30" s="411">
        <f t="shared" ref="S30" si="20">O30-H30-N30</f>
        <v>0</v>
      </c>
    </row>
    <row r="31" spans="1:19" s="411" customFormat="1" ht="20.25" customHeight="1">
      <c r="A31" s="905">
        <v>2019</v>
      </c>
      <c r="B31" s="906" t="s">
        <v>399</v>
      </c>
      <c r="C31" s="907">
        <f>SUM('[58]1'!$C$68:$D$68)</f>
        <v>149.69627059564374</v>
      </c>
      <c r="D31" s="907">
        <f>SUM('[58]1'!$C$69:$D$69)+SUM('[58]1'!$C$72:$D$72)+SUM('[58]1'!$C$95:$D$95)</f>
        <v>5489.6103415398466</v>
      </c>
      <c r="E31" s="750">
        <f>SUM('[58]1'!$C$79:$D$83)+SUM('[58]1'!$C$89:$D$89)+SUM('[58]1'!$C$92:$D$92)</f>
        <v>11471.323916921483</v>
      </c>
      <c r="F31" s="750">
        <f>SUM('[58]1'!$C$77:$D$78)+SUM('[58]1'!$C$86:$D$86)</f>
        <v>3580.0005265145933</v>
      </c>
      <c r="G31" s="750">
        <f>SUM('[58]1'!$C$93:$D$93)+SUM('[58]1'!$C$96:$D$97)+0.05</f>
        <v>1675.6728328376132</v>
      </c>
      <c r="H31" s="750">
        <f>SUM('[58]1'!$C$98:$D$98)</f>
        <v>22366.253888409177</v>
      </c>
      <c r="I31" s="907">
        <f>SUM('[58]1'!$E$69:$H$69)+SUM('[58]1'!$E$72:$H$72)</f>
        <v>1280.4045778633094</v>
      </c>
      <c r="J31" s="907">
        <f>SUM('[58]1'!$E$76:$H$76)</f>
        <v>1580.9118142530365</v>
      </c>
      <c r="K31" s="750">
        <f>SUM('[58]1'!$E$84:$H$84)</f>
        <v>2177.784031002464</v>
      </c>
      <c r="L31" s="750">
        <f>SUM('[58]1'!$E$95:$H$95)</f>
        <v>1867.4320746243745</v>
      </c>
      <c r="M31" s="750">
        <f>SUM('[58]1'!$E$93:$H$93)+SUM('[58]1'!$E$94:$H$94)+SUM('[58]1'!$E$97:$H$97)</f>
        <v>759.36933813796384</v>
      </c>
      <c r="N31" s="907">
        <f>SUM('[58]1'!$E$98:$H$98)</f>
        <v>7665.9018358811481</v>
      </c>
      <c r="O31" s="750">
        <f>'[58]1'!$I$98</f>
        <v>30032.155724290329</v>
      </c>
      <c r="P31" s="908" t="s">
        <v>606</v>
      </c>
      <c r="Q31" s="411">
        <f t="shared" ref="Q31" si="21">H31-C31-D31-E31-F31-G31</f>
        <v>-5.0000000001773515E-2</v>
      </c>
      <c r="R31" s="411">
        <f t="shared" ref="R31" si="22">N31-I31-J31-K31-L31-M31</f>
        <v>-1.0231815394945443E-12</v>
      </c>
      <c r="S31" s="411">
        <f t="shared" ref="S31" si="23">O31-H31-N31</f>
        <v>0</v>
      </c>
    </row>
    <row r="32" spans="1:19" s="411" customFormat="1" ht="14.25" customHeight="1">
      <c r="A32" s="905"/>
      <c r="B32" s="906" t="s">
        <v>400</v>
      </c>
      <c r="C32" s="907">
        <f>SUM('[59]1'!$C$68:$D$68)-0.05</f>
        <v>150.00691987163697</v>
      </c>
      <c r="D32" s="907">
        <f>SUM('[59]1'!$C$69:$D$69)+SUM('[59]1'!$C$72:$D$72)+SUM('[59]1'!$C$95:$D$95)</f>
        <v>5572.4640625243446</v>
      </c>
      <c r="E32" s="750">
        <f>SUM('[59]1'!$C$79:$D$83)+SUM('[59]1'!$C$89:$D$89)+SUM('[59]1'!$C$92:$D$92)</f>
        <v>11705.277963338654</v>
      </c>
      <c r="F32" s="750">
        <f>SUM('[59]1'!$C$77:$D$78)+SUM('[59]1'!$C$86:$D$86)</f>
        <v>3461.1802719621674</v>
      </c>
      <c r="G32" s="750">
        <f>SUM('[59]1'!$C$93:$D$93)+SUM('[59]1'!$C$96:$D$97)</f>
        <v>1676.2795406836194</v>
      </c>
      <c r="H32" s="750">
        <f>SUM('[59]1'!$C$98:$D$98)</f>
        <v>22565.258758380427</v>
      </c>
      <c r="I32" s="907">
        <f>SUM('[59]1'!$E$69:$H$69)+SUM('[59]1'!$E$72:$H$72)</f>
        <v>1358.2574110946107</v>
      </c>
      <c r="J32" s="907">
        <f>SUM('[59]1'!$E$76:$H$76)</f>
        <v>1568.1668300287638</v>
      </c>
      <c r="K32" s="750">
        <f>SUM('[59]1'!$E$84:$H$84)</f>
        <v>2817.7450482338236</v>
      </c>
      <c r="L32" s="750">
        <f>SUM('[59]1'!$E$95:$H$95)</f>
        <v>1826.6836645292638</v>
      </c>
      <c r="M32" s="750">
        <f>SUM('[59]1'!$E$93:$H$93)+SUM('[59]1'!$E$94:$H$94)+SUM('[59]1'!$E$97:$H$97)</f>
        <v>763.79423060838235</v>
      </c>
      <c r="N32" s="907">
        <f>SUM('[59]1'!$E$98:$H$98)+0.05</f>
        <v>8334.6971844948439</v>
      </c>
      <c r="O32" s="750">
        <f>'[59]1'!$I$98+0.05</f>
        <v>30899.955942875269</v>
      </c>
      <c r="P32" s="908" t="s">
        <v>606</v>
      </c>
      <c r="Q32" s="411">
        <f t="shared" ref="Q32" si="24">H32-C32-D32-E32-F32-G32</f>
        <v>5.0000000003819878E-2</v>
      </c>
      <c r="R32" s="411">
        <f t="shared" ref="R32" si="25">N32-I32-J32-K32-L32-M32</f>
        <v>4.9999999999727152E-2</v>
      </c>
      <c r="S32" s="411">
        <f t="shared" ref="S32" si="26">O32-H32-N32</f>
        <v>0</v>
      </c>
    </row>
    <row r="33" spans="1:19" s="411" customFormat="1" ht="14.25" customHeight="1">
      <c r="A33" s="905"/>
      <c r="B33" s="906" t="s">
        <v>401</v>
      </c>
      <c r="C33" s="907">
        <f>SUM('[60]1'!$C$68:$D$68)-0.05</f>
        <v>135.60130497277768</v>
      </c>
      <c r="D33" s="907">
        <f>SUM('[60]1'!$C$69:$D$69)+SUM('[60]1'!$C$72:$D$72)+SUM('[60]1'!$C$95:$D$95)</f>
        <v>5213.9941949479653</v>
      </c>
      <c r="E33" s="750">
        <f>SUM('[60]1'!$C$79:$D$83)+SUM('[60]1'!$C$89:$D$89)+SUM('[60]1'!$C$92:$D$92)</f>
        <v>11779.991453438863</v>
      </c>
      <c r="F33" s="750">
        <f>SUM('[60]1'!$C$77:$D$78)+SUM('[60]1'!$C$86:$D$86)</f>
        <v>3522.7584286764268</v>
      </c>
      <c r="G33" s="750">
        <f>SUM('[60]1'!$C$93:$D$93)+SUM('[60]1'!$C$96:$D$97)</f>
        <v>2046.6926028553282</v>
      </c>
      <c r="H33" s="750">
        <f>SUM('[60]1'!$C$98:$D$98)</f>
        <v>22699.087984891357</v>
      </c>
      <c r="I33" s="907">
        <f>SUM('[60]1'!$E$69:$H$69)+SUM('[60]1'!$E$72:$H$72)</f>
        <v>1233.9680780322701</v>
      </c>
      <c r="J33" s="907">
        <f>SUM('[60]1'!$E$76:$H$76)-0.05</f>
        <v>1454.3145999537883</v>
      </c>
      <c r="K33" s="750">
        <f>SUM('[60]1'!$E$84:$H$84)</f>
        <v>2790.7917287272771</v>
      </c>
      <c r="L33" s="750">
        <f>SUM('[60]1'!$E$95:$H$95)</f>
        <v>1820.4918875155008</v>
      </c>
      <c r="M33" s="750">
        <f>SUM('[60]1'!$E$93:$H$93)+SUM('[60]1'!$E$94:$H$94)+SUM('[60]1'!$E$97:$H$97)</f>
        <v>738.79517384017413</v>
      </c>
      <c r="N33" s="907">
        <f>SUM('[60]1'!$E$98:$H$98)</f>
        <v>8038.41146806901</v>
      </c>
      <c r="O33" s="750">
        <f>'[60]1'!$I$98</f>
        <v>30737.499452960372</v>
      </c>
      <c r="P33" s="908" t="s">
        <v>606</v>
      </c>
      <c r="Q33" s="411">
        <f t="shared" ref="Q33" si="27">H33-C33-D33-E33-F33-G33</f>
        <v>4.9999999997226041E-2</v>
      </c>
      <c r="R33" s="411">
        <f t="shared" ref="R33" si="28">N33-I33-J33-K33-L33-M33</f>
        <v>4.9999999999954525E-2</v>
      </c>
      <c r="S33" s="411">
        <f t="shared" ref="S33" si="29">O33-H33-N33</f>
        <v>0</v>
      </c>
    </row>
    <row r="34" spans="1:19" s="411" customFormat="1" ht="14.25" customHeight="1">
      <c r="A34" s="905"/>
      <c r="B34" s="906" t="s">
        <v>402</v>
      </c>
      <c r="C34" s="907">
        <f>SUM('[61]1'!$C$68:$D$68)</f>
        <v>151.46844986749332</v>
      </c>
      <c r="D34" s="907">
        <f>SUM('[61]1'!$C$69:$D$69)+SUM('[61]1'!$C$72:$D$72)+SUM('[61]1'!$C$95:$D$95)</f>
        <v>4967.7881615779334</v>
      </c>
      <c r="E34" s="750">
        <f>SUM('[61]1'!$C$79:$D$83)+SUM('[61]1'!$C$89:$D$89)+SUM('[61]1'!$C$92:$D$92)</f>
        <v>11719.944559245921</v>
      </c>
      <c r="F34" s="750">
        <f>SUM('[61]1'!$C$77:$D$78)+SUM('[61]1'!$C$86:$D$86)</f>
        <v>3455.176265990428</v>
      </c>
      <c r="G34" s="750">
        <f>SUM('[61]1'!$C$93:$D$93)+SUM('[61]1'!$C$96:$D$97)</f>
        <v>1971.565730551406</v>
      </c>
      <c r="H34" s="750">
        <f>SUM('[61]1'!$C$98:$D$98)+0.1</f>
        <v>22266.043167233176</v>
      </c>
      <c r="I34" s="907">
        <f>SUM('[61]1'!$E$69:$H$69)+SUM('[61]1'!$E$72:$H$72)</f>
        <v>1265.6219379145241</v>
      </c>
      <c r="J34" s="907">
        <f>SUM('[61]1'!$E$76:$H$76)</f>
        <v>1479.5666073883069</v>
      </c>
      <c r="K34" s="750">
        <f>SUM('[61]1'!$E$84:$H$84)</f>
        <v>2736.0918649927225</v>
      </c>
      <c r="L34" s="750">
        <f>SUM('[61]1'!$E$95:$H$95)</f>
        <v>1982.9394612233705</v>
      </c>
      <c r="M34" s="750">
        <f>SUM('[61]1'!$E$93:$H$93)+SUM('[61]1'!$E$94:$H$94)+SUM('[61]1'!$E$97:$H$97)+0.02</f>
        <v>759.7544969824055</v>
      </c>
      <c r="N34" s="907">
        <f>SUM('[61]1'!$E$98:$H$98)</f>
        <v>8223.9543685013305</v>
      </c>
      <c r="O34" s="750">
        <f>'[61]1'!$I$98+0.1</f>
        <v>30489.99753573451</v>
      </c>
      <c r="P34" s="908" t="s">
        <v>606</v>
      </c>
      <c r="Q34" s="411">
        <f t="shared" ref="Q34" si="30">H34-C34-D34-E34-F34-G34</f>
        <v>9.999999999308784E-2</v>
      </c>
      <c r="R34" s="411">
        <f t="shared" ref="R34" si="31">N34-I34-J34-K34-L34-M34</f>
        <v>-1.9999999998844942E-2</v>
      </c>
      <c r="S34" s="411">
        <f t="shared" ref="S34" si="32">O34-H34-N34</f>
        <v>0</v>
      </c>
    </row>
    <row r="35" spans="1:19" s="411" customFormat="1" ht="14.25" customHeight="1">
      <c r="A35" s="905"/>
      <c r="B35" s="906" t="s">
        <v>403</v>
      </c>
      <c r="C35" s="907">
        <f>SUM('[62]1'!$C$68:$D$68)</f>
        <v>139.49589632292441</v>
      </c>
      <c r="D35" s="907">
        <f>SUM('[62]1'!$C$69:$D$69)+SUM('[62]1'!$C$72:$D$72)+SUM('[62]1'!$C$95:$D$95)</f>
        <v>4987.4859552911039</v>
      </c>
      <c r="E35" s="750">
        <f>SUM('[62]1'!$C$79:$D$83)+SUM('[62]1'!$C$89:$D$89)+SUM('[62]1'!$C$92:$D$92)-0.01</f>
        <v>11277.741737376122</v>
      </c>
      <c r="F35" s="750">
        <f>SUM('[62]1'!$C$77:$D$78)+SUM('[62]1'!$C$86:$D$86)</f>
        <v>3387.9659103842005</v>
      </c>
      <c r="G35" s="750">
        <f>SUM('[62]1'!$C$93:$D$93)+SUM('[62]1'!$C$96:$D$97)</f>
        <v>2492.097891948034</v>
      </c>
      <c r="H35" s="750">
        <f>SUM('[62]1'!$C$98:$D$98)</f>
        <v>22284.797391322383</v>
      </c>
      <c r="I35" s="907">
        <f>SUM('[62]1'!$E$69:$H$69)+SUM('[62]1'!$E$72:$H$72)</f>
        <v>1255.1092821596019</v>
      </c>
      <c r="J35" s="907">
        <f>SUM('[62]1'!$E$76:$H$76)</f>
        <v>1453.051013647332</v>
      </c>
      <c r="K35" s="750">
        <f>SUM('[62]1'!$E$84:$H$84)</f>
        <v>2404.4524617275856</v>
      </c>
      <c r="L35" s="750">
        <f>SUM('[62]1'!$E$95:$H$95)</f>
        <v>1809.9466076835727</v>
      </c>
      <c r="M35" s="750">
        <f>SUM('[62]1'!$E$93:$H$93)+SUM('[62]1'!$E$94:$H$94)+SUM('[62]1'!$E$97:$H$97)</f>
        <v>823.0317968148679</v>
      </c>
      <c r="N35" s="907">
        <f>SUM('[62]1'!$E$98:$H$98)</f>
        <v>7745.5911620329589</v>
      </c>
      <c r="O35" s="750">
        <f>'[62]1'!$I$98</f>
        <v>30030.388553355344</v>
      </c>
      <c r="P35" s="908" t="s">
        <v>606</v>
      </c>
      <c r="Q35" s="411">
        <f t="shared" ref="Q35" si="33">H35-C35-D35-E35-F35-G35</f>
        <v>9.9999999974897946E-3</v>
      </c>
      <c r="R35" s="411">
        <f t="shared" ref="R35" si="34">N35-I35-J35-K35-L35-M35</f>
        <v>-1.5916157281026244E-12</v>
      </c>
      <c r="S35" s="411">
        <f t="shared" ref="S35" si="35">O35-H35-N35</f>
        <v>0</v>
      </c>
    </row>
    <row r="36" spans="1:19" s="411" customFormat="1" ht="14.25" customHeight="1">
      <c r="A36" s="905"/>
      <c r="B36" s="906" t="s">
        <v>404</v>
      </c>
      <c r="C36" s="907">
        <f>SUM('[63]1'!$C$68:$D$68)</f>
        <v>153.10964328867942</v>
      </c>
      <c r="D36" s="907">
        <f>SUM('[63]1'!$C$69:$D$69)+SUM('[63]1'!$C$72:$D$72)+SUM('[63]1'!$C$95:$D$95)+0.01</f>
        <v>4887.9599498892667</v>
      </c>
      <c r="E36" s="750">
        <f>SUM('[63]1'!$C$79:$D$83)+SUM('[63]1'!$C$89:$D$89)+SUM('[63]1'!$C$92:$D$92)</f>
        <v>11629.012414047935</v>
      </c>
      <c r="F36" s="750">
        <f>SUM('[63]1'!$C$77:$D$78)+SUM('[63]1'!$C$86:$D$86)</f>
        <v>3718.5042690199748</v>
      </c>
      <c r="G36" s="750">
        <f>SUM('[63]1'!$C$93:$D$93)+SUM('[63]1'!$C$96:$D$97)</f>
        <v>2493.2515066665801</v>
      </c>
      <c r="H36" s="750">
        <f>SUM('[63]1'!$C$98:$D$98)+0.05</f>
        <v>22881.877782912434</v>
      </c>
      <c r="I36" s="907">
        <f>SUM('[63]1'!$E$69:$H$69)+SUM('[63]1'!$E$72:$H$72)</f>
        <v>1453.8874600398633</v>
      </c>
      <c r="J36" s="907">
        <f>SUM('[63]1'!$E$76:$H$76)</f>
        <v>1819.027383388637</v>
      </c>
      <c r="K36" s="750">
        <f>SUM('[63]1'!$E$84:$H$84)</f>
        <v>2532.9303970064384</v>
      </c>
      <c r="L36" s="750">
        <f>SUM('[63]1'!$E$95:$H$95)</f>
        <v>1859.1515072450482</v>
      </c>
      <c r="M36" s="750">
        <f>SUM('[63]1'!$E$93:$H$93)+SUM('[63]1'!$E$94:$H$94)+SUM('[63]1'!$E$97:$H$97)</f>
        <v>731.23803278058881</v>
      </c>
      <c r="N36" s="907">
        <f>SUM('[63]1'!$E$98:$H$98)</f>
        <v>8396.2347804605761</v>
      </c>
      <c r="O36" s="750">
        <f>'[63]1'!$I$98</f>
        <v>31278.062563373009</v>
      </c>
      <c r="P36" s="908" t="s">
        <v>606</v>
      </c>
      <c r="Q36" s="411">
        <f t="shared" ref="Q36" si="36">H36-C36-D36-E36-F36-G36</f>
        <v>3.9999999995870894E-2</v>
      </c>
      <c r="R36" s="411">
        <f t="shared" ref="R36" si="37">N36-I36-J36-K36-L36-M36</f>
        <v>9.0949470177292824E-13</v>
      </c>
      <c r="S36" s="411">
        <f t="shared" ref="S36" si="38">O36-H36-N36</f>
        <v>-5.0000000001091394E-2</v>
      </c>
    </row>
    <row r="37" spans="1:19" s="411" customFormat="1" ht="14.25" customHeight="1">
      <c r="A37" s="905"/>
      <c r="B37" s="906" t="s">
        <v>405</v>
      </c>
      <c r="C37" s="907">
        <f>SUM('[64]1'!$C$68:$D$68)</f>
        <v>151.60341361329827</v>
      </c>
      <c r="D37" s="907">
        <f>SUM('[64]1'!$C$69:$D$69)+SUM('[64]1'!$C$72:$D$72)+SUM('[64]1'!$C$95:$D$95)</f>
        <v>4739.0996377976417</v>
      </c>
      <c r="E37" s="750">
        <f>SUM('[64]1'!$C$79:$D$83)+SUM('[64]1'!$C$89:$D$89)+SUM('[64]1'!$C$92:$D$92)</f>
        <v>11538.469466276978</v>
      </c>
      <c r="F37" s="750">
        <f>SUM('[64]1'!$C$77:$D$78)+SUM('[64]1'!$C$86:$D$86)</f>
        <v>3867.3247845044266</v>
      </c>
      <c r="G37" s="750">
        <f>SUM('[64]1'!$C$93:$D$93)+SUM('[64]1'!$C$96:$D$97)</f>
        <v>2537.6782608197423</v>
      </c>
      <c r="H37" s="750">
        <f>SUM('[64]1'!$C$98:$D$98)</f>
        <v>22834.175563012086</v>
      </c>
      <c r="I37" s="907">
        <f>SUM('[64]1'!$E$69:$H$69)+SUM('[64]1'!$E$72:$H$72)</f>
        <v>1363.4389312853757</v>
      </c>
      <c r="J37" s="907">
        <f>SUM('[64]1'!$E$76:$H$76)</f>
        <v>1803.7671103923849</v>
      </c>
      <c r="K37" s="750">
        <f>SUM('[64]1'!$E$84:$H$84)</f>
        <v>2492.8813341252062</v>
      </c>
      <c r="L37" s="750">
        <f>SUM('[64]1'!$E$95:$H$95)</f>
        <v>1676.9579242183504</v>
      </c>
      <c r="M37" s="750">
        <f>SUM('[64]1'!$E$93:$H$93)+SUM('[64]1'!$E$94:$H$94)+SUM('[64]1'!$E$97:$H$97)-0.02</f>
        <v>712.34383865448626</v>
      </c>
      <c r="N37" s="907">
        <f>SUM('[64]1'!$E$98:$H$98)</f>
        <v>8049.4091386758046</v>
      </c>
      <c r="O37" s="750">
        <f>'[64]1'!$I$98</f>
        <v>30883.584701687891</v>
      </c>
      <c r="P37" s="908" t="s">
        <v>606</v>
      </c>
      <c r="Q37" s="411">
        <f t="shared" ref="Q37" si="39">H37-C37-D37-E37-F37-G37</f>
        <v>0</v>
      </c>
      <c r="R37" s="411">
        <f t="shared" ref="R37" si="40">N37-I37-J37-K37-L37-M37</f>
        <v>2.0000000001346052E-2</v>
      </c>
      <c r="S37" s="411">
        <f t="shared" ref="S37" si="41">O37-H37-N37</f>
        <v>0</v>
      </c>
    </row>
    <row r="38" spans="1:19" s="411" customFormat="1" ht="14.25" customHeight="1">
      <c r="A38" s="905"/>
      <c r="B38" s="906" t="s">
        <v>406</v>
      </c>
      <c r="C38" s="907">
        <f>SUM('[65]1'!$C$68:$D$68)</f>
        <v>142.76297898382933</v>
      </c>
      <c r="D38" s="907">
        <f>SUM('[65]1'!$C$69:$D$69)+SUM('[65]1'!$C$72:$D$72)+SUM('[65]1'!$C$95:$D$95)</f>
        <v>4763.4631293841558</v>
      </c>
      <c r="E38" s="750">
        <f>SUM('[65]1'!$C$79:$D$83)+SUM('[65]1'!$C$89:$D$89)+SUM('[65]1'!$C$92:$D$92)</f>
        <v>11706.784487802401</v>
      </c>
      <c r="F38" s="750">
        <f>SUM('[65]1'!$C$77:$D$78)+SUM('[65]1'!$C$86:$D$86)</f>
        <v>3918.6985643707262</v>
      </c>
      <c r="G38" s="750">
        <f>SUM('[65]1'!$C$93:$D$93)+SUM('[65]1'!$C$96:$D$97)-0.02</f>
        <v>2636.6353416140837</v>
      </c>
      <c r="H38" s="750">
        <f>SUM('[65]1'!$C$98:$D$98)</f>
        <v>23168.364502155197</v>
      </c>
      <c r="I38" s="907">
        <f>SUM('[65]1'!$E$69:$H$69)+SUM('[65]1'!$E$72:$H$72)</f>
        <v>1432.300756823041</v>
      </c>
      <c r="J38" s="907">
        <f>SUM('[65]1'!$E$76:$H$76)</f>
        <v>1804.881646117763</v>
      </c>
      <c r="K38" s="750">
        <f>SUM('[65]1'!$E$84:$H$84)</f>
        <v>2549.5165546484968</v>
      </c>
      <c r="L38" s="750">
        <f>SUM('[65]1'!$E$95:$H$95)</f>
        <v>1705.8913378050468</v>
      </c>
      <c r="M38" s="750">
        <f>SUM('[65]1'!$E$93:$H$93)+SUM('[65]1'!$E$94:$H$94)+SUM('[65]1'!$E$97:$H$97)</f>
        <v>713.20551654802455</v>
      </c>
      <c r="N38" s="907">
        <f>SUM('[65]1'!$E$98:$H$98)</f>
        <v>8205.7958119423729</v>
      </c>
      <c r="O38" s="750">
        <f>'[65]1'!$I$98</f>
        <v>31374.160314097568</v>
      </c>
      <c r="P38" s="908" t="s">
        <v>606</v>
      </c>
      <c r="Q38" s="411">
        <f t="shared" ref="Q38" si="42">H38-C38-D38-E38-F38-G38</f>
        <v>2.00000000018008E-2</v>
      </c>
      <c r="R38" s="411">
        <f t="shared" ref="R38" si="43">N38-I38-J38-K38-L38-M38</f>
        <v>1.2505552149377763E-12</v>
      </c>
      <c r="S38" s="411">
        <f t="shared" ref="S38" si="44">O38-H38-N38</f>
        <v>0</v>
      </c>
    </row>
    <row r="39" spans="1:19" s="411" customFormat="1" ht="14.25" customHeight="1">
      <c r="A39" s="905"/>
      <c r="B39" s="906" t="s">
        <v>407</v>
      </c>
      <c r="C39" s="907">
        <f>SUM('[66]1'!$C$68:$D$68)</f>
        <v>158.5730356655547</v>
      </c>
      <c r="D39" s="907">
        <f>SUM('[66]1'!$C$69:$D$69)+SUM('[66]1'!$C$72:$D$72)+SUM('[66]1'!$C$95:$D$95)</f>
        <v>5171.7735174593399</v>
      </c>
      <c r="E39" s="750">
        <f>SUM('[66]1'!$C$79:$D$83)+SUM('[66]1'!$C$89:$D$89)+SUM('[66]1'!$C$92:$D$92)</f>
        <v>11687.627876231698</v>
      </c>
      <c r="F39" s="750">
        <f>SUM('[66]1'!$C$77:$D$78)+SUM('[66]1'!$C$86:$D$86)-0.02</f>
        <v>4001.1479588786506</v>
      </c>
      <c r="G39" s="750">
        <f>SUM('[66]1'!$C$93:$D$93)+SUM('[66]1'!$C$96:$D$97)</f>
        <v>2533.2029464076782</v>
      </c>
      <c r="H39" s="750">
        <f>SUM('[66]1'!$C$98:$D$98)</f>
        <v>23552.345334642923</v>
      </c>
      <c r="I39" s="907">
        <f>SUM('[66]1'!$E$69:$H$69)+SUM('[66]1'!$E$72:$H$72)</f>
        <v>1666.3906992675084</v>
      </c>
      <c r="J39" s="907">
        <f>SUM('[66]1'!$E$76:$H$76)+0.03</f>
        <v>1863.5646445005862</v>
      </c>
      <c r="K39" s="750">
        <f>SUM('[66]1'!$E$84:$H$84)</f>
        <v>2624.2132100350536</v>
      </c>
      <c r="L39" s="750">
        <f>SUM('[66]1'!$E$95:$H$95)</f>
        <v>1666.2304012699274</v>
      </c>
      <c r="M39" s="750">
        <f>SUM('[66]1'!$E$93:$H$93)+SUM('[66]1'!$E$94:$H$94)+SUM('[66]1'!$E$97:$H$97)</f>
        <v>709.89546473997302</v>
      </c>
      <c r="N39" s="907">
        <f>SUM('[66]1'!$E$98:$H$98)</f>
        <v>8530.2644198130492</v>
      </c>
      <c r="O39" s="750">
        <f>'[66]1'!$I$98</f>
        <v>32082.609754455967</v>
      </c>
      <c r="P39" s="908" t="s">
        <v>606</v>
      </c>
      <c r="Q39" s="411">
        <f t="shared" ref="Q39" si="45">H39-C39-D39-E39-F39-G39</f>
        <v>2.00000000018008E-2</v>
      </c>
      <c r="R39" s="411">
        <f t="shared" ref="R39" si="46">N39-I39-J39-K39-L39-M39</f>
        <v>-2.999999999906322E-2</v>
      </c>
      <c r="S39" s="411">
        <f t="shared" ref="S39" si="47">O39-H39-N39</f>
        <v>0</v>
      </c>
    </row>
    <row r="40" spans="1:19" s="411" customFormat="1" ht="20.25" customHeight="1">
      <c r="A40" s="905">
        <v>2020</v>
      </c>
      <c r="B40" s="906" t="s">
        <v>408</v>
      </c>
      <c r="C40" s="907">
        <f>SUM('[67]1'!$C$68:$D$68)</f>
        <v>142.4060799678804</v>
      </c>
      <c r="D40" s="907">
        <f>SUM('[67]1'!$C$69:$D$69)+SUM('[67]1'!$C$72:$D$72)+SUM('[67]1'!$C$95:$D$95)</f>
        <v>5157.9139569906329</v>
      </c>
      <c r="E40" s="750">
        <f>SUM('[67]1'!$C$79:$D$83)+SUM('[67]1'!$C$89:$D$89)+SUM('[67]1'!$C$92:$D$92)</f>
        <v>11693.123882181046</v>
      </c>
      <c r="F40" s="750">
        <f>SUM('[67]1'!$C$77:$D$78)+SUM('[67]1'!$C$86:$D$86)</f>
        <v>4037.8125564505854</v>
      </c>
      <c r="G40" s="750">
        <f>SUM('[67]1'!$C$93:$D$93)+SUM('[67]1'!$C$96:$D$97)</f>
        <v>2550.5581804517487</v>
      </c>
      <c r="H40" s="750">
        <f>SUM('[67]1'!$C$98:$D$98)</f>
        <v>23581.814656041894</v>
      </c>
      <c r="I40" s="907">
        <f>SUM('[67]1'!$E$69:$H$69)+SUM('[67]1'!$E$72:$H$72)+0.01</f>
        <v>1725.1584945951893</v>
      </c>
      <c r="J40" s="907">
        <f>SUM('[67]1'!$E$76:$H$76)</f>
        <v>1870.1265050597351</v>
      </c>
      <c r="K40" s="750">
        <f>SUM('[67]1'!$E$84:$H$84)</f>
        <v>2589.7119383295349</v>
      </c>
      <c r="L40" s="750">
        <f>SUM('[67]1'!$E$95:$H$95)</f>
        <v>1831.5247724686328</v>
      </c>
      <c r="M40" s="750">
        <f>SUM('[67]1'!$E$93:$H$93)+SUM('[67]1'!$E$94:$H$94)+SUM('[67]1'!$E$97:$H$97)</f>
        <v>721.06321467567022</v>
      </c>
      <c r="N40" s="907">
        <f>SUM('[67]1'!$E$98:$H$98)</f>
        <v>8737.5749251287634</v>
      </c>
      <c r="O40" s="750">
        <f>'[67]1'!$I$98</f>
        <v>32319.38958117065</v>
      </c>
      <c r="P40" s="908" t="s">
        <v>606</v>
      </c>
      <c r="Q40" s="411">
        <f t="shared" ref="Q40" si="48">H40-C40-D40-E40-F40-G40</f>
        <v>0</v>
      </c>
      <c r="R40" s="411">
        <f t="shared" ref="R40" si="49">N40-I40-J40-K40-L40-M40</f>
        <v>-9.9999999983992893E-3</v>
      </c>
      <c r="S40" s="411">
        <f t="shared" ref="S40" si="50">O40-H40-N40</f>
        <v>0</v>
      </c>
    </row>
    <row r="41" spans="1:19" s="411" customFormat="1" ht="14.25" customHeight="1">
      <c r="A41" s="1082"/>
      <c r="B41" s="906" t="s">
        <v>409</v>
      </c>
      <c r="C41" s="907">
        <f>SUM('[68]1'!$C$68:$D$68)</f>
        <v>140.8895517937018</v>
      </c>
      <c r="D41" s="907">
        <f>SUM('[68]1'!$C$69:$D$69)+SUM('[68]1'!$C$72:$D$72)+SUM('[68]1'!$C$95:$D$95)</f>
        <v>5193.0305660868562</v>
      </c>
      <c r="E41" s="750">
        <f>SUM('[68]1'!$C$79:$D$83)+SUM('[68]1'!$C$89:$D$89)+SUM('[68]1'!$C$92:$D$92)</f>
        <v>11669.607083171173</v>
      </c>
      <c r="F41" s="750">
        <f>SUM('[68]1'!$C$77:$D$78)+SUM('[68]1'!$C$86:$D$86)</f>
        <v>4115.4062996873054</v>
      </c>
      <c r="G41" s="750">
        <f>SUM('[68]1'!$C$93:$D$93)+SUM('[68]1'!$C$96:$D$97)</f>
        <v>2635.6877312388979</v>
      </c>
      <c r="H41" s="750">
        <f>SUM('[68]1'!$C$98:$D$98)</f>
        <v>23754.621231977933</v>
      </c>
      <c r="I41" s="907">
        <f>SUM('[68]1'!$E$69:$H$69)+SUM('[68]1'!$E$72:$H$72)</f>
        <v>1602.96453107866</v>
      </c>
      <c r="J41" s="907">
        <f>SUM('[68]1'!$E$76:$H$76)</f>
        <v>1807.196305055535</v>
      </c>
      <c r="K41" s="750">
        <f>SUM('[68]1'!$E$84:$H$84)</f>
        <v>2807.051174723616</v>
      </c>
      <c r="L41" s="750">
        <f>SUM('[68]1'!$E$95:$H$95)</f>
        <v>1702.4404234133788</v>
      </c>
      <c r="M41" s="750">
        <f>SUM('[68]1'!$E$93:$H$93)+SUM('[68]1'!$E$94:$H$94)+SUM('[68]1'!$E$97:$H$97)</f>
        <v>701.30293644300309</v>
      </c>
      <c r="N41" s="907">
        <f>SUM('[68]1'!$E$98:$H$98)</f>
        <v>8620.9553707141931</v>
      </c>
      <c r="O41" s="750">
        <f>'[68]1'!$I$98</f>
        <v>32375.576602692126</v>
      </c>
      <c r="P41" s="908" t="s">
        <v>606</v>
      </c>
      <c r="Q41" s="411">
        <f t="shared" ref="Q41" si="51">H41-C41-D41-E41-F41-G41</f>
        <v>0</v>
      </c>
      <c r="R41" s="411">
        <f t="shared" ref="R41" si="52">N41-I41-J41-K41-L41-M41</f>
        <v>0</v>
      </c>
      <c r="S41" s="411">
        <f t="shared" ref="S41" si="53">O41-H41-N41</f>
        <v>0</v>
      </c>
    </row>
    <row r="42" spans="1:19" s="411" customFormat="1" ht="14.25" customHeight="1">
      <c r="A42" s="1082"/>
      <c r="B42" s="906" t="s">
        <v>398</v>
      </c>
      <c r="C42" s="907">
        <f>SUM('[69]1'!$C$68:$D$68)</f>
        <v>148.21936333213264</v>
      </c>
      <c r="D42" s="907">
        <f>SUM('[69]1'!$C$69:$D$69)+SUM('[69]1'!$C$72:$D$72)+SUM('[69]1'!$C$95:$D$95)</f>
        <v>5210.936756117987</v>
      </c>
      <c r="E42" s="750">
        <f>SUM('[69]1'!$C$79:$D$83)+SUM('[69]1'!$C$89:$D$89)+SUM('[69]1'!$C$92:$D$92)</f>
        <v>11836.498245972769</v>
      </c>
      <c r="F42" s="750">
        <f>SUM('[69]1'!$C$77:$D$78)+SUM('[69]1'!$C$86:$D$86)+0.01</f>
        <v>4266.9562572968016</v>
      </c>
      <c r="G42" s="750">
        <f>SUM('[69]1'!$C$93:$D$93)+SUM('[69]1'!$C$96:$D$97)</f>
        <v>2594.4060003159293</v>
      </c>
      <c r="H42" s="750">
        <f>SUM('[69]1'!$C$98:$D$98)</f>
        <v>24057.006623035613</v>
      </c>
      <c r="I42" s="907">
        <f>SUM('[69]1'!$E$69:$H$69)+SUM('[69]1'!$E$72:$H$72)</f>
        <v>1538.6529662479522</v>
      </c>
      <c r="J42" s="907">
        <f>SUM('[69]1'!$E$76:$H$76)</f>
        <v>1727.5736834902159</v>
      </c>
      <c r="K42" s="750">
        <f>SUM('[69]1'!$E$84:$H$84)</f>
        <v>2818.9131634566465</v>
      </c>
      <c r="L42" s="750">
        <f>SUM('[69]1'!$E$95:$H$95)</f>
        <v>1702.0530482630652</v>
      </c>
      <c r="M42" s="750">
        <f>SUM('[69]1'!$E$93:$H$93)+SUM('[69]1'!$E$94:$H$94)+SUM('[69]1'!$E$97:$H$97)</f>
        <v>691.51016029938603</v>
      </c>
      <c r="N42" s="907">
        <f>SUM('[69]1'!$E$98:$H$98)+0.05</f>
        <v>8478.7530217572657</v>
      </c>
      <c r="O42" s="750">
        <f>'[69]1'!$I$98+0.05</f>
        <v>32535.759644792885</v>
      </c>
      <c r="P42" s="908" t="s">
        <v>606</v>
      </c>
      <c r="Q42" s="411">
        <f t="shared" ref="Q42" si="54">H42-C42-D42-E42-F42-G42</f>
        <v>-1.0000000005675247E-2</v>
      </c>
      <c r="R42" s="411">
        <f t="shared" ref="R42" si="55">N42-I42-J42-K42-L42-M42</f>
        <v>5.0000000000068212E-2</v>
      </c>
      <c r="S42" s="411">
        <f t="shared" ref="S42" si="56">O42-H42-N42</f>
        <v>0</v>
      </c>
    </row>
    <row r="43" spans="1:19" s="411" customFormat="1" ht="14.25" customHeight="1">
      <c r="A43" s="1082"/>
      <c r="B43" s="906" t="s">
        <v>399</v>
      </c>
      <c r="C43" s="907">
        <f>SUM('[70]1'!$C$68:$D$68)</f>
        <v>164.11006183066408</v>
      </c>
      <c r="D43" s="907">
        <f>SUM('[70]1'!$C$69:$D$69)+SUM('[70]1'!$C$72:$D$72)+SUM('[70]1'!$C$95:$D$95)</f>
        <v>5647.6121503009199</v>
      </c>
      <c r="E43" s="750">
        <f>SUM('[70]1'!$C$79:$D$83)+SUM('[70]1'!$C$89:$D$89)+SUM('[70]1'!$C$92:$D$92)</f>
        <v>11883.022613123321</v>
      </c>
      <c r="F43" s="750">
        <f>SUM('[70]1'!$C$77:$D$78)+SUM('[70]1'!$C$86:$D$86)</f>
        <v>4109.5069703235185</v>
      </c>
      <c r="G43" s="750">
        <f>SUM('[70]1'!$C$93:$D$93)+SUM('[70]1'!$C$96:$D$97)</f>
        <v>2512.9327596031831</v>
      </c>
      <c r="H43" s="750">
        <f>SUM('[70]1'!$C$98:$D$98)-0.05</f>
        <v>24317.134555181608</v>
      </c>
      <c r="I43" s="907">
        <f>SUM('[70]1'!$E$69:$H$69)+SUM('[70]1'!$E$72:$H$72)</f>
        <v>1382.1771047114028</v>
      </c>
      <c r="J43" s="907">
        <f>SUM('[70]1'!$E$76:$H$76)</f>
        <v>1691.0643867480626</v>
      </c>
      <c r="K43" s="750">
        <f>SUM('[70]1'!$E$84:$H$84)</f>
        <v>2695.6778020553725</v>
      </c>
      <c r="L43" s="750">
        <f>SUM('[70]1'!$E$95:$H$95)-0.01</f>
        <v>1905.24116379522</v>
      </c>
      <c r="M43" s="750">
        <f>SUM('[70]1'!$E$93:$H$93)+SUM('[70]1'!$E$94:$H$94)+SUM('[70]1'!$E$97:$H$97)</f>
        <v>666.87905458466014</v>
      </c>
      <c r="N43" s="907">
        <f>SUM('[70]1'!$E$98:$H$98)+0.01</f>
        <v>8341.0595118947185</v>
      </c>
      <c r="O43" s="750">
        <f>'[70]1'!$I$98</f>
        <v>32658.234067076322</v>
      </c>
      <c r="P43" s="908" t="s">
        <v>606</v>
      </c>
      <c r="Q43" s="411">
        <f t="shared" ref="Q43" si="57">H43-C43-D43-E43-F43-G43</f>
        <v>-4.9999999996998667E-2</v>
      </c>
      <c r="R43" s="411">
        <f t="shared" ref="R43" si="58">N43-I43-J43-K43-L43-M43</f>
        <v>2.0000000001232365E-2</v>
      </c>
      <c r="S43" s="411">
        <f t="shared" ref="S43" si="59">O43-H43-N43</f>
        <v>3.9999999995416147E-2</v>
      </c>
    </row>
    <row r="44" spans="1:19" ht="19.5" customHeight="1">
      <c r="A44" s="405" t="s">
        <v>1002</v>
      </c>
      <c r="B44" s="236"/>
      <c r="C44" s="236"/>
      <c r="D44" s="236"/>
      <c r="E44" s="236"/>
      <c r="F44" s="236"/>
      <c r="G44" s="236"/>
      <c r="H44" s="236"/>
      <c r="I44" s="236"/>
      <c r="J44" s="236"/>
      <c r="K44" s="236"/>
      <c r="L44" s="236"/>
      <c r="M44" s="236"/>
      <c r="N44" s="236"/>
      <c r="O44" s="868"/>
      <c r="P44" s="868" t="s">
        <v>1003</v>
      </c>
    </row>
    <row r="45" spans="1:19">
      <c r="A45" s="406" t="s">
        <v>1004</v>
      </c>
      <c r="O45" s="885"/>
      <c r="P45" s="885" t="s">
        <v>1005</v>
      </c>
    </row>
    <row r="46" spans="1:19">
      <c r="A46" s="407" t="s">
        <v>1006</v>
      </c>
      <c r="O46" s="885"/>
      <c r="P46" s="885" t="s">
        <v>1007</v>
      </c>
    </row>
    <row r="48" spans="1:19">
      <c r="A48" s="408" t="s">
        <v>1043</v>
      </c>
      <c r="B48" s="3"/>
      <c r="C48" s="3"/>
      <c r="D48" s="3"/>
      <c r="E48" s="3"/>
      <c r="F48" s="3"/>
      <c r="G48" s="3"/>
      <c r="H48" s="3"/>
      <c r="I48" s="3"/>
      <c r="J48" s="3"/>
      <c r="K48" s="3"/>
      <c r="L48" s="3"/>
      <c r="M48" s="3"/>
      <c r="N48" s="3"/>
      <c r="O48" s="3"/>
      <c r="P48" s="3"/>
    </row>
    <row r="49" spans="3:16">
      <c r="C49" s="688"/>
      <c r="D49" s="688"/>
      <c r="E49" s="688"/>
      <c r="F49" s="688"/>
      <c r="G49" s="688"/>
      <c r="H49" s="688"/>
      <c r="I49" s="688"/>
      <c r="J49" s="688"/>
      <c r="K49" s="688"/>
      <c r="L49" s="688"/>
      <c r="M49" s="688"/>
      <c r="N49" s="688"/>
      <c r="O49" s="688"/>
      <c r="P49" s="688"/>
    </row>
  </sheetData>
  <phoneticPr fontId="30"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1:S48"/>
  <sheetViews>
    <sheetView zoomScale="85" zoomScaleNormal="85" workbookViewId="0">
      <pane ySplit="12" topLeftCell="A41" activePane="bottomLeft" state="frozen"/>
      <selection activeCell="A49" sqref="A1:XFD1048576"/>
      <selection pane="bottomLeft" activeCell="A49" sqref="A1:XFD1048576"/>
    </sheetView>
  </sheetViews>
  <sheetFormatPr defaultRowHeight="12.75"/>
  <cols>
    <col min="1" max="2" width="9.7109375" style="29" customWidth="1"/>
    <col min="3" max="3" width="11.42578125" style="29" customWidth="1"/>
    <col min="4" max="4" width="12.7109375" style="29" customWidth="1"/>
    <col min="5" max="5" width="14" style="29" customWidth="1"/>
    <col min="6" max="6" width="14.7109375" style="29" customWidth="1"/>
    <col min="7" max="7" width="10.7109375" style="29" customWidth="1"/>
    <col min="8" max="8" width="14.28515625" style="29" customWidth="1"/>
    <col min="9" max="9" width="12" style="29" customWidth="1"/>
    <col min="10" max="10" width="12.7109375" style="29" customWidth="1"/>
    <col min="11" max="11" width="14" style="29" customWidth="1"/>
    <col min="12" max="12" width="12.7109375" style="29" customWidth="1"/>
    <col min="13" max="13" width="9" style="29" customWidth="1"/>
    <col min="14" max="14" width="12" style="29" customWidth="1"/>
    <col min="15" max="15" width="12.7109375" style="29" customWidth="1"/>
    <col min="16" max="16" width="10.7109375" style="29" customWidth="1"/>
    <col min="17" max="16384" width="9.140625" style="29"/>
  </cols>
  <sheetData>
    <row r="1" spans="1:19" s="9" customFormat="1" ht="18" customHeight="1">
      <c r="A1" s="18" t="s">
        <v>1608</v>
      </c>
      <c r="B1" s="1337"/>
      <c r="C1" s="1337"/>
      <c r="D1" s="1337"/>
      <c r="E1" s="1337"/>
      <c r="F1" s="1337"/>
      <c r="G1" s="1337"/>
      <c r="H1" s="1337"/>
      <c r="I1" s="1337"/>
      <c r="J1" s="1337"/>
      <c r="K1" s="1337"/>
      <c r="L1" s="1337"/>
      <c r="M1" s="1337"/>
      <c r="N1" s="1337"/>
      <c r="O1" s="1337"/>
      <c r="P1" s="1337"/>
      <c r="Q1" s="31"/>
      <c r="R1" s="31"/>
      <c r="S1" s="31"/>
    </row>
    <row r="2" spans="1:19" s="9" customFormat="1" ht="18" customHeight="1">
      <c r="A2" s="1469" t="s">
        <v>1041</v>
      </c>
      <c r="B2" s="1470"/>
      <c r="C2" s="1470"/>
      <c r="D2" s="1470"/>
      <c r="E2" s="1470"/>
      <c r="F2" s="1470"/>
      <c r="G2" s="1470"/>
      <c r="H2" s="1470"/>
      <c r="I2" s="1470"/>
      <c r="J2" s="1470"/>
      <c r="K2" s="1470"/>
      <c r="L2" s="1470"/>
      <c r="M2" s="1470"/>
      <c r="N2" s="1470"/>
      <c r="O2" s="1470"/>
      <c r="P2" s="1470"/>
      <c r="Q2" s="31"/>
      <c r="R2" s="31"/>
      <c r="S2" s="31"/>
    </row>
    <row r="3" spans="1:19" s="9" customFormat="1" ht="18" customHeight="1">
      <c r="A3" s="1471" t="s">
        <v>1042</v>
      </c>
      <c r="B3" s="1470"/>
      <c r="C3" s="1470"/>
      <c r="D3" s="1470"/>
      <c r="E3" s="1470"/>
      <c r="F3" s="1470"/>
      <c r="G3" s="1470"/>
      <c r="H3" s="1470"/>
      <c r="I3" s="1470"/>
      <c r="J3" s="1470"/>
      <c r="K3" s="1470"/>
      <c r="L3" s="1470"/>
      <c r="M3" s="1470"/>
      <c r="N3" s="1470"/>
      <c r="O3" s="1470"/>
      <c r="P3" s="1470"/>
      <c r="Q3" s="31"/>
      <c r="R3" s="31"/>
      <c r="S3" s="31"/>
    </row>
    <row r="4" spans="1:19" s="9" customFormat="1" ht="18" customHeight="1">
      <c r="A4" s="18" t="s">
        <v>359</v>
      </c>
      <c r="B4" s="1337"/>
      <c r="C4" s="1337"/>
      <c r="D4" s="1337"/>
      <c r="E4" s="1337"/>
      <c r="F4" s="1337"/>
      <c r="G4" s="1337"/>
      <c r="H4" s="1337"/>
      <c r="I4" s="1337"/>
      <c r="J4" s="1337"/>
      <c r="K4" s="1337"/>
      <c r="L4" s="1337"/>
      <c r="M4" s="1337"/>
      <c r="N4" s="1337"/>
      <c r="O4" s="1337"/>
      <c r="P4" s="1337"/>
      <c r="Q4" s="31"/>
      <c r="R4" s="31"/>
      <c r="S4" s="31"/>
    </row>
    <row r="5" spans="1:19" ht="20.25" customHeight="1">
      <c r="A5" s="1472" t="s">
        <v>358</v>
      </c>
      <c r="B5" s="3"/>
      <c r="C5" s="3"/>
      <c r="D5" s="3"/>
      <c r="E5" s="3"/>
      <c r="F5" s="3"/>
      <c r="G5" s="3"/>
      <c r="H5" s="3"/>
      <c r="I5" s="3"/>
      <c r="J5" s="3"/>
      <c r="K5" s="3"/>
      <c r="L5" s="3"/>
      <c r="M5" s="3"/>
      <c r="N5" s="3"/>
      <c r="O5" s="3"/>
      <c r="P5" s="3"/>
    </row>
    <row r="6" spans="1:19" ht="13.7" customHeight="1">
      <c r="A6" s="9" t="s">
        <v>778</v>
      </c>
      <c r="O6" s="9"/>
      <c r="P6" s="9" t="s">
        <v>1044</v>
      </c>
    </row>
    <row r="7" spans="1:19" s="52" customFormat="1" ht="23.25" customHeight="1">
      <c r="A7" s="49"/>
      <c r="B7" s="50"/>
      <c r="C7" s="284" t="s">
        <v>824</v>
      </c>
      <c r="D7" s="45"/>
      <c r="E7" s="133"/>
      <c r="F7" s="133"/>
      <c r="G7" s="133"/>
      <c r="H7" s="1473" t="s">
        <v>825</v>
      </c>
      <c r="I7" s="1474" t="s">
        <v>1013</v>
      </c>
      <c r="J7" s="132"/>
      <c r="K7" s="133"/>
      <c r="L7" s="133"/>
      <c r="M7" s="133"/>
      <c r="N7" s="1473" t="s">
        <v>1014</v>
      </c>
      <c r="O7" s="1475"/>
      <c r="P7" s="1475"/>
    </row>
    <row r="8" spans="1:19" s="44" customFormat="1" ht="16.5" customHeight="1">
      <c r="A8" s="395" t="s">
        <v>364</v>
      </c>
      <c r="B8" s="88"/>
      <c r="D8" s="290" t="s">
        <v>481</v>
      </c>
      <c r="E8" s="290"/>
      <c r="F8" s="290" t="s">
        <v>371</v>
      </c>
      <c r="G8" s="396"/>
      <c r="I8" s="290"/>
      <c r="J8" s="290"/>
      <c r="K8" s="396" t="s">
        <v>989</v>
      </c>
      <c r="L8" s="290" t="s">
        <v>371</v>
      </c>
      <c r="M8" s="397"/>
      <c r="O8" s="69" t="s">
        <v>827</v>
      </c>
      <c r="P8" s="290" t="s">
        <v>990</v>
      </c>
    </row>
    <row r="9" spans="1:19" s="44" customFormat="1" ht="16.5" customHeight="1">
      <c r="A9" s="68" t="s">
        <v>372</v>
      </c>
      <c r="B9" s="80"/>
      <c r="C9" s="290" t="s">
        <v>418</v>
      </c>
      <c r="D9" s="291" t="s">
        <v>781</v>
      </c>
      <c r="E9" s="291" t="s">
        <v>376</v>
      </c>
      <c r="F9" s="291" t="s">
        <v>1015</v>
      </c>
      <c r="G9" s="103" t="s">
        <v>782</v>
      </c>
      <c r="H9" s="290" t="s">
        <v>1016</v>
      </c>
      <c r="I9" s="290" t="s">
        <v>418</v>
      </c>
      <c r="J9" s="86" t="s">
        <v>845</v>
      </c>
      <c r="K9" s="290" t="s">
        <v>991</v>
      </c>
      <c r="L9" s="291" t="s">
        <v>1015</v>
      </c>
      <c r="M9" s="397" t="s">
        <v>377</v>
      </c>
      <c r="N9" s="290" t="s">
        <v>367</v>
      </c>
      <c r="O9" s="290" t="s">
        <v>359</v>
      </c>
      <c r="P9" s="69" t="s">
        <v>992</v>
      </c>
    </row>
    <row r="10" spans="1:19" s="44" customFormat="1" ht="16.5" customHeight="1">
      <c r="A10" s="89"/>
      <c r="B10" s="80"/>
      <c r="C10" s="399"/>
      <c r="D10" s="115" t="s">
        <v>784</v>
      </c>
      <c r="E10" s="115" t="s">
        <v>455</v>
      </c>
      <c r="F10" s="115" t="s">
        <v>389</v>
      </c>
      <c r="G10" s="409"/>
      <c r="H10" s="245"/>
      <c r="I10" s="399"/>
      <c r="J10" s="115"/>
      <c r="K10" s="245" t="s">
        <v>995</v>
      </c>
      <c r="L10" s="115" t="s">
        <v>389</v>
      </c>
      <c r="M10" s="400"/>
      <c r="N10" s="245"/>
      <c r="O10" s="399" t="s">
        <v>378</v>
      </c>
      <c r="P10" s="399" t="s">
        <v>996</v>
      </c>
    </row>
    <row r="11" spans="1:19" s="44" customFormat="1" ht="16.5" customHeight="1">
      <c r="A11" s="89"/>
      <c r="B11" s="80"/>
      <c r="C11" s="399" t="s">
        <v>391</v>
      </c>
      <c r="D11" s="115" t="s">
        <v>786</v>
      </c>
      <c r="E11" s="115" t="s">
        <v>486</v>
      </c>
      <c r="F11" s="115" t="s">
        <v>396</v>
      </c>
      <c r="G11" s="115" t="s">
        <v>385</v>
      </c>
      <c r="H11" s="245" t="s">
        <v>378</v>
      </c>
      <c r="I11" s="245" t="s">
        <v>391</v>
      </c>
      <c r="J11" s="115" t="s">
        <v>786</v>
      </c>
      <c r="K11" s="69" t="s">
        <v>1000</v>
      </c>
      <c r="L11" s="115" t="s">
        <v>396</v>
      </c>
      <c r="M11" s="400" t="s">
        <v>385</v>
      </c>
      <c r="N11" s="245" t="s">
        <v>378</v>
      </c>
      <c r="O11" s="245" t="s">
        <v>358</v>
      </c>
      <c r="P11" s="245" t="s">
        <v>762</v>
      </c>
    </row>
    <row r="12" spans="1:19" s="44" customFormat="1" ht="16.5" customHeight="1">
      <c r="A12" s="94"/>
      <c r="B12" s="106"/>
      <c r="C12" s="403" t="s">
        <v>813</v>
      </c>
      <c r="D12" s="149"/>
      <c r="E12" s="404"/>
      <c r="F12" s="410"/>
      <c r="G12" s="149"/>
      <c r="H12" s="148"/>
      <c r="I12" s="148"/>
      <c r="J12" s="149"/>
      <c r="K12" s="140"/>
      <c r="L12" s="126"/>
      <c r="M12" s="149"/>
      <c r="N12" s="148"/>
      <c r="O12" s="148" t="s">
        <v>812</v>
      </c>
      <c r="P12" s="148" t="s">
        <v>1001</v>
      </c>
    </row>
    <row r="13" spans="1:19" s="381" customFormat="1" ht="20.25" customHeight="1">
      <c r="A13" s="432">
        <v>2010</v>
      </c>
      <c r="B13" s="821"/>
      <c r="C13" s="1476">
        <v>2764.7014452189837</v>
      </c>
      <c r="D13" s="1476">
        <v>6248.6292453713431</v>
      </c>
      <c r="E13" s="1476">
        <v>501.10503644902678</v>
      </c>
      <c r="F13" s="1476">
        <v>3575.6993401426007</v>
      </c>
      <c r="G13" s="1476">
        <v>433.92370075250113</v>
      </c>
      <c r="H13" s="1476">
        <v>13524.009047104451</v>
      </c>
      <c r="I13" s="1476">
        <v>3597.5121475797878</v>
      </c>
      <c r="J13" s="1476">
        <v>2093.002250442154</v>
      </c>
      <c r="K13" s="1476">
        <v>643.71935803854365</v>
      </c>
      <c r="L13" s="1476">
        <v>5477.2709335306245</v>
      </c>
      <c r="M13" s="1477">
        <v>21.01965309531915</v>
      </c>
      <c r="N13" s="1476">
        <v>11832.524342686429</v>
      </c>
      <c r="O13" s="1478">
        <v>25356.533389790889</v>
      </c>
      <c r="P13" s="1479" t="s">
        <v>606</v>
      </c>
      <c r="Q13" s="411">
        <f>H13-C13-D13-E13-F13-G13</f>
        <v>-4.9720830003423089E-2</v>
      </c>
      <c r="R13" s="411">
        <f>N13-I13-J13-K13-L13-M13</f>
        <v>-1.7763568394002505E-13</v>
      </c>
      <c r="S13" s="411">
        <f>O13-H13-N13</f>
        <v>0</v>
      </c>
    </row>
    <row r="14" spans="1:19" s="435" customFormat="1" ht="14.25" customHeight="1">
      <c r="A14" s="380">
        <v>2011</v>
      </c>
      <c r="B14" s="1378"/>
      <c r="C14" s="1480">
        <v>2432.9135417566854</v>
      </c>
      <c r="D14" s="1480">
        <v>6399.0019135643988</v>
      </c>
      <c r="E14" s="1481">
        <v>580.41960360372468</v>
      </c>
      <c r="F14" s="1481">
        <v>3001.7066117616246</v>
      </c>
      <c r="G14" s="1481">
        <v>407.78957312266044</v>
      </c>
      <c r="H14" s="1481">
        <v>12821.781243809091</v>
      </c>
      <c r="I14" s="1481">
        <v>3180.1613176604042</v>
      </c>
      <c r="J14" s="1480">
        <v>1918.2274105582073</v>
      </c>
      <c r="K14" s="1481">
        <v>1040.5448109533309</v>
      </c>
      <c r="L14" s="1481">
        <v>5421.5817183091749</v>
      </c>
      <c r="M14" s="1481">
        <v>314.9764225902926</v>
      </c>
      <c r="N14" s="1481">
        <v>11875.491680071409</v>
      </c>
      <c r="O14" s="1481">
        <v>24697.2729238805</v>
      </c>
      <c r="P14" s="1482" t="s">
        <v>606</v>
      </c>
      <c r="Q14" s="411">
        <v>-5.0000000002057732E-2</v>
      </c>
      <c r="R14" s="411">
        <v>-7.9580786405131221E-13</v>
      </c>
      <c r="S14" s="411">
        <v>0</v>
      </c>
    </row>
    <row r="15" spans="1:19" s="435" customFormat="1" ht="14.25" customHeight="1">
      <c r="A15" s="380">
        <v>2012</v>
      </c>
      <c r="B15" s="1378"/>
      <c r="C15" s="1480">
        <v>2447.0002555514257</v>
      </c>
      <c r="D15" s="1480">
        <v>7237.1520328657425</v>
      </c>
      <c r="E15" s="1481">
        <v>640.05390193018127</v>
      </c>
      <c r="F15" s="1481">
        <v>2781.6332353037628</v>
      </c>
      <c r="G15" s="1481">
        <v>556.53311717510633</v>
      </c>
      <c r="H15" s="1481">
        <v>13662.412542826218</v>
      </c>
      <c r="I15" s="1481">
        <v>3875.0044908486775</v>
      </c>
      <c r="J15" s="1480">
        <v>1907.8218143001066</v>
      </c>
      <c r="K15" s="1481">
        <v>978.96120476375654</v>
      </c>
      <c r="L15" s="1481">
        <v>5097.3028993654098</v>
      </c>
      <c r="M15" s="1481">
        <v>40.51571444542553</v>
      </c>
      <c r="N15" s="1481">
        <v>11899.606123723379</v>
      </c>
      <c r="O15" s="1481">
        <v>25562.018666549597</v>
      </c>
      <c r="P15" s="1482" t="s">
        <v>606</v>
      </c>
      <c r="Q15" s="411">
        <v>3.9999999999054126E-2</v>
      </c>
      <c r="R15" s="411">
        <v>2.3447910280083306E-12</v>
      </c>
      <c r="S15" s="411">
        <v>0</v>
      </c>
    </row>
    <row r="16" spans="1:19" s="435" customFormat="1" ht="14.25" customHeight="1">
      <c r="A16" s="380">
        <v>2013</v>
      </c>
      <c r="B16" s="1378"/>
      <c r="C16" s="1480">
        <v>2043.0130123659151</v>
      </c>
      <c r="D16" s="1480">
        <v>8147.4707889628089</v>
      </c>
      <c r="E16" s="1481">
        <v>840.22522261318011</v>
      </c>
      <c r="F16" s="1481">
        <v>2821.7295750088142</v>
      </c>
      <c r="G16" s="1481">
        <v>411.2499821900638</v>
      </c>
      <c r="H16" s="1481">
        <v>14263.638581140782</v>
      </c>
      <c r="I16" s="1481">
        <v>2423.2528451014059</v>
      </c>
      <c r="J16" s="1480">
        <v>1092.5690811145814</v>
      </c>
      <c r="K16" s="1481">
        <v>1060.3024904059273</v>
      </c>
      <c r="L16" s="1481">
        <v>4330.7286523518414</v>
      </c>
      <c r="M16" s="1481">
        <v>128.25418667542553</v>
      </c>
      <c r="N16" s="1481">
        <v>9035.157255649181</v>
      </c>
      <c r="O16" s="1481">
        <v>23298.795836789963</v>
      </c>
      <c r="P16" s="1482" t="s">
        <v>606</v>
      </c>
      <c r="Q16" s="411">
        <v>-4.9999999999783995E-2</v>
      </c>
      <c r="R16" s="411">
        <v>4.9999999999187139E-2</v>
      </c>
      <c r="S16" s="411">
        <v>0</v>
      </c>
    </row>
    <row r="17" spans="1:19" s="435" customFormat="1" ht="14.25" customHeight="1">
      <c r="A17" s="380">
        <v>2014</v>
      </c>
      <c r="B17" s="1378"/>
      <c r="C17" s="1480">
        <v>2277.3867330854441</v>
      </c>
      <c r="D17" s="1480">
        <v>8963.169139742693</v>
      </c>
      <c r="E17" s="1481">
        <v>973.8272853539645</v>
      </c>
      <c r="F17" s="1481">
        <v>3496.9094588531416</v>
      </c>
      <c r="G17" s="1481">
        <v>184.7206723096171</v>
      </c>
      <c r="H17" s="1481">
        <v>15896.013289344861</v>
      </c>
      <c r="I17" s="1481">
        <v>2374.2439703108971</v>
      </c>
      <c r="J17" s="1480">
        <v>1106.1890446688528</v>
      </c>
      <c r="K17" s="1481">
        <v>788.78105055176525</v>
      </c>
      <c r="L17" s="1481">
        <v>4613.2092809251517</v>
      </c>
      <c r="M17" s="1481">
        <v>116.6116044494681</v>
      </c>
      <c r="N17" s="1481">
        <v>8999.0349509061361</v>
      </c>
      <c r="O17" s="1481">
        <v>24895.048240251002</v>
      </c>
      <c r="P17" s="1482" t="s">
        <v>606</v>
      </c>
      <c r="Q17" s="411">
        <v>0</v>
      </c>
      <c r="R17" s="411">
        <v>2.5579538487363607E-13</v>
      </c>
      <c r="S17" s="411">
        <v>0</v>
      </c>
    </row>
    <row r="18" spans="1:19" s="435" customFormat="1" ht="14.25" customHeight="1">
      <c r="A18" s="380">
        <v>2015</v>
      </c>
      <c r="B18" s="1378"/>
      <c r="C18" s="1480">
        <v>2493.2296900471383</v>
      </c>
      <c r="D18" s="1480">
        <v>9095.0999406128321</v>
      </c>
      <c r="E18" s="1481">
        <v>1022.366587295185</v>
      </c>
      <c r="F18" s="1481">
        <v>3275.1364228779848</v>
      </c>
      <c r="G18" s="1481">
        <v>748.38780354489381</v>
      </c>
      <c r="H18" s="1481">
        <v>16634.170444378033</v>
      </c>
      <c r="I18" s="1481">
        <v>2266.7927742960314</v>
      </c>
      <c r="J18" s="1480">
        <v>1084.1339149047376</v>
      </c>
      <c r="K18" s="1481">
        <v>768.69198213070138</v>
      </c>
      <c r="L18" s="1481">
        <v>4407.5056466954065</v>
      </c>
      <c r="M18" s="1481">
        <v>181.17465715515158</v>
      </c>
      <c r="N18" s="1481">
        <v>8708.2989751820296</v>
      </c>
      <c r="O18" s="1481">
        <v>25342.46941956006</v>
      </c>
      <c r="P18" s="1482" t="s">
        <v>606</v>
      </c>
      <c r="Q18" s="411">
        <v>-5.0000000000636646E-2</v>
      </c>
      <c r="R18" s="411">
        <v>1.4210854715202004E-12</v>
      </c>
      <c r="S18" s="411">
        <v>0</v>
      </c>
    </row>
    <row r="19" spans="1:19" s="435" customFormat="1" ht="14.25" customHeight="1">
      <c r="A19" s="380">
        <v>2016</v>
      </c>
      <c r="B19" s="1378"/>
      <c r="C19" s="1480">
        <v>2808.1265450605624</v>
      </c>
      <c r="D19" s="1480">
        <v>9657.9580489980453</v>
      </c>
      <c r="E19" s="1481">
        <v>1543.2992124664511</v>
      </c>
      <c r="F19" s="1481">
        <v>3124.2201250677854</v>
      </c>
      <c r="G19" s="1481">
        <v>650.68248832766426</v>
      </c>
      <c r="H19" s="1481">
        <v>17784.276419920512</v>
      </c>
      <c r="I19" s="1481">
        <v>2170.6594328236256</v>
      </c>
      <c r="J19" s="1480">
        <v>1316.8800125930354</v>
      </c>
      <c r="K19" s="1481">
        <v>754.59398919997318</v>
      </c>
      <c r="L19" s="1481">
        <v>3946.7296395681483</v>
      </c>
      <c r="M19" s="1481">
        <v>317.25815851613697</v>
      </c>
      <c r="N19" s="1481">
        <v>8506.2012327009215</v>
      </c>
      <c r="O19" s="1481">
        <v>26290.47765262143</v>
      </c>
      <c r="P19" s="1482" t="s">
        <v>606</v>
      </c>
      <c r="Q19" s="411">
        <v>-9.9999999963529262E-3</v>
      </c>
      <c r="R19" s="411">
        <v>8.0000000001291482E-2</v>
      </c>
      <c r="S19" s="411">
        <v>0</v>
      </c>
    </row>
    <row r="20" spans="1:19" s="435" customFormat="1" ht="14.25" customHeight="1">
      <c r="A20" s="380">
        <v>2017</v>
      </c>
      <c r="B20" s="1378"/>
      <c r="C20" s="1480">
        <v>2782.4644292720213</v>
      </c>
      <c r="D20" s="1480">
        <v>10523.743100082333</v>
      </c>
      <c r="E20" s="1481">
        <v>1449.1910483419003</v>
      </c>
      <c r="F20" s="1481">
        <v>3422.8719105847936</v>
      </c>
      <c r="G20" s="1481">
        <v>684.43174972046609</v>
      </c>
      <c r="H20" s="1481">
        <v>18862.702238001511</v>
      </c>
      <c r="I20" s="1481">
        <v>2189.6096609167271</v>
      </c>
      <c r="J20" s="1480">
        <v>1567.0330521168528</v>
      </c>
      <c r="K20" s="1481">
        <v>408.67949108830442</v>
      </c>
      <c r="L20" s="1481">
        <v>3433.0369736222387</v>
      </c>
      <c r="M20" s="1481">
        <v>284.45918301779483</v>
      </c>
      <c r="N20" s="1481">
        <v>7882.8183607619176</v>
      </c>
      <c r="O20" s="1481">
        <v>26745.520598763429</v>
      </c>
      <c r="P20" s="1482" t="s">
        <v>606</v>
      </c>
      <c r="Q20" s="411">
        <v>-3.637978807091713E-12</v>
      </c>
      <c r="R20" s="411">
        <v>0</v>
      </c>
      <c r="S20" s="411">
        <v>0</v>
      </c>
    </row>
    <row r="21" spans="1:19" s="411" customFormat="1" ht="14.25" customHeight="1">
      <c r="A21" s="905">
        <v>2018</v>
      </c>
      <c r="B21" s="906"/>
      <c r="C21" s="907">
        <f t="shared" ref="C21:P21" si="0">C25</f>
        <v>3298.3922684051067</v>
      </c>
      <c r="D21" s="907">
        <f t="shared" si="0"/>
        <v>10658.32677088996</v>
      </c>
      <c r="E21" s="750">
        <f t="shared" si="0"/>
        <v>1457.8572165731014</v>
      </c>
      <c r="F21" s="750">
        <f t="shared" si="0"/>
        <v>3287.5838046594868</v>
      </c>
      <c r="G21" s="750">
        <f t="shared" si="0"/>
        <v>917.54257493251066</v>
      </c>
      <c r="H21" s="750">
        <f t="shared" si="0"/>
        <v>19619.722635460166</v>
      </c>
      <c r="I21" s="750">
        <f t="shared" si="0"/>
        <v>2411.7194159203059</v>
      </c>
      <c r="J21" s="907">
        <f t="shared" si="0"/>
        <v>1877.0206727024197</v>
      </c>
      <c r="K21" s="750">
        <f t="shared" si="0"/>
        <v>368.46042397555516</v>
      </c>
      <c r="L21" s="750">
        <f t="shared" si="0"/>
        <v>3356.4228835296044</v>
      </c>
      <c r="M21" s="750">
        <f t="shared" si="0"/>
        <v>294.87963241310479</v>
      </c>
      <c r="N21" s="750">
        <f t="shared" si="0"/>
        <v>8308.4730285409896</v>
      </c>
      <c r="O21" s="750">
        <f t="shared" si="0"/>
        <v>27928.195664001156</v>
      </c>
      <c r="P21" s="908" t="str">
        <f t="shared" si="0"/>
        <v>N/A</v>
      </c>
      <c r="Q21" s="411">
        <f>H21-C21-D21-E21-F21-G21</f>
        <v>2.0000000000663931E-2</v>
      </c>
      <c r="R21" s="411">
        <f>N21-I21-J21-K21-L21-M21</f>
        <v>-3.0000000000995897E-2</v>
      </c>
      <c r="S21" s="411">
        <f>O21-H21-N21</f>
        <v>0</v>
      </c>
    </row>
    <row r="22" spans="1:19" s="411" customFormat="1" ht="14.25" customHeight="1">
      <c r="A22" s="1193">
        <v>2019</v>
      </c>
      <c r="B22" s="1483"/>
      <c r="C22" s="1484">
        <f t="shared" ref="C22:P22" si="1">C29</f>
        <v>2648.1251509171325</v>
      </c>
      <c r="D22" s="1484">
        <f t="shared" si="1"/>
        <v>12215.44044754835</v>
      </c>
      <c r="E22" s="1485">
        <f t="shared" si="1"/>
        <v>1465.4896821406587</v>
      </c>
      <c r="F22" s="1485">
        <f t="shared" si="1"/>
        <v>3528.6022478184514</v>
      </c>
      <c r="G22" s="1485">
        <f t="shared" si="1"/>
        <v>1091.1179279307084</v>
      </c>
      <c r="H22" s="1485">
        <f t="shared" si="1"/>
        <v>20948.745456355307</v>
      </c>
      <c r="I22" s="1485">
        <f t="shared" si="1"/>
        <v>5246.9232433291145</v>
      </c>
      <c r="J22" s="1484">
        <f t="shared" si="1"/>
        <v>1981.6908049802964</v>
      </c>
      <c r="K22" s="1485">
        <f t="shared" si="1"/>
        <v>471.99059004027674</v>
      </c>
      <c r="L22" s="1485">
        <f t="shared" si="1"/>
        <v>3197.5152318289965</v>
      </c>
      <c r="M22" s="1485">
        <f t="shared" si="1"/>
        <v>235.7177895254012</v>
      </c>
      <c r="N22" s="1485">
        <f t="shared" si="1"/>
        <v>11133.887659704085</v>
      </c>
      <c r="O22" s="1485">
        <f t="shared" si="1"/>
        <v>32082.633116059391</v>
      </c>
      <c r="P22" s="1486" t="str">
        <f t="shared" si="1"/>
        <v>N/A</v>
      </c>
      <c r="Q22" s="411">
        <f>H22-C22-D22-E22-F22-G22</f>
        <v>-2.9999999991105142E-2</v>
      </c>
      <c r="R22" s="411">
        <f>N22-I22-J22-K22-L22-M22</f>
        <v>4.9999999999783995E-2</v>
      </c>
      <c r="S22" s="411">
        <f>O22-H22-N22</f>
        <v>0</v>
      </c>
    </row>
    <row r="23" spans="1:19" s="411" customFormat="1" ht="20.25" customHeight="1">
      <c r="A23" s="905">
        <v>2018</v>
      </c>
      <c r="B23" s="906" t="s">
        <v>223</v>
      </c>
      <c r="C23" s="907">
        <v>3125.0035240780217</v>
      </c>
      <c r="D23" s="907">
        <v>10725.685412956454</v>
      </c>
      <c r="E23" s="750">
        <v>1291.3361372027605</v>
      </c>
      <c r="F23" s="750">
        <v>3235.7558529218018</v>
      </c>
      <c r="G23" s="750">
        <v>757.11738630247692</v>
      </c>
      <c r="H23" s="750">
        <v>19134.898313461515</v>
      </c>
      <c r="I23" s="750">
        <v>2031.4302165403526</v>
      </c>
      <c r="J23" s="907">
        <v>1753.123594901255</v>
      </c>
      <c r="K23" s="750">
        <v>373.17806955211915</v>
      </c>
      <c r="L23" s="750">
        <v>3493.3692911847224</v>
      </c>
      <c r="M23" s="750">
        <v>304.3937195517218</v>
      </c>
      <c r="N23" s="750">
        <v>7955.4948917301699</v>
      </c>
      <c r="O23" s="750">
        <v>27090.393205191685</v>
      </c>
      <c r="P23" s="908" t="s">
        <v>606</v>
      </c>
      <c r="Q23" s="411">
        <f t="shared" ref="Q23" si="2">H23-C23-D23-E23-F23-G23</f>
        <v>0</v>
      </c>
      <c r="R23" s="411">
        <f t="shared" ref="R23" si="3">N23-I23-J23-K23-L23-M23</f>
        <v>-1.2505552149377763E-12</v>
      </c>
      <c r="S23" s="411">
        <f t="shared" ref="S23" si="4">O23-H23-N23</f>
        <v>0</v>
      </c>
    </row>
    <row r="24" spans="1:19" s="411" customFormat="1" ht="14.25" customHeight="1">
      <c r="A24" s="905"/>
      <c r="B24" s="906" t="s">
        <v>224</v>
      </c>
      <c r="C24" s="907">
        <v>3093.3122563788929</v>
      </c>
      <c r="D24" s="907">
        <v>10613.87723988674</v>
      </c>
      <c r="E24" s="750">
        <v>1363.4530538667816</v>
      </c>
      <c r="F24" s="750">
        <v>3329.8203111330481</v>
      </c>
      <c r="G24" s="750">
        <v>830.05674650076935</v>
      </c>
      <c r="H24" s="750">
        <v>19230.559607766238</v>
      </c>
      <c r="I24" s="750">
        <v>1965.282734379952</v>
      </c>
      <c r="J24" s="907">
        <v>2199.5306216400309</v>
      </c>
      <c r="K24" s="750">
        <v>358.05595409918294</v>
      </c>
      <c r="L24" s="750">
        <v>3456.5017735804172</v>
      </c>
      <c r="M24" s="750">
        <v>370.99599027512608</v>
      </c>
      <c r="N24" s="750">
        <v>8350.3570739747083</v>
      </c>
      <c r="O24" s="750">
        <v>27580.966681740945</v>
      </c>
      <c r="P24" s="908" t="s">
        <v>606</v>
      </c>
      <c r="Q24" s="411">
        <v>4.0000000005420588E-2</v>
      </c>
      <c r="R24" s="411">
        <v>-1.0000000000161435E-2</v>
      </c>
      <c r="S24" s="411">
        <v>4.9999999999272404E-2</v>
      </c>
    </row>
    <row r="25" spans="1:19" s="411" customFormat="1" ht="14.25" customHeight="1">
      <c r="A25" s="905"/>
      <c r="B25" s="906" t="s">
        <v>225</v>
      </c>
      <c r="C25" s="907">
        <v>3298.3922684051067</v>
      </c>
      <c r="D25" s="907">
        <v>10658.32677088996</v>
      </c>
      <c r="E25" s="750">
        <v>1457.8572165731014</v>
      </c>
      <c r="F25" s="750">
        <v>3287.5838046594868</v>
      </c>
      <c r="G25" s="750">
        <v>917.54257493251066</v>
      </c>
      <c r="H25" s="750">
        <v>19619.722635460166</v>
      </c>
      <c r="I25" s="750">
        <v>2411.7194159203059</v>
      </c>
      <c r="J25" s="907">
        <v>1877.0206727024197</v>
      </c>
      <c r="K25" s="750">
        <v>368.46042397555516</v>
      </c>
      <c r="L25" s="750">
        <v>3356.4228835296044</v>
      </c>
      <c r="M25" s="750">
        <v>294.87963241310479</v>
      </c>
      <c r="N25" s="750">
        <v>8308.4730285409896</v>
      </c>
      <c r="O25" s="750">
        <v>27928.195664001156</v>
      </c>
      <c r="P25" s="908" t="s">
        <v>606</v>
      </c>
      <c r="Q25" s="411">
        <v>2.0000000000663931E-2</v>
      </c>
      <c r="R25" s="411">
        <v>-3.0000000000995897E-2</v>
      </c>
      <c r="S25" s="411">
        <v>0</v>
      </c>
    </row>
    <row r="26" spans="1:19" s="411" customFormat="1" ht="20.25" customHeight="1">
      <c r="A26" s="905">
        <v>2019</v>
      </c>
      <c r="B26" s="906" t="s">
        <v>222</v>
      </c>
      <c r="C26" s="907">
        <v>2963.8146678468938</v>
      </c>
      <c r="D26" s="907">
        <v>11844.244869476652</v>
      </c>
      <c r="E26" s="750">
        <v>1587.6581004576055</v>
      </c>
      <c r="F26" s="750">
        <v>3190.1496265491664</v>
      </c>
      <c r="G26" s="750">
        <v>951.15477285944678</v>
      </c>
      <c r="H26" s="750">
        <v>20537.022037189763</v>
      </c>
      <c r="I26" s="750">
        <v>2760.0869086368757</v>
      </c>
      <c r="J26" s="907">
        <v>2418.5540596620262</v>
      </c>
      <c r="K26" s="750">
        <v>665.79814335337323</v>
      </c>
      <c r="L26" s="750">
        <v>3348.3112929083009</v>
      </c>
      <c r="M26" s="750">
        <v>330.59823992492244</v>
      </c>
      <c r="N26" s="750">
        <v>9523.3586444854973</v>
      </c>
      <c r="O26" s="750">
        <v>30060.370681675264</v>
      </c>
      <c r="P26" s="908" t="s">
        <v>606</v>
      </c>
      <c r="Q26" s="411">
        <v>-2.1600499167107046E-12</v>
      </c>
      <c r="R26" s="411">
        <v>9.9999999992519406E-3</v>
      </c>
      <c r="S26" s="411">
        <v>-9.9999999965802999E-3</v>
      </c>
    </row>
    <row r="27" spans="1:19" s="411" customFormat="1" ht="14.25" customHeight="1">
      <c r="A27" s="905"/>
      <c r="B27" s="906" t="s">
        <v>223</v>
      </c>
      <c r="C27" s="907">
        <f t="shared" ref="C27:O27" si="5">C33</f>
        <v>2496.9921406510211</v>
      </c>
      <c r="D27" s="907">
        <f t="shared" si="5"/>
        <v>11710.30041435448</v>
      </c>
      <c r="E27" s="750">
        <f t="shared" si="5"/>
        <v>1544.0714435175619</v>
      </c>
      <c r="F27" s="750">
        <f t="shared" si="5"/>
        <v>3493.5203754970448</v>
      </c>
      <c r="G27" s="750">
        <f t="shared" si="5"/>
        <v>1022.4782133266435</v>
      </c>
      <c r="H27" s="750">
        <f t="shared" si="5"/>
        <v>20267.412587346756</v>
      </c>
      <c r="I27" s="750">
        <f t="shared" si="5"/>
        <v>4668.7684381583258</v>
      </c>
      <c r="J27" s="907">
        <f t="shared" si="5"/>
        <v>1713.3324467682442</v>
      </c>
      <c r="K27" s="750">
        <f t="shared" si="5"/>
        <v>523.30460741180684</v>
      </c>
      <c r="L27" s="750">
        <f t="shared" si="5"/>
        <v>3347.6387524591946</v>
      </c>
      <c r="M27" s="750">
        <f t="shared" si="5"/>
        <v>217.14728327024167</v>
      </c>
      <c r="N27" s="750">
        <f t="shared" si="5"/>
        <v>10470.071528067816</v>
      </c>
      <c r="O27" s="750">
        <f t="shared" si="5"/>
        <v>30737.54411541457</v>
      </c>
      <c r="P27" s="908" t="s">
        <v>606</v>
      </c>
      <c r="Q27" s="411">
        <f t="shared" ref="Q27" si="6">H27-C27-D27-E27-F27-G27</f>
        <v>5.0000000004274625E-2</v>
      </c>
      <c r="R27" s="411">
        <f t="shared" ref="R27" si="7">N27-I27-J27-K27-L27-M27</f>
        <v>-0.11999999999724764</v>
      </c>
      <c r="S27" s="411">
        <f t="shared" ref="S27" si="8">O27-H27-N27</f>
        <v>5.9999999997671694E-2</v>
      </c>
    </row>
    <row r="28" spans="1:19" s="411" customFormat="1" ht="14.25" customHeight="1">
      <c r="A28" s="905"/>
      <c r="B28" s="906" t="s">
        <v>224</v>
      </c>
      <c r="C28" s="907">
        <f t="shared" ref="C28:O28" si="9">C36</f>
        <v>2563.345220610915</v>
      </c>
      <c r="D28" s="907">
        <f t="shared" si="9"/>
        <v>11748.404333020724</v>
      </c>
      <c r="E28" s="750">
        <f t="shared" si="9"/>
        <v>1507.2367467546837</v>
      </c>
      <c r="F28" s="750">
        <f t="shared" si="9"/>
        <v>3463.2674679147522</v>
      </c>
      <c r="G28" s="750">
        <f t="shared" si="9"/>
        <v>1021.4798869130075</v>
      </c>
      <c r="H28" s="750">
        <f t="shared" si="9"/>
        <v>20303.733655214084</v>
      </c>
      <c r="I28" s="750">
        <f t="shared" si="9"/>
        <v>5113.4842635398272</v>
      </c>
      <c r="J28" s="907">
        <f t="shared" si="9"/>
        <v>1992.1324187442287</v>
      </c>
      <c r="K28" s="750">
        <f t="shared" si="9"/>
        <v>460.56993740938668</v>
      </c>
      <c r="L28" s="750">
        <f t="shared" si="9"/>
        <v>3171.027969064492</v>
      </c>
      <c r="M28" s="750">
        <f t="shared" si="9"/>
        <v>237.19120954162463</v>
      </c>
      <c r="N28" s="750">
        <f t="shared" si="9"/>
        <v>10974.40579829956</v>
      </c>
      <c r="O28" s="750">
        <f t="shared" si="9"/>
        <v>31278.139453513646</v>
      </c>
      <c r="P28" s="908" t="s">
        <v>606</v>
      </c>
      <c r="Q28" s="411">
        <f t="shared" ref="Q28" si="10">H28-C28-D28-E28-F28-G28</f>
        <v>2.5011104298755527E-12</v>
      </c>
      <c r="R28" s="411">
        <f t="shared" ref="R28" si="11">N28-I28-J28-K28-L28-M28</f>
        <v>9.0949470177292824E-13</v>
      </c>
      <c r="S28" s="411">
        <f t="shared" ref="S28" si="12">O28-H28-N28</f>
        <v>0</v>
      </c>
    </row>
    <row r="29" spans="1:19" s="411" customFormat="1" ht="14.25" customHeight="1">
      <c r="A29" s="905"/>
      <c r="B29" s="906" t="s">
        <v>225</v>
      </c>
      <c r="C29" s="907">
        <f t="shared" ref="C29:O29" si="13">C39</f>
        <v>2648.1251509171325</v>
      </c>
      <c r="D29" s="907">
        <f t="shared" si="13"/>
        <v>12215.44044754835</v>
      </c>
      <c r="E29" s="750">
        <f t="shared" si="13"/>
        <v>1465.4896821406587</v>
      </c>
      <c r="F29" s="750">
        <f t="shared" si="13"/>
        <v>3528.6022478184514</v>
      </c>
      <c r="G29" s="750">
        <f t="shared" si="13"/>
        <v>1091.1179279307084</v>
      </c>
      <c r="H29" s="750">
        <f t="shared" si="13"/>
        <v>20948.745456355307</v>
      </c>
      <c r="I29" s="750">
        <f t="shared" si="13"/>
        <v>5246.9232433291145</v>
      </c>
      <c r="J29" s="907">
        <f t="shared" si="13"/>
        <v>1981.6908049802964</v>
      </c>
      <c r="K29" s="750">
        <f t="shared" si="13"/>
        <v>471.99059004027674</v>
      </c>
      <c r="L29" s="750">
        <f t="shared" si="13"/>
        <v>3197.5152318289965</v>
      </c>
      <c r="M29" s="750">
        <f t="shared" si="13"/>
        <v>235.7177895254012</v>
      </c>
      <c r="N29" s="750">
        <f t="shared" si="13"/>
        <v>11133.887659704085</v>
      </c>
      <c r="O29" s="750">
        <f t="shared" si="13"/>
        <v>32082.633116059391</v>
      </c>
      <c r="P29" s="908" t="s">
        <v>606</v>
      </c>
      <c r="Q29" s="411">
        <f t="shared" ref="Q29" si="14">H29-C29-D29-E29-F29-G29</f>
        <v>-2.9999999991105142E-2</v>
      </c>
      <c r="R29" s="411">
        <f t="shared" ref="R29" si="15">N29-I29-J29-K29-L29-M29</f>
        <v>4.9999999999783995E-2</v>
      </c>
      <c r="S29" s="411">
        <f t="shared" ref="S29" si="16">O29-H29-N29</f>
        <v>0</v>
      </c>
    </row>
    <row r="30" spans="1:19" s="411" customFormat="1" ht="21" customHeight="1">
      <c r="A30" s="1193">
        <v>2020</v>
      </c>
      <c r="B30" s="1483" t="s">
        <v>222</v>
      </c>
      <c r="C30" s="1484">
        <f t="shared" ref="C30:O30" si="17">C42</f>
        <v>2668.2136709401416</v>
      </c>
      <c r="D30" s="1484">
        <f t="shared" si="17"/>
        <v>12341.843419121064</v>
      </c>
      <c r="E30" s="1485">
        <f t="shared" si="17"/>
        <v>1462.376088035468</v>
      </c>
      <c r="F30" s="1485">
        <f t="shared" si="17"/>
        <v>3322.0177099781185</v>
      </c>
      <c r="G30" s="1485">
        <f t="shared" si="17"/>
        <v>1305.0625094679358</v>
      </c>
      <c r="H30" s="1485">
        <f t="shared" si="17"/>
        <v>21099.478061522728</v>
      </c>
      <c r="I30" s="1485">
        <f t="shared" si="17"/>
        <v>5232.451894178751</v>
      </c>
      <c r="J30" s="1484">
        <f t="shared" si="17"/>
        <v>2421.8043944114415</v>
      </c>
      <c r="K30" s="1485">
        <f t="shared" si="17"/>
        <v>504.69809597601744</v>
      </c>
      <c r="L30" s="1485">
        <f t="shared" si="17"/>
        <v>3071.4125198328697</v>
      </c>
      <c r="M30" s="1485">
        <f t="shared" si="17"/>
        <v>205.91834531528846</v>
      </c>
      <c r="N30" s="1485">
        <f t="shared" si="17"/>
        <v>11436.285249714369</v>
      </c>
      <c r="O30" s="1485">
        <f t="shared" si="17"/>
        <v>32535.763311237097</v>
      </c>
      <c r="P30" s="1486" t="s">
        <v>606</v>
      </c>
      <c r="Q30" s="411">
        <f t="shared" ref="Q30" si="18">H30-C30-D30-E30-F30-G30</f>
        <v>-3.5336019999249402E-2</v>
      </c>
      <c r="R30" s="411">
        <f t="shared" ref="R30" si="19">N30-I30-J30-K30-L30-M30</f>
        <v>0</v>
      </c>
      <c r="S30" s="411">
        <f t="shared" ref="S30" si="20">O30-H30-N30</f>
        <v>0</v>
      </c>
    </row>
    <row r="31" spans="1:19" s="411" customFormat="1" ht="20.25" customHeight="1">
      <c r="A31" s="905">
        <v>2019</v>
      </c>
      <c r="B31" s="906" t="s">
        <v>399</v>
      </c>
      <c r="C31" s="907">
        <f>SUM('[58]1'!$C$14:$D$14)+SUM('[58]1'!$C$18:$D$18)+SUM('[58]1'!$C$30:$D$30)+SUM('[58]1'!$C$33:$D$33)</f>
        <v>2532.9313613165323</v>
      </c>
      <c r="D31" s="907">
        <f>SUM('[58]1'!$C$25:$D$29)</f>
        <v>12362.175552486267</v>
      </c>
      <c r="E31" s="750">
        <f>SUM('[58]1'!$C$23:$D$24)</f>
        <v>1483.8875899805798</v>
      </c>
      <c r="F31" s="750">
        <f>SUM('[58]1'!$C$34:$D$34)+SUM('[58]1'!$C$36:$D$36)-0.02</f>
        <v>3192.8367921479507</v>
      </c>
      <c r="G31" s="750">
        <f>SUM('[58]1'!$C$31:$D$31)+SUM('[58]1'!$C$37:$D$37)</f>
        <v>892.87793516214003</v>
      </c>
      <c r="H31" s="750">
        <f>SUM('[58]1'!$C$38:$D$38)</f>
        <v>20464.729231093472</v>
      </c>
      <c r="I31" s="750">
        <f>SUM('[58]1'!$E$14:$H$14)+SUM('[58]1'!$E$18:$H$18)+SUM('[58]1'!$E$30:$H$30)</f>
        <v>2603.9204053502417</v>
      </c>
      <c r="J31" s="907">
        <f>SUM('[58]1'!$E$22:$H$22)</f>
        <v>2828.4500861057932</v>
      </c>
      <c r="K31" s="750">
        <f>SUM('[58]1'!$E$33:$H$33)</f>
        <v>441.34171792022164</v>
      </c>
      <c r="L31" s="750">
        <f>SUM('[58]1'!$E$34:$H$34)+SUM('[58]1'!$E$36:$H$36)</f>
        <v>3354.7558758040395</v>
      </c>
      <c r="M31" s="750">
        <f>SUM('[58]1'!$E$31:$H$31)+SUM('[58]1'!$E$32:$H$32)+SUM('[58]1'!$E$37:$H$37)</f>
        <v>339.00030686194373</v>
      </c>
      <c r="N31" s="750">
        <f>SUM('[58]1'!$E$38:$H$38)</f>
        <v>9567.4683920422394</v>
      </c>
      <c r="O31" s="750">
        <f>'[58]1'!$I$38</f>
        <v>30032.197623135704</v>
      </c>
      <c r="P31" s="908" t="s">
        <v>606</v>
      </c>
      <c r="Q31" s="411">
        <f t="shared" ref="Q31" si="21">H31-C31-D31-E31-F31-G31</f>
        <v>2.0000000001459739E-2</v>
      </c>
      <c r="R31" s="411">
        <f t="shared" ref="R31" si="22">N31-I31-J31-K31-L31-M31</f>
        <v>0</v>
      </c>
      <c r="S31" s="411">
        <f t="shared" ref="S31" si="23">O31-H31-N31</f>
        <v>0</v>
      </c>
    </row>
    <row r="32" spans="1:19" s="411" customFormat="1" ht="14.25" customHeight="1">
      <c r="A32" s="905"/>
      <c r="B32" s="906" t="s">
        <v>400</v>
      </c>
      <c r="C32" s="907">
        <f>SUM('[59]1'!$C$14:$D$14)+SUM('[59]1'!$C$18:$D$18)+SUM('[59]1'!$C$30:$D$30)+SUM('[59]1'!$C$33:$D$33)</f>
        <v>2493.4677702203408</v>
      </c>
      <c r="D32" s="907">
        <f>SUM('[59]1'!$C$25:$D$29)</f>
        <v>11819.480119821226</v>
      </c>
      <c r="E32" s="750">
        <f>SUM('[59]1'!$C$23:$D$24)</f>
        <v>1555.7934482524217</v>
      </c>
      <c r="F32" s="750">
        <f>SUM('[59]1'!$C$34:$D$34)+SUM('[59]1'!$C$36:$D$36)</f>
        <v>3456.5997873526685</v>
      </c>
      <c r="G32" s="750">
        <f>SUM('[59]1'!$C$31:$D$31)+SUM('[59]1'!$C$37:$D$37)-0.05</f>
        <v>1070.2075624274701</v>
      </c>
      <c r="H32" s="750">
        <f>SUM('[59]1'!$C$38:$D$38)</f>
        <v>20395.598688074126</v>
      </c>
      <c r="I32" s="750">
        <f>SUM('[59]1'!$E$14:$H$14)+SUM('[59]1'!$E$18:$H$18)+SUM('[59]1'!$E$30:$H$30)</f>
        <v>4739.0824737313515</v>
      </c>
      <c r="J32" s="907">
        <f>SUM('[59]1'!$E$22:$H$22)</f>
        <v>1701.0124940187379</v>
      </c>
      <c r="K32" s="750">
        <f>SUM('[59]1'!$E$33:$H$33)</f>
        <v>493.60850572626146</v>
      </c>
      <c r="L32" s="750">
        <f>SUM('[59]1'!$E$34:$H$34)+SUM('[59]1'!$E$36:$H$36)</f>
        <v>3367.5267267731392</v>
      </c>
      <c r="M32" s="750">
        <f>SUM('[59]1'!$E$31:$H$31)+SUM('[59]1'!$E$32:$H$32)+SUM('[59]1'!$E$37:$H$37)</f>
        <v>203.2391042418374</v>
      </c>
      <c r="N32" s="750">
        <f>SUM('[59]1'!$E$38:$H$38)-0.05</f>
        <v>10504.419304491326</v>
      </c>
      <c r="O32" s="750">
        <f>'[59]1'!$I$38-0.05</f>
        <v>30900.017992565452</v>
      </c>
      <c r="P32" s="908" t="s">
        <v>606</v>
      </c>
      <c r="Q32" s="411">
        <f t="shared" ref="Q32" si="24">H32-C32-D32-E32-F32-G32</f>
        <v>4.9999999998590283E-2</v>
      </c>
      <c r="R32" s="411">
        <f t="shared" ref="R32" si="25">N32-I32-J32-K32-L32-M32</f>
        <v>-5.0000000001347189E-2</v>
      </c>
      <c r="S32" s="411">
        <f t="shared" ref="S32" si="26">O32-H32-N32</f>
        <v>0</v>
      </c>
    </row>
    <row r="33" spans="1:19" s="411" customFormat="1" ht="14.25" customHeight="1">
      <c r="A33" s="905"/>
      <c r="B33" s="906" t="s">
        <v>401</v>
      </c>
      <c r="C33" s="907">
        <f>SUM('[60]1'!$C$14:$D$14)+SUM('[60]1'!$C$18:$D$18)+SUM('[60]1'!$C$30:$D$30)+SUM('[60]1'!$C$33:$D$33)</f>
        <v>2496.9921406510211</v>
      </c>
      <c r="D33" s="907">
        <f>SUM('[60]1'!$C$25:$D$29)</f>
        <v>11710.30041435448</v>
      </c>
      <c r="E33" s="750">
        <f>SUM('[60]1'!$C$23:$D$24)</f>
        <v>1544.0714435175619</v>
      </c>
      <c r="F33" s="750">
        <f>SUM('[60]1'!$C$34:$D$34)+SUM('[60]1'!$C$36:$D$36)-0.05</f>
        <v>3493.5203754970448</v>
      </c>
      <c r="G33" s="750">
        <f>SUM('[60]1'!$C$31:$D$31)+SUM('[60]1'!$C$37:$D$37)-0.05</f>
        <v>1022.4782133266435</v>
      </c>
      <c r="H33" s="750">
        <f>SUM('[60]1'!$C$38:$D$38)-0.05</f>
        <v>20267.412587346756</v>
      </c>
      <c r="I33" s="750">
        <f>SUM('[60]1'!$E$14:$H$14)+SUM('[60]1'!$E$18:$H$18)+SUM('[60]1'!$E$30:$H$30)-0.05</f>
        <v>4668.7684381583258</v>
      </c>
      <c r="J33" s="907">
        <f>SUM('[60]1'!$E$22:$H$22)</f>
        <v>1713.3324467682442</v>
      </c>
      <c r="K33" s="750">
        <f>SUM('[60]1'!$E$33:$H$33)</f>
        <v>523.30460741180684</v>
      </c>
      <c r="L33" s="750">
        <f>SUM('[60]1'!$E$34:$H$34)+SUM('[60]1'!$E$36:$H$36)-0.03</f>
        <v>3347.6387524591946</v>
      </c>
      <c r="M33" s="750">
        <f>SUM('[60]1'!$E$31:$H$31)+SUM('[60]1'!$E$32:$H$32)+SUM('[60]1'!$E$37:$H$37)</f>
        <v>217.14728327024167</v>
      </c>
      <c r="N33" s="750">
        <f>SUM('[60]1'!$E$38:$H$38)-0.2</f>
        <v>10470.071528067816</v>
      </c>
      <c r="O33" s="750">
        <f>'[60]1'!$I$38-0.19</f>
        <v>30737.54411541457</v>
      </c>
      <c r="P33" s="908" t="s">
        <v>606</v>
      </c>
      <c r="Q33" s="411">
        <f t="shared" ref="Q33" si="27">H33-C33-D33-E33-F33-G33</f>
        <v>5.0000000004274625E-2</v>
      </c>
      <c r="R33" s="411">
        <f t="shared" ref="R33" si="28">N33-I33-J33-K33-L33-M33</f>
        <v>-0.11999999999724764</v>
      </c>
      <c r="S33" s="411">
        <f t="shared" ref="S33" si="29">O33-H33-N33</f>
        <v>5.9999999997671694E-2</v>
      </c>
    </row>
    <row r="34" spans="1:19" s="411" customFormat="1" ht="14.25" customHeight="1">
      <c r="A34" s="905"/>
      <c r="B34" s="906" t="s">
        <v>402</v>
      </c>
      <c r="C34" s="907">
        <f>SUM('[61]1'!$C$14:$D$14)+SUM('[61]1'!$C$18:$D$18)+SUM('[61]1'!$C$30:$D$30)+SUM('[61]1'!$C$33:$D$33)</f>
        <v>2403.4196232985742</v>
      </c>
      <c r="D34" s="907">
        <f>SUM('[61]1'!$C$25:$D$29)</f>
        <v>11488.871829920487</v>
      </c>
      <c r="E34" s="750">
        <f>SUM('[61]1'!$C$23:$D$24)</f>
        <v>1549.9362468919574</v>
      </c>
      <c r="F34" s="750">
        <f>SUM('[61]1'!$C$34:$D$34)+SUM('[61]1'!$C$36:$D$36)</f>
        <v>3491.4753429367911</v>
      </c>
      <c r="G34" s="750">
        <f>SUM('[61]1'!$C$31:$D$31)+SUM('[61]1'!$C$37:$D$37)</f>
        <v>1034.0864181527463</v>
      </c>
      <c r="H34" s="750">
        <f>SUM('[61]1'!$C$38:$D$38)</f>
        <v>19967.789461200555</v>
      </c>
      <c r="I34" s="750">
        <f>SUM('[61]1'!$E$14:$H$14)+SUM('[61]1'!$E$18:$H$18)+SUM('[61]1'!$E$30:$H$30)</f>
        <v>4788.4431792960677</v>
      </c>
      <c r="J34" s="907">
        <f>SUM('[61]1'!$E$22:$H$22)</f>
        <v>1678.9330334391607</v>
      </c>
      <c r="K34" s="750">
        <f>SUM('[61]1'!$E$33:$H$33)</f>
        <v>499.74514654010738</v>
      </c>
      <c r="L34" s="750">
        <f>SUM('[61]1'!$E$34:$H$34)+SUM('[61]1'!$E$36:$H$36)</f>
        <v>3333.2857009464101</v>
      </c>
      <c r="M34" s="750">
        <f>SUM('[61]1'!$E$31:$H$31)+SUM('[61]1'!$E$32:$H$32)+SUM('[61]1'!$E$37:$H$37)</f>
        <v>221.86414029051645</v>
      </c>
      <c r="N34" s="750">
        <f>SUM('[61]1'!$E$38:$H$38)-0.03</f>
        <v>10522.241200512262</v>
      </c>
      <c r="O34" s="750">
        <f>'[61]1'!$I$38-0.02</f>
        <v>30490.040661712817</v>
      </c>
      <c r="P34" s="908" t="s">
        <v>606</v>
      </c>
      <c r="Q34" s="411">
        <f t="shared" ref="Q34" si="30">H34-C34-D34-E34-F34-G34</f>
        <v>0</v>
      </c>
      <c r="R34" s="411">
        <f t="shared" ref="R34" si="31">N34-I34-J34-K34-L34-M34</f>
        <v>-2.9999999999802185E-2</v>
      </c>
      <c r="S34" s="411">
        <f t="shared" ref="S34" si="32">O34-H34-N34</f>
        <v>1.0000000000218279E-2</v>
      </c>
    </row>
    <row r="35" spans="1:19" s="411" customFormat="1" ht="14.25" customHeight="1">
      <c r="A35" s="905"/>
      <c r="B35" s="906" t="s">
        <v>403</v>
      </c>
      <c r="C35" s="907">
        <f>SUM('[62]1'!$C$14:$D$14)+SUM('[62]1'!$C$18:$D$18)+SUM('[62]1'!$C$30:$D$30)+SUM('[62]1'!$C$33:$D$33)</f>
        <v>2209.2694811282954</v>
      </c>
      <c r="D35" s="907">
        <f>SUM('[62]1'!$C$25:$D$29)</f>
        <v>11725.067007540678</v>
      </c>
      <c r="E35" s="750">
        <f>SUM('[62]1'!$C$23:$D$24)</f>
        <v>1474.3486968946502</v>
      </c>
      <c r="F35" s="750">
        <f>SUM('[62]1'!$C$34:$D$34)+SUM('[62]1'!$C$36:$D$36)</f>
        <v>3470.8528333274712</v>
      </c>
      <c r="G35" s="750">
        <f>SUM('[62]1'!$C$31:$D$31)+SUM('[62]1'!$C$37:$D$37)</f>
        <v>1015.5346284214586</v>
      </c>
      <c r="H35" s="750">
        <f>SUM('[62]1'!$C$38:$D$38)</f>
        <v>19895.072647312554</v>
      </c>
      <c r="I35" s="750">
        <f>SUM('[62]1'!$E$14:$H$14)+SUM('[62]1'!$E$18:$H$18)+SUM('[62]1'!$E$30:$H$30)</f>
        <v>4756.2338525264722</v>
      </c>
      <c r="J35" s="907">
        <f>SUM('[62]1'!$E$22:$H$22)</f>
        <v>1577.6691360371733</v>
      </c>
      <c r="K35" s="750">
        <f>SUM('[62]1'!$E$33:$H$33)</f>
        <v>435.56565021997437</v>
      </c>
      <c r="L35" s="750">
        <f>SUM('[62]1'!$E$34:$H$34)+SUM('[62]1'!$E$36:$H$36)</f>
        <v>3129.4063465564459</v>
      </c>
      <c r="M35" s="750">
        <f>SUM('[62]1'!$E$31:$H$31)+SUM('[62]1'!$E$32:$H$32)+SUM('[62]1'!$E$37:$H$37)</f>
        <v>236.40201393463391</v>
      </c>
      <c r="N35" s="750">
        <f>SUM('[62]1'!$E$38:$H$38)</f>
        <v>10135.2769992747</v>
      </c>
      <c r="O35" s="750">
        <f>'[62]1'!$I$38+0.01</f>
        <v>30030.359646587251</v>
      </c>
      <c r="P35" s="908" t="s">
        <v>606</v>
      </c>
      <c r="Q35" s="411">
        <f t="shared" ref="Q35" si="33">H35-C35-D35-E35-F35-G35</f>
        <v>0</v>
      </c>
      <c r="R35" s="411">
        <f t="shared" ref="R35" si="34">N35-I35-J35-K35-L35-M35</f>
        <v>0</v>
      </c>
      <c r="S35" s="411">
        <f t="shared" ref="S35" si="35">O35-H35-N35</f>
        <v>9.9999999965802999E-3</v>
      </c>
    </row>
    <row r="36" spans="1:19" s="411" customFormat="1" ht="14.25" customHeight="1">
      <c r="A36" s="905"/>
      <c r="B36" s="906" t="s">
        <v>404</v>
      </c>
      <c r="C36" s="907">
        <f>SUM('[63]1'!$C$14:$D$14)+SUM('[63]1'!$C$18:$D$18)+SUM('[63]1'!$C$30:$D$30)+SUM('[63]1'!$C$33:$D$33)</f>
        <v>2563.345220610915</v>
      </c>
      <c r="D36" s="907">
        <f>SUM('[63]1'!$C$25:$D$29)</f>
        <v>11748.404333020724</v>
      </c>
      <c r="E36" s="750">
        <f>SUM('[63]1'!$C$23:$D$24)</f>
        <v>1507.2367467546837</v>
      </c>
      <c r="F36" s="750">
        <f>SUM('[63]1'!$C$34:$D$34)+SUM('[63]1'!$C$36:$D$36)</f>
        <v>3463.2674679147522</v>
      </c>
      <c r="G36" s="750">
        <f>SUM('[63]1'!$C$31:$D$31)+SUM('[63]1'!$C$37:$D$37)</f>
        <v>1021.4798869130075</v>
      </c>
      <c r="H36" s="750">
        <f>SUM('[63]1'!$C$38:$D$38)</f>
        <v>20303.733655214084</v>
      </c>
      <c r="I36" s="750">
        <f>SUM('[63]1'!$E$14:$H$14)+SUM('[63]1'!$E$18:$H$18)+SUM('[63]1'!$E$30:$H$30)</f>
        <v>5113.4842635398272</v>
      </c>
      <c r="J36" s="907">
        <f>SUM('[63]1'!$E$22:$H$22)</f>
        <v>1992.1324187442287</v>
      </c>
      <c r="K36" s="750">
        <f>SUM('[63]1'!$E$33:$H$33)</f>
        <v>460.56993740938668</v>
      </c>
      <c r="L36" s="750">
        <f>SUM('[63]1'!$E$34:$H$34)+SUM('[63]1'!$E$36:$H$36)</f>
        <v>3171.027969064492</v>
      </c>
      <c r="M36" s="750">
        <f>SUM('[63]1'!$E$31:$H$31)+SUM('[63]1'!$E$32:$H$32)+SUM('[63]1'!$E$37:$H$37)</f>
        <v>237.19120954162463</v>
      </c>
      <c r="N36" s="750">
        <f>SUM('[63]1'!$E$38:$H$38)</f>
        <v>10974.40579829956</v>
      </c>
      <c r="O36" s="750">
        <f>'[63]1'!$I$38</f>
        <v>31278.139453513646</v>
      </c>
      <c r="P36" s="908" t="s">
        <v>606</v>
      </c>
      <c r="Q36" s="411">
        <f t="shared" ref="Q36" si="36">H36-C36-D36-E36-F36-G36</f>
        <v>2.5011104298755527E-12</v>
      </c>
      <c r="R36" s="411">
        <f t="shared" ref="R36" si="37">N36-I36-J36-K36-L36-M36</f>
        <v>9.0949470177292824E-13</v>
      </c>
      <c r="S36" s="411">
        <f t="shared" ref="S36" si="38">O36-H36-N36</f>
        <v>0</v>
      </c>
    </row>
    <row r="37" spans="1:19" s="411" customFormat="1" ht="14.25" customHeight="1">
      <c r="A37" s="905"/>
      <c r="B37" s="906" t="s">
        <v>405</v>
      </c>
      <c r="C37" s="907">
        <f>SUM('[64]1'!$C$14:$D$14)+SUM('[64]1'!$C$18:$D$18)+SUM('[64]1'!$C$30:$D$30)+SUM('[64]1'!$C$33:$D$33)</f>
        <v>2164.9504551724681</v>
      </c>
      <c r="D37" s="907">
        <f>SUM('[64]1'!$C$25:$D$29)</f>
        <v>12032.031176447283</v>
      </c>
      <c r="E37" s="750">
        <f>SUM('[64]1'!$C$23:$D$24)</f>
        <v>1436.754641576207</v>
      </c>
      <c r="F37" s="750">
        <f>SUM('[64]1'!$C$34:$D$34)+SUM('[64]1'!$C$36:$D$36)</f>
        <v>3592.2178877780689</v>
      </c>
      <c r="G37" s="750">
        <f>SUM('[64]1'!$C$31:$D$31)+SUM('[64]1'!$C$37:$D$37)-0.01</f>
        <v>1117.2435736354835</v>
      </c>
      <c r="H37" s="750">
        <f>SUM('[64]1'!$C$38:$D$38)</f>
        <v>20343.20773460951</v>
      </c>
      <c r="I37" s="750">
        <f>SUM('[64]1'!$E$14:$H$14)+SUM('[64]1'!$E$18:$H$18)+SUM('[64]1'!$E$30:$H$30)</f>
        <v>4743.8799211897267</v>
      </c>
      <c r="J37" s="907">
        <f>SUM('[64]1'!$E$22:$H$22)</f>
        <v>1959.7816658707668</v>
      </c>
      <c r="K37" s="750">
        <f>SUM('[64]1'!$E$33:$H$33)</f>
        <v>422.1204062312288</v>
      </c>
      <c r="L37" s="750">
        <f>SUM('[64]1'!$E$34:$H$34)+SUM('[64]1'!$E$36:$H$36)</f>
        <v>3177.9414694744464</v>
      </c>
      <c r="M37" s="750">
        <f>SUM('[64]1'!$E$31:$H$31)+SUM('[64]1'!$E$32:$H$32)+SUM('[64]1'!$E$37:$H$37)</f>
        <v>236.68147877026382</v>
      </c>
      <c r="N37" s="750">
        <f>SUM('[64]1'!$E$38:$H$38)</f>
        <v>10540.404941536432</v>
      </c>
      <c r="O37" s="750">
        <f>'[64]1'!$I$38</f>
        <v>30883.612676145949</v>
      </c>
      <c r="P37" s="908" t="s">
        <v>606</v>
      </c>
      <c r="Q37" s="411">
        <f t="shared" ref="Q37" si="39">H37-C37-D37-E37-F37-G37</f>
        <v>1.0000000000445652E-2</v>
      </c>
      <c r="R37" s="411">
        <f t="shared" ref="R37" si="40">N37-I37-J37-K37-L37-M37</f>
        <v>-1.4210854715202004E-12</v>
      </c>
      <c r="S37" s="411">
        <f t="shared" ref="S37" si="41">O37-H37-N37</f>
        <v>0</v>
      </c>
    </row>
    <row r="38" spans="1:19" s="411" customFormat="1" ht="14.25" customHeight="1">
      <c r="A38" s="905"/>
      <c r="B38" s="906" t="s">
        <v>406</v>
      </c>
      <c r="C38" s="907">
        <f>SUM('[65]1'!$C$14:$D$14)+SUM('[65]1'!$C$18:$D$18)+SUM('[65]1'!$C$30:$D$30)+SUM('[65]1'!$C$33:$D$33)</f>
        <v>2250.0814745636171</v>
      </c>
      <c r="D38" s="907">
        <f>SUM('[65]1'!$C$25:$D$29)</f>
        <v>12118.103911994833</v>
      </c>
      <c r="E38" s="750">
        <f>SUM('[65]1'!$C$23:$D$24)</f>
        <v>1485.4860643326233</v>
      </c>
      <c r="F38" s="750">
        <f>SUM('[65]1'!$C$34:$D$34)+SUM('[65]1'!$C$36:$D$36)</f>
        <v>3586.3780414091939</v>
      </c>
      <c r="G38" s="750">
        <f>SUM('[65]1'!$C$31:$D$31)+SUM('[65]1'!$C$37:$D$37)</f>
        <v>1150.4514457662719</v>
      </c>
      <c r="H38" s="750">
        <f>SUM('[65]1'!$C$38:$D$38)+0.05</f>
        <v>20590.550938066543</v>
      </c>
      <c r="I38" s="750">
        <f>SUM('[65]1'!$E$14:$H$14)+SUM('[65]1'!$E$18:$H$18)+SUM('[65]1'!$E$30:$H$30)</f>
        <v>4994.7437125282759</v>
      </c>
      <c r="J38" s="907">
        <f>SUM('[65]1'!$E$22:$H$22)</f>
        <v>1947.0636330126767</v>
      </c>
      <c r="K38" s="750">
        <f>SUM('[65]1'!$E$33:$H$33)</f>
        <v>423.57653098219049</v>
      </c>
      <c r="L38" s="750">
        <f>SUM('[65]1'!$E$34:$H$34)+SUM('[65]1'!$E$36:$H$36)</f>
        <v>3181.6388429940434</v>
      </c>
      <c r="M38" s="750">
        <f>SUM('[65]1'!$E$31:$H$31)+SUM('[65]1'!$E$32:$H$32)+SUM('[65]1'!$E$37:$H$37)</f>
        <v>236.62474944345047</v>
      </c>
      <c r="N38" s="750">
        <f>SUM('[65]1'!$E$38:$H$38)</f>
        <v>10783.647468960637</v>
      </c>
      <c r="O38" s="750">
        <f>'[65]1'!$I$38+0.01</f>
        <v>31374.158407027175</v>
      </c>
      <c r="P38" s="908" t="s">
        <v>606</v>
      </c>
      <c r="Q38" s="411">
        <f t="shared" ref="Q38" si="42">H38-C38-D38-E38-F38-G38</f>
        <v>5.0000000004956746E-2</v>
      </c>
      <c r="R38" s="411">
        <f t="shared" ref="R38" si="43">N38-I38-J38-K38-L38-M38</f>
        <v>-3.4106051316484809E-13</v>
      </c>
      <c r="S38" s="411">
        <f t="shared" ref="S38" si="44">O38-H38-N38</f>
        <v>-4.0000000004511094E-2</v>
      </c>
    </row>
    <row r="39" spans="1:19" s="411" customFormat="1" ht="14.25" customHeight="1">
      <c r="A39" s="905"/>
      <c r="B39" s="906" t="s">
        <v>407</v>
      </c>
      <c r="C39" s="907">
        <f>SUM('[66]1'!$C$14:$D$14)+SUM('[66]1'!$C$18:$D$18)+SUM('[66]1'!$C$30:$D$30)+SUM('[66]1'!$C$33:$D$33)</f>
        <v>2648.1251509171325</v>
      </c>
      <c r="D39" s="907">
        <f>SUM('[66]1'!$C$25:$D$29)-0.02</f>
        <v>12215.44044754835</v>
      </c>
      <c r="E39" s="750">
        <f>SUM('[66]1'!$C$23:$D$24)</f>
        <v>1465.4896821406587</v>
      </c>
      <c r="F39" s="750">
        <f>SUM('[66]1'!$C$34:$D$34)+SUM('[66]1'!$C$36:$D$36)</f>
        <v>3528.6022478184514</v>
      </c>
      <c r="G39" s="750">
        <f>SUM('[66]1'!$C$31:$D$31)+SUM('[66]1'!$C$37:$D$37)</f>
        <v>1091.1179279307084</v>
      </c>
      <c r="H39" s="750">
        <f>SUM('[66]1'!$C$38:$D$38)-0.05</f>
        <v>20948.745456355307</v>
      </c>
      <c r="I39" s="750">
        <f>SUM('[66]1'!$E$14:$H$14)+SUM('[66]1'!$E$18:$H$18)+SUM('[66]1'!$E$30:$H$30)-0.05</f>
        <v>5246.9232433291145</v>
      </c>
      <c r="J39" s="907">
        <f>SUM('[66]1'!$E$22:$H$22)</f>
        <v>1981.6908049802964</v>
      </c>
      <c r="K39" s="750">
        <f>SUM('[66]1'!$E$33:$H$33)</f>
        <v>471.99059004027674</v>
      </c>
      <c r="L39" s="750">
        <f>SUM('[66]1'!$E$34:$H$34)+SUM('[66]1'!$E$36:$H$36)</f>
        <v>3197.5152318289965</v>
      </c>
      <c r="M39" s="750">
        <f>SUM('[66]1'!$E$31:$H$31)+SUM('[66]1'!$E$32:$H$32)+SUM('[66]1'!$E$37:$H$37)</f>
        <v>235.7177895254012</v>
      </c>
      <c r="N39" s="750">
        <f>SUM('[66]1'!$E$38:$H$38)</f>
        <v>11133.887659704085</v>
      </c>
      <c r="O39" s="750">
        <f>'[66]1'!$I$38-0.05</f>
        <v>32082.633116059391</v>
      </c>
      <c r="P39" s="908" t="s">
        <v>606</v>
      </c>
      <c r="Q39" s="411">
        <f t="shared" ref="Q39" si="45">H39-C39-D39-E39-F39-G39</f>
        <v>-2.9999999991105142E-2</v>
      </c>
      <c r="R39" s="411">
        <f t="shared" ref="R39" si="46">N39-I39-J39-K39-L39-M39</f>
        <v>4.9999999999783995E-2</v>
      </c>
      <c r="S39" s="411">
        <f t="shared" ref="S39" si="47">O39-H39-N39</f>
        <v>0</v>
      </c>
    </row>
    <row r="40" spans="1:19" s="411" customFormat="1" ht="20.25" customHeight="1">
      <c r="A40" s="905">
        <v>2020</v>
      </c>
      <c r="B40" s="906" t="s">
        <v>408</v>
      </c>
      <c r="C40" s="907">
        <f>SUM('[67]1'!$C$14:$D$14)+SUM('[67]1'!$C$18:$D$18)+SUM('[67]1'!$C$30:$D$30)+SUM('[67]1'!$C$33:$D$33)</f>
        <v>2464.1823580013015</v>
      </c>
      <c r="D40" s="907">
        <f>SUM('[67]1'!$C$25:$D$29)</f>
        <v>12713.58047280209</v>
      </c>
      <c r="E40" s="750">
        <f>SUM('[67]1'!$C$23:$D$24)</f>
        <v>1503.2224262510406</v>
      </c>
      <c r="F40" s="750">
        <f>SUM('[67]1'!$C$34:$D$34)+SUM('[67]1'!$C$36:$D$36)</f>
        <v>3454.8576085651362</v>
      </c>
      <c r="G40" s="750">
        <f>SUM('[67]1'!$C$31:$D$31)+SUM('[67]1'!$C$37:$D$37)-0.01</f>
        <v>1163.1423753633187</v>
      </c>
      <c r="H40" s="750">
        <f>SUM('[67]1'!$C$38:$D$38)</f>
        <v>21298.995240982891</v>
      </c>
      <c r="I40" s="750">
        <f>SUM('[67]1'!$E$14:$H$14)+SUM('[67]1'!$E$18:$H$18)+SUM('[67]1'!$E$30:$H$30)</f>
        <v>5195.4507182651232</v>
      </c>
      <c r="J40" s="907">
        <f>SUM('[67]1'!$E$22:$H$22)</f>
        <v>1985.7235610104208</v>
      </c>
      <c r="K40" s="750">
        <f>SUM('[67]1'!$E$33:$H$33)</f>
        <v>484.74037373297961</v>
      </c>
      <c r="L40" s="750">
        <f>SUM('[67]1'!$E$34:$H$34)+SUM('[67]1'!$E$36:$H$36)</f>
        <v>3119.8317970616217</v>
      </c>
      <c r="M40" s="750">
        <f>SUM('[67]1'!$E$31:$H$31)+SUM('[67]1'!$E$32:$H$32)+SUM('[67]1'!$E$37:$H$37)-0.01</f>
        <v>234.74437747243982</v>
      </c>
      <c r="N40" s="750">
        <f>SUM('[67]1'!$E$38:$H$38)-0.06</f>
        <v>11020.440827542587</v>
      </c>
      <c r="O40" s="750">
        <f>'[67]1'!$I$38-0.06</f>
        <v>32319.436068525476</v>
      </c>
      <c r="P40" s="908" t="s">
        <v>606</v>
      </c>
      <c r="Q40" s="411">
        <f t="shared" ref="Q40" si="48">H40-C40-D40-E40-F40-G40</f>
        <v>1.0000000004538379E-2</v>
      </c>
      <c r="R40" s="411">
        <f t="shared" ref="R40" si="49">N40-I40-J40-K40-L40-M40</f>
        <v>-4.9999999998448175E-2</v>
      </c>
      <c r="S40" s="411">
        <f t="shared" ref="S40" si="50">O40-H40-N40</f>
        <v>0</v>
      </c>
    </row>
    <row r="41" spans="1:19" s="411" customFormat="1" ht="14.25" customHeight="1">
      <c r="A41" s="1082"/>
      <c r="B41" s="906" t="s">
        <v>409</v>
      </c>
      <c r="C41" s="907">
        <f>SUM('[68]1'!$C$14:$D$14)+SUM('[68]1'!$C$18:$D$18)+SUM('[68]1'!$C$30:$D$30)+SUM('[68]1'!$C$33:$D$33)</f>
        <v>2478.268913962881</v>
      </c>
      <c r="D41" s="907">
        <f>SUM('[68]1'!$C$25:$D$29)</f>
        <v>12310.05037671914</v>
      </c>
      <c r="E41" s="750">
        <f>SUM('[68]1'!$C$23:$D$24)</f>
        <v>1406.7217238838723</v>
      </c>
      <c r="F41" s="750">
        <f>SUM('[68]1'!$C$34:$D$34)+SUM('[68]1'!$C$36:$D$36)</f>
        <v>3417.3138976645628</v>
      </c>
      <c r="G41" s="750">
        <f>SUM('[68]1'!$C$31:$D$31)+SUM('[68]1'!$C$37:$D$37)</f>
        <v>1171.7409933534182</v>
      </c>
      <c r="H41" s="750">
        <f>SUM('[68]1'!$C$38:$D$38)</f>
        <v>20784.050569563875</v>
      </c>
      <c r="I41" s="750">
        <f>SUM('[68]1'!$E$14:$H$14)+SUM('[68]1'!$E$18:$H$18)+SUM('[68]1'!$E$30:$H$30)</f>
        <v>5268.5078690723694</v>
      </c>
      <c r="J41" s="907">
        <f>SUM('[68]1'!$E$22:$H$22)</f>
        <v>2467.8341408686356</v>
      </c>
      <c r="K41" s="750">
        <f>SUM('[68]1'!$E$33:$H$33)</f>
        <v>458.20675992136319</v>
      </c>
      <c r="L41" s="750">
        <f>SUM('[68]1'!$E$34:$H$34)+SUM('[68]1'!$E$36:$H$36)</f>
        <v>3129.3053605296782</v>
      </c>
      <c r="M41" s="750">
        <f>SUM('[68]1'!$E$31:$H$31)+SUM('[68]1'!$E$32:$H$32)+SUM('[68]1'!$E$37:$H$37)+0.03</f>
        <v>267.661692567523</v>
      </c>
      <c r="N41" s="750">
        <f>SUM('[68]1'!$E$38:$H$38)</f>
        <v>11591.485822959568</v>
      </c>
      <c r="O41" s="750">
        <f>'[68]1'!$I$38+0.02</f>
        <v>32375.556392523442</v>
      </c>
      <c r="P41" s="908" t="s">
        <v>606</v>
      </c>
      <c r="Q41" s="411">
        <f t="shared" ref="Q41" si="51">H41-C41-D41-E41-F41-G41</f>
        <v>-4.5336020000377175E-2</v>
      </c>
      <c r="R41" s="411">
        <f t="shared" ref="R41" si="52">N41-I41-J41-K41-L41-M41</f>
        <v>-3.0000000001109584E-2</v>
      </c>
      <c r="S41" s="411">
        <f t="shared" ref="S41" si="53">O41-H41-N41</f>
        <v>1.9999999998617568E-2</v>
      </c>
    </row>
    <row r="42" spans="1:19" s="411" customFormat="1" ht="14.25" customHeight="1">
      <c r="A42" s="1082"/>
      <c r="B42" s="906" t="s">
        <v>398</v>
      </c>
      <c r="C42" s="907">
        <f>SUM('[69]1'!$C$14:$D$14)+SUM('[69]1'!$C$18:$D$18)+SUM('[69]1'!$C$30:$D$30)+SUM('[69]1'!$C$33:$D$33)</f>
        <v>2668.2136709401416</v>
      </c>
      <c r="D42" s="907">
        <f>SUM('[69]1'!$C$25:$D$29)-0.01</f>
        <v>12341.843419121064</v>
      </c>
      <c r="E42" s="750">
        <f>SUM('[69]1'!$C$23:$D$24)</f>
        <v>1462.376088035468</v>
      </c>
      <c r="F42" s="750">
        <f>SUM('[69]1'!$C$34:$D$34)+SUM('[69]1'!$C$36:$D$36)</f>
        <v>3322.0177099781185</v>
      </c>
      <c r="G42" s="750">
        <f>SUM('[69]1'!$C$31:$D$31)+SUM('[69]1'!$C$37:$D$37)</f>
        <v>1305.0625094679358</v>
      </c>
      <c r="H42" s="750">
        <f>SUM('[69]1'!$C$38:$D$38)</f>
        <v>21099.478061522728</v>
      </c>
      <c r="I42" s="750">
        <f>SUM('[69]1'!$E$14:$H$14)+SUM('[69]1'!$E$18:$H$18)+SUM('[69]1'!$E$30:$H$30)</f>
        <v>5232.451894178751</v>
      </c>
      <c r="J42" s="907">
        <f>SUM('[69]1'!$E$22:$H$22)</f>
        <v>2421.8043944114415</v>
      </c>
      <c r="K42" s="750">
        <f>SUM('[69]1'!$E$33:$H$33)</f>
        <v>504.69809597601744</v>
      </c>
      <c r="L42" s="750">
        <f>SUM('[69]1'!$E$34:$H$34)+SUM('[69]1'!$E$36:$H$36)</f>
        <v>3071.4125198328697</v>
      </c>
      <c r="M42" s="750">
        <f>SUM('[69]1'!$E$31:$H$31)+SUM('[69]1'!$E$32:$H$32)+SUM('[69]1'!$E$37:$H$37)</f>
        <v>205.91834531528846</v>
      </c>
      <c r="N42" s="750">
        <f>SUM('[69]1'!$E$38:$H$38)</f>
        <v>11436.285249714369</v>
      </c>
      <c r="O42" s="750">
        <f>'[69]1'!$I$38</f>
        <v>32535.763311237097</v>
      </c>
      <c r="P42" s="908" t="s">
        <v>606</v>
      </c>
      <c r="Q42" s="411">
        <f t="shared" ref="Q42" si="54">H42-C42-D42-E42-F42-G42</f>
        <v>-3.5336019999249402E-2</v>
      </c>
      <c r="R42" s="411">
        <f t="shared" ref="R42" si="55">N42-I42-J42-K42-L42-M42</f>
        <v>0</v>
      </c>
      <c r="S42" s="411">
        <f t="shared" ref="S42" si="56">O42-H42-N42</f>
        <v>0</v>
      </c>
    </row>
    <row r="43" spans="1:19" s="411" customFormat="1" ht="14.25" customHeight="1">
      <c r="A43" s="1082"/>
      <c r="B43" s="906" t="s">
        <v>399</v>
      </c>
      <c r="C43" s="907">
        <f>SUM('[70]1'!$C$14:$D$14)+SUM('[70]1'!$C$18:$D$18)+SUM('[70]1'!$C$30:$D$30)+SUM('[70]1'!$C$33:$D$33)</f>
        <v>2812.7561515046596</v>
      </c>
      <c r="D43" s="907">
        <f>SUM('[70]1'!$C$25:$D$29)</f>
        <v>12408.738952815615</v>
      </c>
      <c r="E43" s="750">
        <f>SUM('[70]1'!$C$23:$D$24)</f>
        <v>1284.8453515874903</v>
      </c>
      <c r="F43" s="750">
        <f>SUM('[70]1'!$C$34:$D$34)+SUM('[70]1'!$C$36:$D$36)</f>
        <v>3206.9522776237445</v>
      </c>
      <c r="G43" s="750">
        <f>SUM('[70]1'!$C$31:$D$31)+SUM('[70]1'!$C$37:$D$37)</f>
        <v>1365.6320485771071</v>
      </c>
      <c r="H43" s="750">
        <f>SUM('[70]1'!$C$38:$D$38)</f>
        <v>21078.924782108617</v>
      </c>
      <c r="I43" s="750">
        <f>SUM('[70]1'!$E$14:$H$14)+SUM('[70]1'!$E$18:$H$18)+SUM('[70]1'!$E$30:$H$30)</f>
        <v>5482.5662253532801</v>
      </c>
      <c r="J43" s="907">
        <f>SUM('[70]1'!$E$22:$H$22)-0.02</f>
        <v>2286.4428849397623</v>
      </c>
      <c r="K43" s="750">
        <f>SUM('[70]1'!$E$33:$H$33)-0.02</f>
        <v>625.54406983273873</v>
      </c>
      <c r="L43" s="750">
        <f>SUM('[70]1'!$E$34:$H$34)+SUM('[70]1'!$E$36:$H$36)</f>
        <v>2958.8479083311936</v>
      </c>
      <c r="M43" s="750">
        <f>SUM('[70]1'!$E$31:$H$31)+SUM('[70]1'!$E$32:$H$32)+SUM('[70]1'!$E$37:$H$37)</f>
        <v>225.97000053647935</v>
      </c>
      <c r="N43" s="750">
        <f>SUM('[70]1'!$E$38:$H$38)-0.1</f>
        <v>11579.311088993454</v>
      </c>
      <c r="O43" s="750">
        <f>'[70]1'!$I$38-0.1</f>
        <v>32658.235871102068</v>
      </c>
      <c r="P43" s="908" t="s">
        <v>606</v>
      </c>
      <c r="Q43" s="411">
        <f t="shared" ref="Q43" si="57">H43-C43-D43-E43-F43-G43</f>
        <v>3.1832314562052488E-12</v>
      </c>
      <c r="R43" s="411">
        <f t="shared" ref="R43" si="58">N43-I43-J43-K43-L43-M43</f>
        <v>-5.999999999994543E-2</v>
      </c>
      <c r="S43" s="411">
        <f t="shared" ref="S43" si="59">O43-H43-N43</f>
        <v>0</v>
      </c>
    </row>
    <row r="44" spans="1:19" ht="19.5" customHeight="1">
      <c r="A44" s="405" t="s">
        <v>1002</v>
      </c>
      <c r="B44" s="236"/>
      <c r="C44" s="236"/>
      <c r="D44" s="236"/>
      <c r="E44" s="236"/>
      <c r="F44" s="236"/>
      <c r="G44" s="236"/>
      <c r="H44" s="236"/>
      <c r="I44" s="236"/>
      <c r="J44" s="236"/>
      <c r="K44" s="236"/>
      <c r="L44" s="236"/>
      <c r="M44" s="236"/>
      <c r="N44" s="236"/>
      <c r="O44" s="868"/>
      <c r="P44" s="868" t="s">
        <v>1003</v>
      </c>
    </row>
    <row r="45" spans="1:19" ht="14.25">
      <c r="A45" s="406" t="s">
        <v>1004</v>
      </c>
      <c r="I45" s="28"/>
      <c r="J45" s="931"/>
      <c r="K45" s="28"/>
      <c r="O45" s="885"/>
      <c r="P45" s="885" t="s">
        <v>1005</v>
      </c>
    </row>
    <row r="46" spans="1:19">
      <c r="A46" s="407" t="s">
        <v>1006</v>
      </c>
      <c r="O46" s="885"/>
      <c r="P46" s="885" t="s">
        <v>1007</v>
      </c>
    </row>
    <row r="48" spans="1:19">
      <c r="A48" s="408" t="s">
        <v>1045</v>
      </c>
      <c r="B48" s="3"/>
      <c r="C48" s="3"/>
      <c r="D48" s="3"/>
      <c r="E48" s="3"/>
      <c r="F48" s="3"/>
      <c r="G48" s="3"/>
      <c r="H48" s="3"/>
      <c r="I48" s="3"/>
      <c r="J48" s="3"/>
      <c r="K48" s="3"/>
      <c r="L48" s="3"/>
      <c r="M48" s="3"/>
      <c r="N48" s="3"/>
      <c r="O48" s="3"/>
      <c r="P48" s="3"/>
    </row>
  </sheetData>
  <phoneticPr fontId="30"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A1:AH47"/>
  <sheetViews>
    <sheetView zoomScale="85" zoomScaleNormal="85" workbookViewId="0">
      <pane ySplit="12" topLeftCell="A37"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2.7109375" style="406" customWidth="1"/>
    <col min="4" max="4" width="10.28515625" style="406" customWidth="1"/>
    <col min="5" max="5" width="12.7109375" style="406" customWidth="1"/>
    <col min="6" max="6" width="11.7109375" style="406" customWidth="1"/>
    <col min="7" max="8" width="10.7109375" style="406" customWidth="1"/>
    <col min="9" max="9" width="10.28515625" style="406" customWidth="1"/>
    <col min="10" max="10" width="11.85546875" style="406" customWidth="1"/>
    <col min="11" max="11" width="12.7109375" style="406" customWidth="1"/>
    <col min="12" max="12" width="10.28515625" style="406" customWidth="1"/>
    <col min="13" max="13" width="12.7109375" style="406" customWidth="1"/>
    <col min="14" max="14" width="11.7109375" style="406" customWidth="1"/>
    <col min="15" max="16" width="10.7109375" style="406" customWidth="1"/>
    <col min="17" max="17" width="10.28515625" style="406" customWidth="1"/>
    <col min="18" max="18" width="8.28515625" style="406" customWidth="1"/>
    <col min="19" max="16384" width="9.140625" style="406"/>
  </cols>
  <sheetData>
    <row r="1" spans="1:21" ht="18">
      <c r="A1" s="297" t="s">
        <v>1607</v>
      </c>
      <c r="B1" s="1455"/>
      <c r="C1" s="1455"/>
      <c r="D1" s="1455"/>
      <c r="E1" s="1455"/>
      <c r="F1" s="1455"/>
      <c r="G1" s="1455"/>
      <c r="H1" s="1455"/>
      <c r="I1" s="1455"/>
      <c r="J1" s="1455"/>
      <c r="K1" s="1455"/>
      <c r="L1" s="1455"/>
      <c r="M1" s="1455"/>
      <c r="N1" s="1455"/>
      <c r="O1" s="1455"/>
      <c r="P1" s="1455"/>
      <c r="Q1" s="1455"/>
    </row>
    <row r="2" spans="1:21" ht="18">
      <c r="A2" s="1468" t="s">
        <v>1046</v>
      </c>
      <c r="B2" s="1455"/>
      <c r="C2" s="1455"/>
      <c r="D2" s="1455"/>
      <c r="E2" s="1455"/>
      <c r="F2" s="1455"/>
      <c r="G2" s="1455"/>
      <c r="H2" s="1455"/>
      <c r="I2" s="1455"/>
      <c r="J2" s="1455"/>
      <c r="K2" s="1455"/>
      <c r="L2" s="1455"/>
      <c r="M2" s="1455"/>
      <c r="N2" s="1455"/>
      <c r="O2" s="1455"/>
      <c r="P2" s="1455"/>
      <c r="Q2" s="1455"/>
    </row>
    <row r="3" spans="1:21" ht="18">
      <c r="A3" s="1456" t="s">
        <v>1047</v>
      </c>
      <c r="B3" s="1455"/>
      <c r="C3" s="1455"/>
      <c r="D3" s="1455"/>
      <c r="E3" s="1455"/>
      <c r="F3" s="1455"/>
      <c r="G3" s="1455"/>
      <c r="H3" s="1455"/>
      <c r="I3" s="1455"/>
      <c r="J3" s="1455"/>
      <c r="K3" s="1455"/>
      <c r="L3" s="1455"/>
      <c r="M3" s="1455"/>
      <c r="N3" s="1455"/>
      <c r="O3" s="1169"/>
      <c r="P3" s="1455"/>
      <c r="Q3" s="1455"/>
    </row>
    <row r="4" spans="1:21" s="327" customFormat="1" ht="14.25">
      <c r="A4" s="327" t="s">
        <v>778</v>
      </c>
      <c r="B4" s="1457"/>
      <c r="Q4" s="1458" t="s">
        <v>779</v>
      </c>
    </row>
    <row r="5" spans="1:21" s="327" customFormat="1" ht="14.25" hidden="1">
      <c r="B5" s="1457"/>
      <c r="Q5" s="1458"/>
    </row>
    <row r="6" spans="1:21" s="327" customFormat="1" ht="14.25" hidden="1">
      <c r="B6" s="1457"/>
      <c r="Q6" s="1458"/>
    </row>
    <row r="7" spans="1:21" s="327" customFormat="1" ht="14.25" hidden="1">
      <c r="B7" s="1457"/>
      <c r="Q7" s="1458"/>
    </row>
    <row r="8" spans="1:21" s="172" customFormat="1" ht="23.85" customHeight="1">
      <c r="A8" s="183"/>
      <c r="B8" s="170"/>
      <c r="C8" s="386" t="s">
        <v>356</v>
      </c>
      <c r="D8" s="188"/>
      <c r="E8" s="196"/>
      <c r="F8" s="196"/>
      <c r="G8" s="196"/>
      <c r="H8" s="171"/>
      <c r="I8" s="387" t="s">
        <v>357</v>
      </c>
      <c r="J8" s="388"/>
      <c r="K8" s="386" t="s">
        <v>358</v>
      </c>
      <c r="L8" s="188"/>
      <c r="M8" s="196"/>
      <c r="N8" s="196"/>
      <c r="O8" s="196"/>
      <c r="P8" s="171"/>
      <c r="Q8" s="389" t="s">
        <v>359</v>
      </c>
    </row>
    <row r="9" spans="1:21" s="192" customFormat="1" ht="18" customHeight="1">
      <c r="A9" s="189"/>
      <c r="B9" s="190"/>
      <c r="C9" s="207" t="s">
        <v>799</v>
      </c>
      <c r="D9" s="197" t="s">
        <v>911</v>
      </c>
      <c r="E9" s="191" t="s">
        <v>912</v>
      </c>
      <c r="F9" s="178"/>
      <c r="G9" s="191" t="s">
        <v>913</v>
      </c>
      <c r="H9" s="178"/>
      <c r="I9" s="191"/>
      <c r="J9" s="209"/>
      <c r="K9" s="197" t="s">
        <v>799</v>
      </c>
      <c r="L9" s="197" t="s">
        <v>911</v>
      </c>
      <c r="M9" s="191" t="s">
        <v>912</v>
      </c>
      <c r="N9" s="178"/>
      <c r="O9" s="191" t="s">
        <v>913</v>
      </c>
      <c r="P9" s="178"/>
      <c r="Q9" s="191"/>
    </row>
    <row r="10" spans="1:21" s="192" customFormat="1" ht="18" customHeight="1">
      <c r="A10" s="174" t="s">
        <v>364</v>
      </c>
      <c r="B10" s="177"/>
      <c r="C10" s="197" t="s">
        <v>914</v>
      </c>
      <c r="D10" s="197" t="s">
        <v>915</v>
      </c>
      <c r="E10" s="191" t="s">
        <v>482</v>
      </c>
      <c r="F10" s="173" t="s">
        <v>916</v>
      </c>
      <c r="G10" s="191" t="s">
        <v>917</v>
      </c>
      <c r="H10" s="191" t="s">
        <v>918</v>
      </c>
      <c r="I10" s="191" t="s">
        <v>377</v>
      </c>
      <c r="J10" s="209" t="s">
        <v>367</v>
      </c>
      <c r="K10" s="197" t="s">
        <v>914</v>
      </c>
      <c r="L10" s="197" t="s">
        <v>915</v>
      </c>
      <c r="M10" s="191" t="s">
        <v>482</v>
      </c>
      <c r="N10" s="173" t="s">
        <v>916</v>
      </c>
      <c r="O10" s="191" t="s">
        <v>917</v>
      </c>
      <c r="P10" s="191" t="s">
        <v>918</v>
      </c>
      <c r="Q10" s="191" t="s">
        <v>377</v>
      </c>
    </row>
    <row r="11" spans="1:21" s="176" customFormat="1" ht="18" customHeight="1">
      <c r="A11" s="193" t="s">
        <v>372</v>
      </c>
      <c r="B11" s="177"/>
      <c r="C11" s="274" t="s">
        <v>919</v>
      </c>
      <c r="D11" s="276" t="s">
        <v>920</v>
      </c>
      <c r="E11" s="277" t="s">
        <v>921</v>
      </c>
      <c r="F11" s="278" t="s">
        <v>922</v>
      </c>
      <c r="G11" s="278" t="s">
        <v>923</v>
      </c>
      <c r="H11" s="278" t="s">
        <v>924</v>
      </c>
      <c r="I11" s="278" t="s">
        <v>385</v>
      </c>
      <c r="J11" s="279" t="s">
        <v>378</v>
      </c>
      <c r="K11" s="274" t="s">
        <v>919</v>
      </c>
      <c r="L11" s="276" t="s">
        <v>920</v>
      </c>
      <c r="M11" s="280" t="s">
        <v>921</v>
      </c>
      <c r="N11" s="278" t="s">
        <v>922</v>
      </c>
      <c r="O11" s="278" t="s">
        <v>923</v>
      </c>
      <c r="P11" s="278" t="s">
        <v>924</v>
      </c>
      <c r="Q11" s="278" t="s">
        <v>385</v>
      </c>
    </row>
    <row r="12" spans="1:21" s="176" customFormat="1" ht="18" customHeight="1">
      <c r="A12" s="194"/>
      <c r="B12" s="182"/>
      <c r="C12" s="275" t="s">
        <v>925</v>
      </c>
      <c r="D12" s="275"/>
      <c r="E12" s="281" t="s">
        <v>926</v>
      </c>
      <c r="F12" s="282" t="s">
        <v>812</v>
      </c>
      <c r="G12" s="282" t="s">
        <v>927</v>
      </c>
      <c r="H12" s="282"/>
      <c r="I12" s="282"/>
      <c r="J12" s="283"/>
      <c r="K12" s="275" t="s">
        <v>925</v>
      </c>
      <c r="L12" s="275"/>
      <c r="M12" s="282" t="s">
        <v>926</v>
      </c>
      <c r="N12" s="282" t="s">
        <v>812</v>
      </c>
      <c r="O12" s="282" t="s">
        <v>927</v>
      </c>
      <c r="P12" s="282"/>
      <c r="Q12" s="282"/>
    </row>
    <row r="13" spans="1:21" s="195" customFormat="1" ht="27" customHeight="1">
      <c r="A13" s="902">
        <v>2010</v>
      </c>
      <c r="B13" s="903"/>
      <c r="C13" s="412">
        <v>12363.347865008434</v>
      </c>
      <c r="D13" s="412">
        <v>4058.4124260830977</v>
      </c>
      <c r="E13" s="413">
        <v>1175.1838342355682</v>
      </c>
      <c r="F13" s="413">
        <v>4999.8818879081928</v>
      </c>
      <c r="G13" s="413">
        <v>2152.6996663586333</v>
      </c>
      <c r="H13" s="413">
        <v>480.1006888760557</v>
      </c>
      <c r="I13" s="413">
        <v>126.86883139446809</v>
      </c>
      <c r="J13" s="756">
        <v>25356.49519986445</v>
      </c>
      <c r="K13" s="413">
        <v>13523.999539423739</v>
      </c>
      <c r="L13" s="413">
        <v>6649.8594382693218</v>
      </c>
      <c r="M13" s="413">
        <v>948.67199134529642</v>
      </c>
      <c r="N13" s="413">
        <v>1227.8627870789192</v>
      </c>
      <c r="O13" s="413">
        <v>2250.1601614824094</v>
      </c>
      <c r="P13" s="413">
        <v>717.88977709257983</v>
      </c>
      <c r="Q13" s="413">
        <v>37.88763956034574</v>
      </c>
      <c r="R13" s="376">
        <f>J13-C13-D13-E13-F13-G13-H13-I13</f>
        <v>5.1159076974727213E-13</v>
      </c>
      <c r="S13" s="376">
        <f>J13-K13-L13-M13-N13-O13-P13-Q13</f>
        <v>0.16386561183856685</v>
      </c>
      <c r="T13" s="1460"/>
    </row>
    <row r="14" spans="1:21" s="1460" customFormat="1" ht="18" customHeight="1">
      <c r="A14" s="902">
        <v>2011</v>
      </c>
      <c r="B14" s="903"/>
      <c r="C14" s="412">
        <v>12646.456038673878</v>
      </c>
      <c r="D14" s="412">
        <v>3468.0089633822545</v>
      </c>
      <c r="E14" s="413">
        <v>1152.3971018366078</v>
      </c>
      <c r="F14" s="413">
        <v>4470.0322184281804</v>
      </c>
      <c r="G14" s="413">
        <v>2200.610134446576</v>
      </c>
      <c r="H14" s="413">
        <v>613.9408499743837</v>
      </c>
      <c r="I14" s="413">
        <v>145.87177082148935</v>
      </c>
      <c r="J14" s="756">
        <v>24697.279577563379</v>
      </c>
      <c r="K14" s="412">
        <v>12821.76532386938</v>
      </c>
      <c r="L14" s="412">
        <v>6524.4706433834017</v>
      </c>
      <c r="M14" s="413">
        <v>1065.8514037212117</v>
      </c>
      <c r="N14" s="413">
        <v>1152.997193352111</v>
      </c>
      <c r="O14" s="413">
        <v>2188.2252920313185</v>
      </c>
      <c r="P14" s="413">
        <v>890.18070186938826</v>
      </c>
      <c r="Q14" s="413">
        <v>53.689389763537235</v>
      </c>
      <c r="R14" s="376">
        <v>-3.7499999990359356E-2</v>
      </c>
      <c r="S14" s="376">
        <v>9.9629573029972107E-2</v>
      </c>
      <c r="U14" s="195"/>
    </row>
    <row r="15" spans="1:21" s="1460" customFormat="1" ht="18" customHeight="1">
      <c r="A15" s="902">
        <v>2012</v>
      </c>
      <c r="B15" s="903"/>
      <c r="C15" s="412">
        <v>12823.464713049103</v>
      </c>
      <c r="D15" s="412">
        <v>3561.92344518338</v>
      </c>
      <c r="E15" s="413">
        <v>1120.1094937887904</v>
      </c>
      <c r="F15" s="413">
        <v>4702.6693501437403</v>
      </c>
      <c r="G15" s="413">
        <v>2488.0569189913999</v>
      </c>
      <c r="H15" s="413">
        <v>678.51614162257965</v>
      </c>
      <c r="I15" s="413">
        <v>187.22533175638299</v>
      </c>
      <c r="J15" s="756">
        <v>25561.965394535378</v>
      </c>
      <c r="K15" s="412">
        <v>13662.365119926761</v>
      </c>
      <c r="L15" s="412">
        <v>7252.9189204208506</v>
      </c>
      <c r="M15" s="413">
        <v>754.64876618251265</v>
      </c>
      <c r="N15" s="413">
        <v>1152.9441688586012</v>
      </c>
      <c r="O15" s="413">
        <v>1885.8323114451246</v>
      </c>
      <c r="P15" s="413">
        <v>808.75137506159581</v>
      </c>
      <c r="Q15" s="413">
        <v>44.64406644457447</v>
      </c>
      <c r="R15" s="376">
        <v>2.4726887204451486E-12</v>
      </c>
      <c r="S15" s="376">
        <v>-0.13933380464138878</v>
      </c>
      <c r="U15" s="195"/>
    </row>
    <row r="16" spans="1:21" s="1460" customFormat="1" ht="18" customHeight="1">
      <c r="A16" s="902">
        <v>2013</v>
      </c>
      <c r="B16" s="903"/>
      <c r="C16" s="412">
        <v>13482.703017782689</v>
      </c>
      <c r="D16" s="412">
        <v>3704.3398794683235</v>
      </c>
      <c r="E16" s="413">
        <v>1126.7348803997966</v>
      </c>
      <c r="F16" s="413">
        <v>1317.9667559395509</v>
      </c>
      <c r="G16" s="413">
        <v>2760.3540758914787</v>
      </c>
      <c r="H16" s="413">
        <v>678.32267716340425</v>
      </c>
      <c r="I16" s="413">
        <v>228.32630511226861</v>
      </c>
      <c r="J16" s="756">
        <v>23298.797591757513</v>
      </c>
      <c r="K16" s="412">
        <v>14263.694857262866</v>
      </c>
      <c r="L16" s="412">
        <v>6845.8169449275092</v>
      </c>
      <c r="M16" s="413">
        <v>804.96053089434713</v>
      </c>
      <c r="N16" s="413">
        <v>165.89944873561717</v>
      </c>
      <c r="O16" s="413">
        <v>593.04011286215086</v>
      </c>
      <c r="P16" s="413">
        <v>612.74830366858146</v>
      </c>
      <c r="Q16" s="413">
        <v>12.513268191489363</v>
      </c>
      <c r="R16" s="376">
        <v>5.0000000001233502E-2</v>
      </c>
      <c r="S16" s="376">
        <v>0.12412521495174289</v>
      </c>
      <c r="U16" s="195"/>
    </row>
    <row r="17" spans="1:34" s="1460" customFormat="1" ht="18" customHeight="1">
      <c r="A17" s="902">
        <v>2014</v>
      </c>
      <c r="B17" s="903"/>
      <c r="C17" s="412">
        <v>14417.114434242487</v>
      </c>
      <c r="D17" s="412">
        <v>3933.4608795154618</v>
      </c>
      <c r="E17" s="413">
        <v>1408.6169976720334</v>
      </c>
      <c r="F17" s="413">
        <v>1383.4240659786788</v>
      </c>
      <c r="G17" s="413">
        <v>2785.8885765274581</v>
      </c>
      <c r="H17" s="413">
        <v>680.0168899871278</v>
      </c>
      <c r="I17" s="413">
        <v>286.47483594608667</v>
      </c>
      <c r="J17" s="756">
        <v>24894.996679869331</v>
      </c>
      <c r="K17" s="412">
        <v>15896.04321759835</v>
      </c>
      <c r="L17" s="412">
        <v>6410.7797838939641</v>
      </c>
      <c r="M17" s="413">
        <v>977.30795578634718</v>
      </c>
      <c r="N17" s="413">
        <v>267.63876857448645</v>
      </c>
      <c r="O17" s="413">
        <v>765.52221809165815</v>
      </c>
      <c r="P17" s="413">
        <v>520.81194642360185</v>
      </c>
      <c r="Q17" s="413">
        <v>57.004542459874997</v>
      </c>
      <c r="R17" s="376">
        <v>-2.5579538487363607E-12</v>
      </c>
      <c r="S17" s="376">
        <v>-0.11175295895101556</v>
      </c>
      <c r="U17" s="195"/>
    </row>
    <row r="18" spans="1:34" s="1460" customFormat="1" ht="18" customHeight="1">
      <c r="A18" s="902">
        <v>2015</v>
      </c>
      <c r="B18" s="903"/>
      <c r="C18" s="412">
        <v>15727.796240389836</v>
      </c>
      <c r="D18" s="412">
        <v>3684.9441993672572</v>
      </c>
      <c r="E18" s="413">
        <v>1289.4603344094792</v>
      </c>
      <c r="F18" s="413">
        <v>1357.9455028476268</v>
      </c>
      <c r="G18" s="413">
        <v>2368.5045316550686</v>
      </c>
      <c r="H18" s="413">
        <v>676.87388958059205</v>
      </c>
      <c r="I18" s="413">
        <v>236.96956641297871</v>
      </c>
      <c r="J18" s="756">
        <v>25342.544264662836</v>
      </c>
      <c r="K18" s="412">
        <v>16634.224413255884</v>
      </c>
      <c r="L18" s="412">
        <v>6093.1002848696799</v>
      </c>
      <c r="M18" s="413">
        <v>987.82846882569106</v>
      </c>
      <c r="N18" s="413">
        <v>252.80119631132192</v>
      </c>
      <c r="O18" s="413">
        <v>811.66814853010078</v>
      </c>
      <c r="P18" s="413">
        <v>504.05510087412767</v>
      </c>
      <c r="Q18" s="413">
        <v>58.76759072630319</v>
      </c>
      <c r="R18" s="376">
        <v>4.9999999997083933E-2</v>
      </c>
      <c r="S18" s="376">
        <v>9.9061269727251045E-2</v>
      </c>
      <c r="U18" s="195"/>
    </row>
    <row r="19" spans="1:34" s="1460" customFormat="1" ht="18" customHeight="1">
      <c r="A19" s="902">
        <v>2016</v>
      </c>
      <c r="B19" s="903"/>
      <c r="C19" s="412">
        <v>16915.870636761112</v>
      </c>
      <c r="D19" s="412">
        <v>3738.7233965944033</v>
      </c>
      <c r="E19" s="413">
        <v>1290.7583252354243</v>
      </c>
      <c r="F19" s="413">
        <v>1341.7605968333933</v>
      </c>
      <c r="G19" s="413">
        <v>2122.1617363697142</v>
      </c>
      <c r="H19" s="413">
        <v>612.86765593321309</v>
      </c>
      <c r="I19" s="413">
        <v>268.156070656476</v>
      </c>
      <c r="J19" s="756">
        <v>26290.458418383736</v>
      </c>
      <c r="K19" s="412">
        <v>17784.335360812427</v>
      </c>
      <c r="L19" s="412">
        <v>5862.603460448001</v>
      </c>
      <c r="M19" s="413">
        <v>949.36712528992302</v>
      </c>
      <c r="N19" s="413">
        <v>256.27209994279195</v>
      </c>
      <c r="O19" s="413">
        <v>870.09117818337154</v>
      </c>
      <c r="P19" s="413">
        <v>515.46360070008632</v>
      </c>
      <c r="Q19" s="413">
        <v>52.277521783043696</v>
      </c>
      <c r="R19" s="376">
        <v>0.15999999999974079</v>
      </c>
      <c r="S19" s="376">
        <v>4.8071224091316367E-2</v>
      </c>
      <c r="U19" s="195"/>
    </row>
    <row r="20" spans="1:34" s="1460" customFormat="1" ht="18" customHeight="1">
      <c r="A20" s="902">
        <v>2017</v>
      </c>
      <c r="B20" s="903"/>
      <c r="C20" s="412">
        <v>18432.709030170547</v>
      </c>
      <c r="D20" s="412">
        <v>2865.5700775625482</v>
      </c>
      <c r="E20" s="413">
        <v>1809.5480220937636</v>
      </c>
      <c r="F20" s="413">
        <v>932.18692299415534</v>
      </c>
      <c r="G20" s="413">
        <v>1955.2172164869514</v>
      </c>
      <c r="H20" s="413">
        <v>612.25750694573287</v>
      </c>
      <c r="I20" s="413">
        <v>137.96849717233891</v>
      </c>
      <c r="J20" s="756">
        <v>26745.537273426035</v>
      </c>
      <c r="K20" s="412">
        <v>18862.656854744506</v>
      </c>
      <c r="L20" s="412">
        <v>5044.0204808779454</v>
      </c>
      <c r="M20" s="413">
        <v>1112.2894674128968</v>
      </c>
      <c r="N20" s="413">
        <v>383.59697149632933</v>
      </c>
      <c r="O20" s="413">
        <v>778.50804793828888</v>
      </c>
      <c r="P20" s="413">
        <v>550.23878994357437</v>
      </c>
      <c r="Q20" s="413">
        <v>14.235287595132977</v>
      </c>
      <c r="R20" s="376">
        <v>7.9999999997710347E-2</v>
      </c>
      <c r="S20" s="376">
        <v>-8.6265826390992117E-3</v>
      </c>
      <c r="U20" s="195"/>
    </row>
    <row r="21" spans="1:34" s="1460" customFormat="1" ht="18" customHeight="1">
      <c r="A21" s="902">
        <v>2018</v>
      </c>
      <c r="B21" s="903"/>
      <c r="C21" s="412">
        <f t="shared" ref="C21:Q21" si="0">C25</f>
        <v>20393.124016193731</v>
      </c>
      <c r="D21" s="412">
        <f t="shared" si="0"/>
        <v>2884.2357736747476</v>
      </c>
      <c r="E21" s="412">
        <f t="shared" si="0"/>
        <v>1666.7575897744146</v>
      </c>
      <c r="F21" s="412">
        <f t="shared" si="0"/>
        <v>855.85782442056234</v>
      </c>
      <c r="G21" s="412">
        <f t="shared" si="0"/>
        <v>1379.6961209812148</v>
      </c>
      <c r="H21" s="412">
        <f t="shared" si="0"/>
        <v>588.72433772389945</v>
      </c>
      <c r="I21" s="412">
        <f t="shared" si="0"/>
        <v>159.78033882308677</v>
      </c>
      <c r="J21" s="756">
        <f t="shared" si="0"/>
        <v>27928.239076870166</v>
      </c>
      <c r="K21" s="412">
        <f t="shared" si="0"/>
        <v>19619.740638052135</v>
      </c>
      <c r="L21" s="412">
        <f t="shared" si="0"/>
        <v>4756.3216053224423</v>
      </c>
      <c r="M21" s="412">
        <f t="shared" si="0"/>
        <v>1257.4746967035805</v>
      </c>
      <c r="N21" s="412">
        <f t="shared" si="0"/>
        <v>357.38052764009814</v>
      </c>
      <c r="O21" s="412">
        <f t="shared" si="0"/>
        <v>1318.9592655108229</v>
      </c>
      <c r="P21" s="412">
        <f t="shared" si="0"/>
        <v>601.15795357424622</v>
      </c>
      <c r="Q21" s="413">
        <f t="shared" si="0"/>
        <v>17.073380675466236</v>
      </c>
      <c r="R21" s="1461">
        <f>J21-C21-D21-E21-F21-G21-H21-I21</f>
        <v>6.3075278509870714E-2</v>
      </c>
      <c r="S21" s="376">
        <f>J21-K21-L21-M21-N21-O21-P21-Q21</f>
        <v>0.13100939137445167</v>
      </c>
      <c r="U21" s="195"/>
    </row>
    <row r="22" spans="1:34" s="1460" customFormat="1" ht="18" customHeight="1">
      <c r="A22" s="1462">
        <v>2019</v>
      </c>
      <c r="B22" s="1463"/>
      <c r="C22" s="1464">
        <f t="shared" ref="C22:Q22" si="1">C29</f>
        <v>23552.28119473876</v>
      </c>
      <c r="D22" s="1464">
        <f t="shared" si="1"/>
        <v>3110.6735767465689</v>
      </c>
      <c r="E22" s="1464">
        <f t="shared" si="1"/>
        <v>1623.5195529504001</v>
      </c>
      <c r="F22" s="1464">
        <f t="shared" si="1"/>
        <v>1709.0431877292126</v>
      </c>
      <c r="G22" s="1464">
        <f t="shared" si="1"/>
        <v>1369.8514481550894</v>
      </c>
      <c r="H22" s="1464">
        <f t="shared" si="1"/>
        <v>617.26589346202991</v>
      </c>
      <c r="I22" s="1464">
        <f t="shared" si="1"/>
        <v>99.889856955440223</v>
      </c>
      <c r="J22" s="1466">
        <f t="shared" si="1"/>
        <v>32082.564438416543</v>
      </c>
      <c r="K22" s="1464">
        <f t="shared" si="1"/>
        <v>20948.741957092185</v>
      </c>
      <c r="L22" s="1464">
        <f t="shared" si="1"/>
        <v>6089.9239975312303</v>
      </c>
      <c r="M22" s="1464">
        <f t="shared" si="1"/>
        <v>1543.1060293388455</v>
      </c>
      <c r="N22" s="1464">
        <f t="shared" si="1"/>
        <v>646.30002941017699</v>
      </c>
      <c r="O22" s="1464">
        <f t="shared" si="1"/>
        <v>1947.0276068050664</v>
      </c>
      <c r="P22" s="1464">
        <f t="shared" si="1"/>
        <v>873.52436963516539</v>
      </c>
      <c r="Q22" s="1465">
        <f t="shared" si="1"/>
        <v>34.131481567093871</v>
      </c>
      <c r="R22" s="376">
        <f>J22-C22-D22-E22-F22-G22-H22-I22</f>
        <v>3.9727679041675401E-2</v>
      </c>
      <c r="S22" s="376">
        <f>J22-K22-L22-M22-N22-O22-P22-Q22</f>
        <v>-0.19103296322070662</v>
      </c>
      <c r="U22" s="195"/>
    </row>
    <row r="23" spans="1:34" s="1460" customFormat="1" ht="26.25" customHeight="1">
      <c r="A23" s="902">
        <v>2018</v>
      </c>
      <c r="B23" s="903" t="s">
        <v>223</v>
      </c>
      <c r="C23" s="412">
        <v>19406.138753292078</v>
      </c>
      <c r="D23" s="412">
        <v>2904.0643340705683</v>
      </c>
      <c r="E23" s="412">
        <v>1732.8334712102496</v>
      </c>
      <c r="F23" s="412">
        <v>850.45794188947571</v>
      </c>
      <c r="G23" s="412">
        <v>1405.5563032882621</v>
      </c>
      <c r="H23" s="412">
        <v>648.62009825167252</v>
      </c>
      <c r="I23" s="412">
        <v>142.73167049571683</v>
      </c>
      <c r="J23" s="756">
        <v>27090.375544686354</v>
      </c>
      <c r="K23" s="412">
        <v>19134.850442989977</v>
      </c>
      <c r="L23" s="412">
        <v>5078.6372382088666</v>
      </c>
      <c r="M23" s="412">
        <v>1140.4880149293072</v>
      </c>
      <c r="N23" s="412">
        <v>317.24086057099908</v>
      </c>
      <c r="O23" s="412">
        <v>779.04223020317829</v>
      </c>
      <c r="P23" s="412">
        <v>610.24195913818119</v>
      </c>
      <c r="Q23" s="413">
        <v>30.019408932503875</v>
      </c>
      <c r="R23" s="376">
        <f t="shared" ref="R23" si="2">J23-C23-D23-E23-F23-G23-H23-I23</f>
        <v>-2.7027811668659751E-2</v>
      </c>
      <c r="S23" s="376">
        <f t="shared" ref="S23" si="3">J23-K23-L23-M23-N23-O23-P23-Q23</f>
        <v>-0.14461028665867204</v>
      </c>
      <c r="U23" s="195"/>
    </row>
    <row r="24" spans="1:34" s="1460" customFormat="1" ht="18" customHeight="1">
      <c r="A24" s="902"/>
      <c r="B24" s="903" t="s">
        <v>224</v>
      </c>
      <c r="C24" s="412">
        <v>19797.317875148754</v>
      </c>
      <c r="D24" s="412">
        <v>2944.1640162705298</v>
      </c>
      <c r="E24" s="412">
        <v>1638.391077673258</v>
      </c>
      <c r="F24" s="412">
        <v>935.27769370603642</v>
      </c>
      <c r="G24" s="412">
        <v>1462.6805816150807</v>
      </c>
      <c r="H24" s="412">
        <v>636.83452008490644</v>
      </c>
      <c r="I24" s="412">
        <v>166.29765517292725</v>
      </c>
      <c r="J24" s="756">
        <v>27581.03647895531</v>
      </c>
      <c r="K24" s="412">
        <v>19230.565429071354</v>
      </c>
      <c r="L24" s="412">
        <v>5044.2389978441752</v>
      </c>
      <c r="M24" s="412">
        <v>1181.1552850615285</v>
      </c>
      <c r="N24" s="412">
        <v>317.39411177613908</v>
      </c>
      <c r="O24" s="412">
        <v>1177.8356782720443</v>
      </c>
      <c r="P24" s="412">
        <v>601.49402093668903</v>
      </c>
      <c r="Q24" s="413">
        <v>28.30864311428191</v>
      </c>
      <c r="R24" s="1461">
        <v>7.3059283817030973E-2</v>
      </c>
      <c r="S24" s="1461">
        <v>4.431287909771342E-2</v>
      </c>
      <c r="T24" s="1467"/>
      <c r="U24" s="904"/>
      <c r="V24" s="1467"/>
      <c r="W24" s="1467"/>
    </row>
    <row r="25" spans="1:34" s="1460" customFormat="1" ht="18" customHeight="1">
      <c r="A25" s="902"/>
      <c r="B25" s="903" t="s">
        <v>225</v>
      </c>
      <c r="C25" s="412">
        <v>20393.124016193731</v>
      </c>
      <c r="D25" s="412">
        <v>2884.2357736747476</v>
      </c>
      <c r="E25" s="412">
        <v>1666.7575897744146</v>
      </c>
      <c r="F25" s="412">
        <v>855.85782442056234</v>
      </c>
      <c r="G25" s="412">
        <v>1379.6961209812148</v>
      </c>
      <c r="H25" s="412">
        <v>588.72433772389945</v>
      </c>
      <c r="I25" s="412">
        <v>159.78033882308677</v>
      </c>
      <c r="J25" s="756">
        <v>27928.239076870166</v>
      </c>
      <c r="K25" s="412">
        <v>19619.740638052135</v>
      </c>
      <c r="L25" s="412">
        <v>4756.3216053224423</v>
      </c>
      <c r="M25" s="412">
        <v>1257.4746967035805</v>
      </c>
      <c r="N25" s="412">
        <v>357.38052764009814</v>
      </c>
      <c r="O25" s="412">
        <v>1318.9592655108229</v>
      </c>
      <c r="P25" s="412">
        <v>601.15795357424622</v>
      </c>
      <c r="Q25" s="413">
        <v>17.073380675466236</v>
      </c>
      <c r="R25" s="376">
        <v>6.3075278509870714E-2</v>
      </c>
      <c r="S25" s="376">
        <v>0.13100939137445167</v>
      </c>
      <c r="U25" s="195"/>
    </row>
    <row r="26" spans="1:34" s="195" customFormat="1" ht="27" customHeight="1">
      <c r="A26" s="902">
        <v>2019</v>
      </c>
      <c r="B26" s="903" t="s">
        <v>222</v>
      </c>
      <c r="C26" s="412">
        <v>21913.764528298332</v>
      </c>
      <c r="D26" s="412">
        <v>3325.8554023817414</v>
      </c>
      <c r="E26" s="412">
        <v>1684.8997340589106</v>
      </c>
      <c r="F26" s="412">
        <v>933.51796459628349</v>
      </c>
      <c r="G26" s="412">
        <v>1397.1347846462102</v>
      </c>
      <c r="H26" s="412">
        <v>655.67969233997928</v>
      </c>
      <c r="I26" s="412">
        <v>149.54174307771501</v>
      </c>
      <c r="J26" s="756">
        <v>30060.353577157795</v>
      </c>
      <c r="K26" s="412">
        <v>20537.006592063401</v>
      </c>
      <c r="L26" s="412">
        <v>5622.4378007658115</v>
      </c>
      <c r="M26" s="412">
        <v>1298.847737293172</v>
      </c>
      <c r="N26" s="412">
        <v>586.05229629601706</v>
      </c>
      <c r="O26" s="412">
        <v>1387.7417638449974</v>
      </c>
      <c r="P26" s="412">
        <v>594.4777374073218</v>
      </c>
      <c r="Q26" s="413">
        <v>33.943146251980146</v>
      </c>
      <c r="R26" s="1461">
        <v>-4.0272241376499096E-2</v>
      </c>
      <c r="S26" s="1461">
        <v>-0.15349676490532005</v>
      </c>
      <c r="T26" s="1467"/>
    </row>
    <row r="27" spans="1:34" s="195" customFormat="1" ht="18" customHeight="1">
      <c r="A27" s="902"/>
      <c r="B27" s="903" t="s">
        <v>223</v>
      </c>
      <c r="C27" s="412">
        <f t="shared" ref="C27:Q27" si="4">C33</f>
        <v>22699.059477982602</v>
      </c>
      <c r="D27" s="412">
        <f t="shared" si="4"/>
        <v>2982.1501885731086</v>
      </c>
      <c r="E27" s="412">
        <f t="shared" si="4"/>
        <v>1524.0376627229655</v>
      </c>
      <c r="F27" s="412">
        <f t="shared" si="4"/>
        <v>1364.9948919231888</v>
      </c>
      <c r="G27" s="412">
        <f t="shared" si="4"/>
        <v>1356.9782100248265</v>
      </c>
      <c r="H27" s="412">
        <f t="shared" si="4"/>
        <v>659.82586314687126</v>
      </c>
      <c r="I27" s="412">
        <f t="shared" si="4"/>
        <v>150.42975019921784</v>
      </c>
      <c r="J27" s="756">
        <f t="shared" si="4"/>
        <v>30737.455772331396</v>
      </c>
      <c r="K27" s="412">
        <f t="shared" si="4"/>
        <v>20267.395663246574</v>
      </c>
      <c r="L27" s="412">
        <f t="shared" si="4"/>
        <v>6388.2496507450742</v>
      </c>
      <c r="M27" s="412">
        <f t="shared" si="4"/>
        <v>1493.7755067020757</v>
      </c>
      <c r="N27" s="412">
        <f t="shared" si="4"/>
        <v>269.29905434078717</v>
      </c>
      <c r="O27" s="412">
        <f t="shared" si="4"/>
        <v>1394.4799839089851</v>
      </c>
      <c r="P27" s="412">
        <f t="shared" si="4"/>
        <v>896.34842689934305</v>
      </c>
      <c r="Q27" s="413">
        <f t="shared" si="4"/>
        <v>28.039778277376612</v>
      </c>
      <c r="R27" s="1461">
        <f t="shared" ref="R27" si="5">J27-C27-D27-E27-F27-G27-H27-I27</f>
        <v>-2.0272241385043799E-2</v>
      </c>
      <c r="S27" s="1461">
        <f t="shared" ref="S27" si="6">J27-K27-L27-M27-N27-O27-P27-Q27</f>
        <v>-0.13229178882066606</v>
      </c>
      <c r="T27" s="1467"/>
      <c r="U27" s="904"/>
      <c r="V27" s="904"/>
      <c r="W27" s="904"/>
      <c r="X27" s="904"/>
      <c r="Y27" s="904"/>
      <c r="Z27" s="904"/>
      <c r="AA27" s="904"/>
      <c r="AB27" s="904"/>
      <c r="AC27" s="904"/>
      <c r="AD27" s="904"/>
      <c r="AE27" s="904"/>
      <c r="AF27" s="904"/>
      <c r="AG27" s="904"/>
      <c r="AH27" s="904"/>
    </row>
    <row r="28" spans="1:34" s="195" customFormat="1" ht="18" customHeight="1">
      <c r="A28" s="902"/>
      <c r="B28" s="903" t="s">
        <v>224</v>
      </c>
      <c r="C28" s="412">
        <f t="shared" ref="C28:Q28" si="7">C36</f>
        <v>22881.934576324791</v>
      </c>
      <c r="D28" s="412">
        <f t="shared" si="7"/>
        <v>2905.5145186361515</v>
      </c>
      <c r="E28" s="412">
        <f t="shared" si="7"/>
        <v>1558.6735964510399</v>
      </c>
      <c r="F28" s="412">
        <f t="shared" si="7"/>
        <v>1601.0162351593658</v>
      </c>
      <c r="G28" s="412">
        <f t="shared" si="7"/>
        <v>1578.4063933757329</v>
      </c>
      <c r="H28" s="412">
        <f t="shared" si="7"/>
        <v>629.49227134497778</v>
      </c>
      <c r="I28" s="412">
        <f t="shared" si="7"/>
        <v>123.08675442921616</v>
      </c>
      <c r="J28" s="756">
        <f t="shared" si="7"/>
        <v>31278.144073479893</v>
      </c>
      <c r="K28" s="412">
        <f t="shared" si="7"/>
        <v>20303.736200466377</v>
      </c>
      <c r="L28" s="412">
        <f t="shared" si="7"/>
        <v>6350.1108739858319</v>
      </c>
      <c r="M28" s="412">
        <f t="shared" si="7"/>
        <v>1505.3260013957556</v>
      </c>
      <c r="N28" s="412">
        <f t="shared" si="7"/>
        <v>515.91605246550944</v>
      </c>
      <c r="O28" s="412">
        <f t="shared" si="7"/>
        <v>1709.0626604414638</v>
      </c>
      <c r="P28" s="412">
        <f t="shared" si="7"/>
        <v>860.860945903264</v>
      </c>
      <c r="Q28" s="413">
        <f t="shared" si="7"/>
        <v>33.110927474001706</v>
      </c>
      <c r="R28" s="1461">
        <f t="shared" ref="R28" si="8">J28-C28-D28-E28-F28-G28-H28-I28</f>
        <v>1.9727758617378299E-2</v>
      </c>
      <c r="S28" s="1461">
        <f t="shared" ref="S28" si="9">J28-K28-L28-M28-N28-O28-P28-Q28</f>
        <v>2.0411347688813919E-2</v>
      </c>
      <c r="T28" s="1467"/>
    </row>
    <row r="29" spans="1:34" s="904" customFormat="1" ht="18" customHeight="1">
      <c r="A29" s="902"/>
      <c r="B29" s="903" t="s">
        <v>225</v>
      </c>
      <c r="C29" s="412">
        <f t="shared" ref="C29:Q29" si="10">C39</f>
        <v>23552.28119473876</v>
      </c>
      <c r="D29" s="412">
        <f t="shared" si="10"/>
        <v>3110.6735767465689</v>
      </c>
      <c r="E29" s="412">
        <f t="shared" si="10"/>
        <v>1623.5195529504001</v>
      </c>
      <c r="F29" s="412">
        <f t="shared" si="10"/>
        <v>1709.0431877292126</v>
      </c>
      <c r="G29" s="412">
        <f t="shared" si="10"/>
        <v>1369.8514481550894</v>
      </c>
      <c r="H29" s="412">
        <f t="shared" si="10"/>
        <v>617.26589346202991</v>
      </c>
      <c r="I29" s="412">
        <f t="shared" si="10"/>
        <v>99.889856955440223</v>
      </c>
      <c r="J29" s="756">
        <f t="shared" si="10"/>
        <v>32082.564438416543</v>
      </c>
      <c r="K29" s="412">
        <f t="shared" si="10"/>
        <v>20948.741957092185</v>
      </c>
      <c r="L29" s="412">
        <f t="shared" si="10"/>
        <v>6089.9239975312303</v>
      </c>
      <c r="M29" s="412">
        <f t="shared" si="10"/>
        <v>1543.1060293388455</v>
      </c>
      <c r="N29" s="412">
        <f t="shared" si="10"/>
        <v>646.30002941017699</v>
      </c>
      <c r="O29" s="412">
        <f t="shared" si="10"/>
        <v>1947.0276068050664</v>
      </c>
      <c r="P29" s="412">
        <f t="shared" si="10"/>
        <v>873.52436963516539</v>
      </c>
      <c r="Q29" s="413">
        <f t="shared" si="10"/>
        <v>34.131481567093871</v>
      </c>
      <c r="R29" s="1461">
        <f t="shared" ref="R29" si="11">J29-C29-D29-E29-F29-G29-H29-I29</f>
        <v>3.9727679041675401E-2</v>
      </c>
      <c r="S29" s="1461">
        <f t="shared" ref="S29" si="12">J29-K29-L29-M29-N29-O29-P29-Q29</f>
        <v>-0.19103296322070662</v>
      </c>
      <c r="T29" s="1467"/>
    </row>
    <row r="30" spans="1:34" s="195" customFormat="1" ht="21" customHeight="1">
      <c r="A30" s="1462">
        <v>2020</v>
      </c>
      <c r="B30" s="1463" t="s">
        <v>222</v>
      </c>
      <c r="C30" s="1464">
        <f t="shared" ref="C30:Q30" si="13">C42</f>
        <v>24057.044570992821</v>
      </c>
      <c r="D30" s="1464">
        <f t="shared" si="13"/>
        <v>2785.7670821560241</v>
      </c>
      <c r="E30" s="1464">
        <f t="shared" si="13"/>
        <v>1650.9632126902222</v>
      </c>
      <c r="F30" s="1464">
        <f t="shared" si="13"/>
        <v>1779.6730320899037</v>
      </c>
      <c r="G30" s="1464">
        <f t="shared" si="13"/>
        <v>1549.4592103575101</v>
      </c>
      <c r="H30" s="1464">
        <f t="shared" si="13"/>
        <v>617.55618294988733</v>
      </c>
      <c r="I30" s="1464">
        <f t="shared" si="13"/>
        <v>95.159835743141855</v>
      </c>
      <c r="J30" s="1466">
        <f t="shared" si="13"/>
        <v>32535.762634476861</v>
      </c>
      <c r="K30" s="1464">
        <f t="shared" si="13"/>
        <v>21099.518158710009</v>
      </c>
      <c r="L30" s="1464">
        <f t="shared" si="13"/>
        <v>6376.6407870515413</v>
      </c>
      <c r="M30" s="1464">
        <f t="shared" si="13"/>
        <v>1662.9358193598293</v>
      </c>
      <c r="N30" s="1464">
        <f t="shared" si="13"/>
        <v>604.34293146732364</v>
      </c>
      <c r="O30" s="1464">
        <f t="shared" si="13"/>
        <v>1881.2317098185722</v>
      </c>
      <c r="P30" s="1464">
        <f t="shared" si="13"/>
        <v>879.03962631097795</v>
      </c>
      <c r="Q30" s="1465">
        <f t="shared" si="13"/>
        <v>32.287965331217123</v>
      </c>
      <c r="R30" s="376">
        <f t="shared" ref="R30" si="14">J30-C30-D30-E30-F30-G30-H30-I30</f>
        <v>0.13950749735107593</v>
      </c>
      <c r="S30" s="376">
        <f t="shared" ref="S30" si="15">J30-K30-L30-M30-N30-O30-P30-Q30</f>
        <v>-0.23436357260854379</v>
      </c>
      <c r="T30" s="1460"/>
    </row>
    <row r="31" spans="1:34" s="159" customFormat="1" ht="26.25" customHeight="1">
      <c r="A31" s="909">
        <v>2019</v>
      </c>
      <c r="B31" s="910" t="s">
        <v>399</v>
      </c>
      <c r="C31" s="782">
        <f>'[58]3'!$AA$17+0.05</f>
        <v>22366.272921686315</v>
      </c>
      <c r="D31" s="782">
        <f>'[58]3'!$AA$16-'[58]3'!$AA$17</f>
        <v>2965.328736181069</v>
      </c>
      <c r="E31" s="794">
        <f>'[58]3'!$AA$23</f>
        <v>1746.4669227743782</v>
      </c>
      <c r="F31" s="794">
        <f>'[58]3'!$AA$131</f>
        <v>747.13236190709426</v>
      </c>
      <c r="G31" s="794">
        <f>'[58]3'!$AA$82</f>
        <v>1398.4953247463932</v>
      </c>
      <c r="H31" s="794">
        <f>'[58]3'!$AA$36</f>
        <v>659.15608738087303</v>
      </c>
      <c r="I31" s="794">
        <f>'[58]3'!$AA$76+'[58]3'!$AA$103+'[58]3'!$AA$146+'[58]3'!$AA$149</f>
        <v>149.32274275101287</v>
      </c>
      <c r="J31" s="778">
        <f>'[58]3'!$AA$152+0.05</f>
        <v>30032.174825212282</v>
      </c>
      <c r="K31" s="782">
        <f>'[58]3'!$N$17-0.05</f>
        <v>20464.735721493875</v>
      </c>
      <c r="L31" s="782">
        <f>'[58]3'!$N$16-'[58]3'!$N$17</f>
        <v>5748.0220670152339</v>
      </c>
      <c r="M31" s="794">
        <f>'[58]3'!$N$23</f>
        <v>1251.1500372278272</v>
      </c>
      <c r="N31" s="794">
        <f>'[58]3'!$N$131</f>
        <v>556.73668550675416</v>
      </c>
      <c r="O31" s="794">
        <f>'[58]3'!$N$82</f>
        <v>1379.8685391020131</v>
      </c>
      <c r="P31" s="794">
        <f>'[58]3'!$N$36</f>
        <v>592.40693917859835</v>
      </c>
      <c r="Q31" s="794">
        <f>'[58]3'!$N$76+'[58]3'!$N$103+'[58]3'!$N$146+'[58]3'!$N$149</f>
        <v>39.275215719613762</v>
      </c>
      <c r="R31" s="911">
        <f t="shared" ref="R31" si="16">J31-C31-D31-E31-F31-G31-H31-I31</f>
        <v>-2.7221485430573011E-4</v>
      </c>
      <c r="S31" s="911">
        <f t="shared" ref="S31" si="17">J31-K31-L31-M31-N31-O31-P31-Q31</f>
        <v>-2.0380031633358442E-2</v>
      </c>
    </row>
    <row r="32" spans="1:34" s="159" customFormat="1" ht="18" customHeight="1">
      <c r="A32" s="909"/>
      <c r="B32" s="910" t="s">
        <v>400</v>
      </c>
      <c r="C32" s="782">
        <f>'[59]3'!$AA$17+0.05</f>
        <v>22565.266790939982</v>
      </c>
      <c r="D32" s="782">
        <f>'[59]3'!$AA$16-'[59]3'!$AA$17</f>
        <v>2965.0870672906276</v>
      </c>
      <c r="E32" s="794">
        <f>'[59]3'!$AA$23</f>
        <v>1668.6902597138549</v>
      </c>
      <c r="F32" s="794">
        <f>'[59]3'!$AA$131</f>
        <v>1513.9284875311814</v>
      </c>
      <c r="G32" s="794">
        <f>'[59]3'!$AA$82</f>
        <v>1377.5952875204619</v>
      </c>
      <c r="H32" s="794">
        <f>'[59]3'!$AA$36</f>
        <v>657.20033788462717</v>
      </c>
      <c r="I32" s="794">
        <f>'[59]3'!$AA$76+'[59]3'!$AA$103+'[59]3'!$AA$146+'[59]3'!$AA$149-0.05</f>
        <v>152.23824559920433</v>
      </c>
      <c r="J32" s="778">
        <f>'[59]3'!$AA$152</f>
        <v>30900.006204238558</v>
      </c>
      <c r="K32" s="782">
        <f>'[59]3'!$N$17</f>
        <v>20395.618957647654</v>
      </c>
      <c r="L32" s="782">
        <f>'[59]3'!$N$16-'[59]3'!$N$17</f>
        <v>6408.5148506909973</v>
      </c>
      <c r="M32" s="794">
        <f>'[59]3'!$N$23</f>
        <v>1609.6020803752876</v>
      </c>
      <c r="N32" s="794">
        <f>'[59]3'!$N$131</f>
        <v>224.02735553150171</v>
      </c>
      <c r="O32" s="794">
        <f>'[59]3'!$N$82</f>
        <v>1366.24323476218</v>
      </c>
      <c r="P32" s="794">
        <f>'[59]3'!$N$36-0.05</f>
        <v>869.50124785413027</v>
      </c>
      <c r="Q32" s="794">
        <f>'[59]3'!$N$76+'[59]3'!$N$103+'[59]3'!$N$146+'[59]3'!$N$149</f>
        <v>26.622131781115545</v>
      </c>
      <c r="R32" s="911">
        <f t="shared" ref="R32" si="18">J32-C32-D32-E32-F32-G32-H32-I32</f>
        <v>-2.7224138193560066E-4</v>
      </c>
      <c r="S32" s="911">
        <f t="shared" ref="S32" si="19">J32-K32-L32-M32-N32-O32-P32-Q32</f>
        <v>-0.12365440430793129</v>
      </c>
    </row>
    <row r="33" spans="1:19" s="159" customFormat="1" ht="18" customHeight="1">
      <c r="A33" s="909"/>
      <c r="B33" s="910" t="s">
        <v>401</v>
      </c>
      <c r="C33" s="782">
        <f>'[60]3'!$AA$17+0.05</f>
        <v>22699.059477982602</v>
      </c>
      <c r="D33" s="782">
        <f>'[60]3'!$AA$16-'[60]3'!$AA$17</f>
        <v>2982.1501885731086</v>
      </c>
      <c r="E33" s="794">
        <f>'[60]3'!$AA$23</f>
        <v>1524.0376627229655</v>
      </c>
      <c r="F33" s="794">
        <f>'[60]3'!$AA$131</f>
        <v>1364.9948919231888</v>
      </c>
      <c r="G33" s="794">
        <f>'[60]3'!$AA$82</f>
        <v>1356.9782100248265</v>
      </c>
      <c r="H33" s="794">
        <f>'[60]3'!$AA$36</f>
        <v>659.82586314687126</v>
      </c>
      <c r="I33" s="794">
        <f>'[60]3'!$AA$76+'[60]3'!$AA$103+'[60]3'!$AA$146+'[60]3'!$AA$149</f>
        <v>150.42975019921784</v>
      </c>
      <c r="J33" s="778">
        <f>'[60]3'!$AA$152+0.03</f>
        <v>30737.455772331396</v>
      </c>
      <c r="K33" s="782">
        <f>'[60]3'!$N$17-0.1</f>
        <v>20267.395663246574</v>
      </c>
      <c r="L33" s="782">
        <f>'[60]3'!$N$16-'[60]3'!$N$17</f>
        <v>6388.2496507450742</v>
      </c>
      <c r="M33" s="794">
        <f>'[60]3'!$N$23</f>
        <v>1493.7755067020757</v>
      </c>
      <c r="N33" s="794">
        <f>'[60]3'!$N$131</f>
        <v>269.29905434078717</v>
      </c>
      <c r="O33" s="794">
        <f>'[60]3'!$N$82</f>
        <v>1394.4799839089851</v>
      </c>
      <c r="P33" s="794">
        <f>'[60]3'!$N$36-0.1</f>
        <v>896.34842689934305</v>
      </c>
      <c r="Q33" s="794">
        <f>'[60]3'!$N$76+'[60]3'!$N$103+'[60]3'!$N$146+'[60]3'!$N$149-0.05</f>
        <v>28.039778277376612</v>
      </c>
      <c r="R33" s="911">
        <f t="shared" ref="R33" si="20">J33-C33-D33-E33-F33-G33-H33-I33</f>
        <v>-2.0272241385043799E-2</v>
      </c>
      <c r="S33" s="911">
        <f t="shared" ref="S33" si="21">J33-K33-L33-M33-N33-O33-P33-Q33</f>
        <v>-0.13229178882066606</v>
      </c>
    </row>
    <row r="34" spans="1:19" s="159" customFormat="1" ht="18" customHeight="1">
      <c r="A34" s="909"/>
      <c r="B34" s="910" t="s">
        <v>402</v>
      </c>
      <c r="C34" s="782">
        <f>'[61]3'!$AA$17-0.02</f>
        <v>22266.039307012899</v>
      </c>
      <c r="D34" s="782">
        <f>'[61]3'!$AA$16-'[61]3'!$AA$17</f>
        <v>3015.8456256939389</v>
      </c>
      <c r="E34" s="794">
        <f>'[61]3'!$AA$23</f>
        <v>1534.0365168519609</v>
      </c>
      <c r="F34" s="794">
        <f>'[61]3'!$AA$131</f>
        <v>1450.570347484289</v>
      </c>
      <c r="G34" s="794">
        <f>'[61]3'!$AA$82</f>
        <v>1426.1821846775154</v>
      </c>
      <c r="H34" s="794">
        <f>'[61]3'!$AA$36</f>
        <v>648.27205401274318</v>
      </c>
      <c r="I34" s="794">
        <f>'[61]3'!$AA$76+'[61]3'!$AA$103+'[61]3'!$AA$146+'[61]3'!$AA$149</f>
        <v>149.06574311070719</v>
      </c>
      <c r="J34" s="778">
        <f>'[61]3'!$AA$152</f>
        <v>30490.031506576153</v>
      </c>
      <c r="K34" s="782">
        <f>'[61]3'!$N$17</f>
        <v>19967.800953180191</v>
      </c>
      <c r="L34" s="782">
        <f>'[61]3'!$N$16-'[61]3'!$N$17+0.03</f>
        <v>6264.041439063506</v>
      </c>
      <c r="M34" s="794">
        <f>'[61]3'!$N$23</f>
        <v>1486.4116798953191</v>
      </c>
      <c r="N34" s="794">
        <f>'[61]3'!$N$131</f>
        <v>237.68889334951447</v>
      </c>
      <c r="O34" s="794">
        <f>'[61]3'!$N$82+0.04</f>
        <v>1615.1568391520359</v>
      </c>
      <c r="P34" s="794">
        <f>'[61]3'!$N$36</f>
        <v>884.61535029780509</v>
      </c>
      <c r="Q34" s="794">
        <f>'[61]3'!$N$76+'[61]3'!$N$103+'[61]3'!$N$146+'[61]3'!$N$149</f>
        <v>34.269882790815572</v>
      </c>
      <c r="R34" s="911">
        <f t="shared" ref="R34" si="22">J34-C34-D34-E34-F34-G34-H34-I34</f>
        <v>1.9727732099255491E-2</v>
      </c>
      <c r="S34" s="911">
        <f t="shared" ref="S34" si="23">J34-K34-L34-M34-N34-O34-P34-Q34</f>
        <v>4.6468846966504884E-2</v>
      </c>
    </row>
    <row r="35" spans="1:19" s="159" customFormat="1" ht="18" customHeight="1">
      <c r="A35" s="909"/>
      <c r="B35" s="910" t="s">
        <v>403</v>
      </c>
      <c r="C35" s="782">
        <f>'[62]3'!$AA$17-0.1</f>
        <v>22284.840686891577</v>
      </c>
      <c r="D35" s="782">
        <f>'[62]3'!$AA$16-'[62]3'!$AA$17-0.02</f>
        <v>2682.4397567606761</v>
      </c>
      <c r="E35" s="794">
        <f>'[62]3'!$AA$23-0.01</f>
        <v>1509.1448112483617</v>
      </c>
      <c r="F35" s="794">
        <f>'[62]3'!$AA$131</f>
        <v>1404.132361060902</v>
      </c>
      <c r="G35" s="794">
        <f>'[62]3'!$AA$82</f>
        <v>1316.7624730215036</v>
      </c>
      <c r="H35" s="794">
        <f>'[62]3'!$AA$36</f>
        <v>665.50726739869094</v>
      </c>
      <c r="I35" s="794">
        <f>'[62]3'!$AA$76+'[62]3'!$AA$103+'[62]3'!$AA$146+'[62]3'!$AA$149</f>
        <v>167.70501032833999</v>
      </c>
      <c r="J35" s="778">
        <f>'[62]3'!$AA$152-0.22</f>
        <v>30030.442094442144</v>
      </c>
      <c r="K35" s="782">
        <f>'[62]3'!$N$17</f>
        <v>19895.079705080894</v>
      </c>
      <c r="L35" s="782">
        <f>'[62]3'!$N$16-'[62]3'!$N$17+0.02</f>
        <v>5917.5636552553915</v>
      </c>
      <c r="M35" s="794">
        <f>'[62]3'!$N$23</f>
        <v>1426.1875463228066</v>
      </c>
      <c r="N35" s="794">
        <f>'[62]3'!$N$131</f>
        <v>177.9270456784792</v>
      </c>
      <c r="O35" s="794">
        <f>'[62]3'!$N$82</f>
        <v>1654.617440289077</v>
      </c>
      <c r="P35" s="794">
        <f>'[62]3'!$N$36+0.03</f>
        <v>892.3630643573797</v>
      </c>
      <c r="Q35" s="794">
        <f>'[62]3'!$N$76+'[62]3'!$N$103+'[62]3'!$N$146+'[62]3'!$N$149+0.03</f>
        <v>66.557651349142787</v>
      </c>
      <c r="R35" s="911">
        <f t="shared" ref="R35" si="24">J35-C35-D35-E35-F35-G35-H35-I35</f>
        <v>-9.0272267907607784E-2</v>
      </c>
      <c r="S35" s="911">
        <f t="shared" ref="S35" si="25">J35-K35-L35-M35-N35-O35-P35-Q35</f>
        <v>0.14598610897249387</v>
      </c>
    </row>
    <row r="36" spans="1:19" s="159" customFormat="1" ht="18" customHeight="1">
      <c r="A36" s="909"/>
      <c r="B36" s="910" t="s">
        <v>404</v>
      </c>
      <c r="C36" s="782">
        <f>'[63]3'!$AA$17-0.05</f>
        <v>22881.934576324791</v>
      </c>
      <c r="D36" s="782">
        <f>'[63]3'!$AA$16-'[63]3'!$AA$17</f>
        <v>2905.5145186361515</v>
      </c>
      <c r="E36" s="794">
        <f>'[63]3'!$AA$23</f>
        <v>1558.6735964510399</v>
      </c>
      <c r="F36" s="794">
        <f>'[63]3'!$AA$131</f>
        <v>1601.0162351593658</v>
      </c>
      <c r="G36" s="794">
        <f>'[63]3'!$AA$82</f>
        <v>1578.4063933757329</v>
      </c>
      <c r="H36" s="794">
        <f>'[63]3'!$AA$36</f>
        <v>629.49227134497778</v>
      </c>
      <c r="I36" s="794">
        <f>'[63]3'!$AA$76+'[63]3'!$AA$103+'[63]3'!$AA$146+'[63]3'!$AA$149</f>
        <v>123.08675442921616</v>
      </c>
      <c r="J36" s="778">
        <f>'[63]3'!$AA$152-0.03</f>
        <v>31278.144073479893</v>
      </c>
      <c r="K36" s="782">
        <f>'[63]3'!$N$17</f>
        <v>20303.736200466377</v>
      </c>
      <c r="L36" s="782">
        <f>'[63]3'!$N$16-'[63]3'!$N$17</f>
        <v>6350.1108739858319</v>
      </c>
      <c r="M36" s="794">
        <f>'[63]3'!$N$23</f>
        <v>1505.3260013957556</v>
      </c>
      <c r="N36" s="794">
        <f>'[63]3'!$N$131</f>
        <v>515.91605246550944</v>
      </c>
      <c r="O36" s="794">
        <f>'[63]3'!$N$82+0.03</f>
        <v>1709.0626604414638</v>
      </c>
      <c r="P36" s="794">
        <f>'[63]3'!$N$36+0.02</f>
        <v>860.860945903264</v>
      </c>
      <c r="Q36" s="794">
        <f>'[63]3'!$N$76+'[63]3'!$N$103+'[63]3'!$N$146+'[63]3'!$N$149</f>
        <v>33.110927474001706</v>
      </c>
      <c r="R36" s="911">
        <f t="shared" ref="R36" si="26">J36-C36-D36-E36-F36-G36-H36-I36</f>
        <v>1.9727758617378299E-2</v>
      </c>
      <c r="S36" s="911">
        <f t="shared" ref="S36" si="27">J36-K36-L36-M36-N36-O36-P36-Q36</f>
        <v>2.0411347688813919E-2</v>
      </c>
    </row>
    <row r="37" spans="1:19" s="159" customFormat="1" ht="18" customHeight="1">
      <c r="A37" s="909"/>
      <c r="B37" s="910" t="s">
        <v>405</v>
      </c>
      <c r="C37" s="782">
        <f>'[64]3'!$AA$17</f>
        <v>22834.190556504527</v>
      </c>
      <c r="D37" s="782">
        <f>'[64]3'!$AA$16-'[64]3'!$AA$17</f>
        <v>2875.3223228683564</v>
      </c>
      <c r="E37" s="794">
        <f>'[64]3'!$AA$23</f>
        <v>1632.9628473088192</v>
      </c>
      <c r="F37" s="794">
        <f>'[64]3'!$AA$131</f>
        <v>1446.041627116289</v>
      </c>
      <c r="G37" s="794">
        <f>'[64]3'!$AA$82</f>
        <v>1361.3749354102774</v>
      </c>
      <c r="H37" s="794">
        <f>'[64]3'!$AA$36</f>
        <v>620.29005273328153</v>
      </c>
      <c r="I37" s="794">
        <f>'[64]3'!$AA$76+'[64]3'!$AA$103+'[64]3'!$AA$146+'[64]3'!$AA$149</f>
        <v>113.40654668201456</v>
      </c>
      <c r="J37" s="778">
        <f>'[64]3'!$AA$152</f>
        <v>30883.588616355657</v>
      </c>
      <c r="K37" s="782">
        <f>'[64]3'!$N$17</f>
        <v>20343.199807906796</v>
      </c>
      <c r="L37" s="782">
        <f>'[64]3'!$N$16-'[64]3'!$N$17</f>
        <v>5859.6818337407894</v>
      </c>
      <c r="M37" s="794">
        <f>'[64]3'!$N$23</f>
        <v>1486.0911409045316</v>
      </c>
      <c r="N37" s="794">
        <f>'[64]3'!$N$131</f>
        <v>434.38394238310042</v>
      </c>
      <c r="O37" s="794">
        <f>'[64]3'!$N$82</f>
        <v>1855.9780341672817</v>
      </c>
      <c r="P37" s="794">
        <f>'[64]3'!$N$36-0.02</f>
        <v>864.33889058726845</v>
      </c>
      <c r="Q37" s="794">
        <f>'[64]3'!$N$76+'[64]3'!$N$103+'[64]3'!$N$146+'[64]3'!$N$149-0.02</f>
        <v>39.941701233349008</v>
      </c>
      <c r="R37" s="911">
        <f t="shared" ref="R37" si="28">J37-C37-D37-E37-F37-G37-H37-I37</f>
        <v>-2.7226790827228342E-4</v>
      </c>
      <c r="S37" s="911">
        <f t="shared" ref="S37" si="29">J37-K37-L37-M37-N37-O37-P37-Q37</f>
        <v>-2.6734567459911318E-2</v>
      </c>
    </row>
    <row r="38" spans="1:19" s="159" customFormat="1" ht="18" customHeight="1">
      <c r="A38" s="909"/>
      <c r="B38" s="910" t="s">
        <v>406</v>
      </c>
      <c r="C38" s="782">
        <f>'[65]3'!$AA$17-0.11</f>
        <v>23168.449208131591</v>
      </c>
      <c r="D38" s="782">
        <f>'[65]3'!$AA$16-'[65]3'!$AA$17</f>
        <v>2842.1803906487366</v>
      </c>
      <c r="E38" s="794">
        <f>'[65]3'!$AA$23</f>
        <v>1633.2526547250609</v>
      </c>
      <c r="F38" s="794">
        <f>'[65]3'!$AA$131</f>
        <v>1521.0254207668377</v>
      </c>
      <c r="G38" s="794">
        <f>'[65]3'!$AA$82</f>
        <v>1492.0015924922188</v>
      </c>
      <c r="H38" s="794">
        <f>'[65]3'!$AA$36</f>
        <v>613.94953844552106</v>
      </c>
      <c r="I38" s="794">
        <f>'[65]3'!$AA$76+'[65]3'!$AA$103+'[65]3'!$AA$146+'[65]3'!$AA$149</f>
        <v>103.42593751848587</v>
      </c>
      <c r="J38" s="778">
        <f>'[65]3'!$AA$152-0.15</f>
        <v>31374.244288407495</v>
      </c>
      <c r="K38" s="782">
        <f>'[65]3'!$N$17+0.1</f>
        <v>20590.593501687636</v>
      </c>
      <c r="L38" s="782">
        <f>'[65]3'!$N$16-'[65]3'!$N$17</f>
        <v>5865.3137165375229</v>
      </c>
      <c r="M38" s="794">
        <f>'[65]3'!$N$23</f>
        <v>1489.7316082586469</v>
      </c>
      <c r="N38" s="794">
        <f>'[65]3'!$N$131</f>
        <v>617.31703918350445</v>
      </c>
      <c r="O38" s="794">
        <f>'[65]3'!$N$82-0.03</f>
        <v>1901.7359839450114</v>
      </c>
      <c r="P38" s="794">
        <f>'[65]3'!$N$36-0.01</f>
        <v>868.0430627641548</v>
      </c>
      <c r="Q38" s="794">
        <f>'[65]3'!$N$76+'[65]3'!$N$103+'[65]3'!$N$146+'[65]3'!$N$149</f>
        <v>41.597437989345416</v>
      </c>
      <c r="R38" s="911">
        <f t="shared" ref="R38" si="30">J38-C38-D38-E38-F38-G38-H38-I38</f>
        <v>-4.0454320956783363E-2</v>
      </c>
      <c r="S38" s="911">
        <f t="shared" ref="S38" si="31">J38-K38-L38-M38-N38-O38-P38-Q38</f>
        <v>-8.8061958326100864E-2</v>
      </c>
    </row>
    <row r="39" spans="1:19" s="159" customFormat="1" ht="18" customHeight="1">
      <c r="A39" s="909"/>
      <c r="B39" s="910" t="s">
        <v>407</v>
      </c>
      <c r="C39" s="782">
        <f>'[66]3'!$AA$17</f>
        <v>23552.28119473876</v>
      </c>
      <c r="D39" s="782">
        <f>'[66]3'!$AA$16-'[66]3'!$AA$17</f>
        <v>3110.6735767465689</v>
      </c>
      <c r="E39" s="794">
        <f>'[66]3'!$AA$23</f>
        <v>1623.5195529504001</v>
      </c>
      <c r="F39" s="794">
        <f>'[66]3'!$AA$131-0.02</f>
        <v>1709.0431877292126</v>
      </c>
      <c r="G39" s="794">
        <f>'[66]3'!$AA$82</f>
        <v>1369.8514481550894</v>
      </c>
      <c r="H39" s="794">
        <f>'[66]3'!$AA$36</f>
        <v>617.26589346202991</v>
      </c>
      <c r="I39" s="794">
        <f>'[66]3'!$AA$76+'[66]3'!$AA$103+'[66]3'!$AA$146+'[66]3'!$AA$149</f>
        <v>99.889856955440223</v>
      </c>
      <c r="J39" s="778">
        <f>'[66]3'!$AA$152+0.02</f>
        <v>32082.564438416543</v>
      </c>
      <c r="K39" s="782">
        <f>'[66]3'!$N$17-0.05</f>
        <v>20948.741957092185</v>
      </c>
      <c r="L39" s="782">
        <f>'[66]3'!$N$16-'[66]3'!$N$17</f>
        <v>6089.9239975312303</v>
      </c>
      <c r="M39" s="794">
        <f>'[66]3'!$N$23</f>
        <v>1543.1060293388455</v>
      </c>
      <c r="N39" s="794">
        <f>'[66]3'!$N$131</f>
        <v>646.30002941017699</v>
      </c>
      <c r="O39" s="794">
        <f>'[66]3'!$N$82-0.05</f>
        <v>1947.0276068050664</v>
      </c>
      <c r="P39" s="794">
        <f>'[66]3'!$N$36</f>
        <v>873.52436963516539</v>
      </c>
      <c r="Q39" s="794">
        <f>'[66]3'!$N$76+'[66]3'!$N$103+'[66]3'!$N$146+'[66]3'!$N$149</f>
        <v>34.131481567093871</v>
      </c>
      <c r="R39" s="911">
        <f t="shared" ref="R39" si="32">J39-C39-D39-E39-F39-G39-H39-I39</f>
        <v>3.9727679041675401E-2</v>
      </c>
      <c r="S39" s="911">
        <f t="shared" ref="S39" si="33">J39-K39-L39-M39-N39-O39-P39-Q39</f>
        <v>-0.19103296322070662</v>
      </c>
    </row>
    <row r="40" spans="1:19" s="159" customFormat="1" ht="26.25" customHeight="1">
      <c r="A40" s="909">
        <v>2020</v>
      </c>
      <c r="B40" s="910" t="s">
        <v>408</v>
      </c>
      <c r="C40" s="782">
        <f>'[67]3'!$AA$17</f>
        <v>23581.76406946755</v>
      </c>
      <c r="D40" s="782">
        <f>'[67]3'!$AA$16-'[67]3'!$AA$17</f>
        <v>3081.0719681804185</v>
      </c>
      <c r="E40" s="794">
        <f>'[67]3'!$AA$23</f>
        <v>1609.0290266634706</v>
      </c>
      <c r="F40" s="794">
        <f>'[67]3'!$AA$131</f>
        <v>1763.8236735185221</v>
      </c>
      <c r="G40" s="794">
        <f>'[67]3'!$AA$82</f>
        <v>1579.0778934253854</v>
      </c>
      <c r="H40" s="794">
        <f>'[67]3'!$AA$36</f>
        <v>608.29165030637887</v>
      </c>
      <c r="I40" s="794">
        <f>'[67]3'!$AA$76+'[67]3'!$AA$103+'[67]3'!$AA$146+'[67]3'!$AA$149</f>
        <v>96.327360891610439</v>
      </c>
      <c r="J40" s="778">
        <f>'[67]3'!$AA$152</f>
        <v>32319.385300185433</v>
      </c>
      <c r="K40" s="782">
        <f>'[67]3'!$N$17</f>
        <v>21298.987912353808</v>
      </c>
      <c r="L40" s="782">
        <f>'[67]3'!$N$16-'[67]3'!$N$17</f>
        <v>5975.3976454908334</v>
      </c>
      <c r="M40" s="794">
        <f>'[67]3'!$N$23-0.02</f>
        <v>1582.3436959653368</v>
      </c>
      <c r="N40" s="794">
        <f>'[67]3'!$N$131-0.05</f>
        <v>658.03174764673577</v>
      </c>
      <c r="O40" s="794">
        <f>'[67]3'!$N$82</f>
        <v>1899.5121906945312</v>
      </c>
      <c r="P40" s="794">
        <f>'[67]3'!$N$36-0.02</f>
        <v>873.43888796035151</v>
      </c>
      <c r="Q40" s="794">
        <f>'[67]3'!$N$76+'[67]3'!$N$103+'[67]3'!$N$146+'[67]3'!$N$149-0.02</f>
        <v>31.837232924732554</v>
      </c>
      <c r="R40" s="911">
        <f t="shared" ref="R40" si="34">J40-C40-D40-E40-F40-G40-H40-I40</f>
        <v>-3.4226790312175126E-4</v>
      </c>
      <c r="S40" s="911">
        <f t="shared" ref="S40" si="35">J40-K40-L40-M40-N40-O40-P40-Q40</f>
        <v>-0.16401285089657591</v>
      </c>
    </row>
    <row r="41" spans="1:19" s="159" customFormat="1" ht="18" customHeight="1">
      <c r="A41" s="1081"/>
      <c r="B41" s="468" t="s">
        <v>409</v>
      </c>
      <c r="C41" s="782">
        <f>'[68]3'!$AA$17</f>
        <v>23754.59924684728</v>
      </c>
      <c r="D41" s="782">
        <f>'[68]3'!$AA$16-'[68]3'!$AA$17</f>
        <v>2805.3284386427513</v>
      </c>
      <c r="E41" s="794">
        <f>'[68]3'!$AA$23+0.02</f>
        <v>1645.9620799931902</v>
      </c>
      <c r="F41" s="794">
        <f>'[68]3'!$AA$131</f>
        <v>1734.3043747314578</v>
      </c>
      <c r="G41" s="794">
        <f>'[68]3'!$AA$82</f>
        <v>1696.1637426503153</v>
      </c>
      <c r="H41" s="794">
        <f>'[68]3'!$AA$36</f>
        <v>643.73130123824387</v>
      </c>
      <c r="I41" s="794">
        <f>'[68]3'!$AA$76+'[68]3'!$AA$103+'[68]3'!$AA$146+'[68]3'!$AA$149</f>
        <v>95.524721237822703</v>
      </c>
      <c r="J41" s="778">
        <f>'[68]3'!$AA$152</f>
        <v>32375.593412838414</v>
      </c>
      <c r="K41" s="782">
        <f>'[68]3'!$N$17</f>
        <v>20784.147505224602</v>
      </c>
      <c r="L41" s="782">
        <f>'[68]3'!$N$16-'[68]3'!$N$17</f>
        <v>6411.4927477692763</v>
      </c>
      <c r="M41" s="794">
        <f>'[68]3'!$N$23</f>
        <v>1714.1302628571696</v>
      </c>
      <c r="N41" s="794">
        <f>'[68]3'!$N$131</f>
        <v>622.52125079445136</v>
      </c>
      <c r="O41" s="794">
        <f>'[68]3'!$N$82</f>
        <v>1926.2199036758191</v>
      </c>
      <c r="P41" s="794">
        <f>'[68]3'!$N$36-0.05</f>
        <v>878.63323844661636</v>
      </c>
      <c r="Q41" s="794">
        <f>'[68]3'!$N$76+'[68]3'!$N$103+'[68]3'!$N$146+'[68]3'!$N$149</f>
        <v>38.626724219514998</v>
      </c>
      <c r="R41" s="911">
        <f t="shared" ref="R41" si="36">J41-C41-D41-E41-F41-G41-H41-I41</f>
        <v>-2.0492502646177968E-2</v>
      </c>
      <c r="S41" s="911">
        <f t="shared" ref="S41" si="37">J41-K41-L41-M41-N41-O41-P41-Q41</f>
        <v>-0.17822014903579486</v>
      </c>
    </row>
    <row r="42" spans="1:19" s="159" customFormat="1" ht="18" customHeight="1">
      <c r="A42" s="1081"/>
      <c r="B42" s="468" t="s">
        <v>398</v>
      </c>
      <c r="C42" s="782">
        <f>'[69]3'!$AA$17-0.02</f>
        <v>24057.044570992821</v>
      </c>
      <c r="D42" s="782">
        <f>'[69]3'!$AA$16-'[69]3'!$AA$17</f>
        <v>2785.7670821560241</v>
      </c>
      <c r="E42" s="794">
        <f>'[69]3'!$AA$23+0.02</f>
        <v>1650.9632126902222</v>
      </c>
      <c r="F42" s="794">
        <f>'[69]3'!$AA$131</f>
        <v>1779.6730320899037</v>
      </c>
      <c r="G42" s="794">
        <f>'[69]3'!$AA$82+0.02</f>
        <v>1549.4592103575101</v>
      </c>
      <c r="H42" s="794">
        <f>'[69]3'!$AA$36+0.06</f>
        <v>617.55618294988733</v>
      </c>
      <c r="I42" s="794">
        <f>'[69]3'!$AA$76+'[69]3'!$AA$103+'[69]3'!$AA$146+'[69]3'!$AA$149+0.03</f>
        <v>95.159835743141855</v>
      </c>
      <c r="J42" s="778">
        <f>'[69]3'!$AA$152+0.25</f>
        <v>32535.762634476861</v>
      </c>
      <c r="K42" s="782">
        <f>'[69]3'!$N$17-0.1</f>
        <v>21099.518158710009</v>
      </c>
      <c r="L42" s="782">
        <f>'[69]3'!$N$16-'[69]3'!$N$17-0.01</f>
        <v>6376.6407870515413</v>
      </c>
      <c r="M42" s="794">
        <f>'[69]3'!$N$23-0.02</f>
        <v>1662.9358193598293</v>
      </c>
      <c r="N42" s="794">
        <f>'[69]3'!$N$131-0.01</f>
        <v>604.34293146732364</v>
      </c>
      <c r="O42" s="794">
        <f>'[69]3'!$N$82</f>
        <v>1881.2317098185722</v>
      </c>
      <c r="P42" s="794">
        <f>'[69]3'!$N$36</f>
        <v>879.03962631097795</v>
      </c>
      <c r="Q42" s="794">
        <f>'[69]3'!$N$76+'[69]3'!$N$103+'[69]3'!$N$146+'[69]3'!$N$149</f>
        <v>32.287965331217123</v>
      </c>
      <c r="R42" s="911">
        <f t="shared" ref="R42" si="38">J42-C42-D42-E42-F42-G42-H42-I42</f>
        <v>0.13950749735107593</v>
      </c>
      <c r="S42" s="911">
        <f t="shared" ref="S42" si="39">J42-K42-L42-M42-N42-O42-P42-Q42</f>
        <v>-0.23436357260854379</v>
      </c>
    </row>
    <row r="43" spans="1:19" s="159" customFormat="1" ht="18" customHeight="1">
      <c r="A43" s="1081"/>
      <c r="B43" s="468" t="s">
        <v>399</v>
      </c>
      <c r="C43" s="782">
        <f>'[70]3'!$AA$17+0.06</f>
        <v>24317.05547127176</v>
      </c>
      <c r="D43" s="782">
        <f>'[70]3'!$AA$16-'[70]3'!$AA$17</f>
        <v>2644.8751782149957</v>
      </c>
      <c r="E43" s="794">
        <f>'[70]3'!$AA$23+0.02</f>
        <v>1607.9645813058214</v>
      </c>
      <c r="F43" s="794">
        <f>'[70]3'!$AA$131</f>
        <v>1708.5216433994569</v>
      </c>
      <c r="G43" s="794">
        <f>'[70]3'!$AA$82</f>
        <v>1662.6907358598633</v>
      </c>
      <c r="H43" s="794">
        <f>'[70]3'!$AA$36</f>
        <v>621.87452167756919</v>
      </c>
      <c r="I43" s="794">
        <f>'[70]3'!$AA$76+'[70]3'!$AA$103+'[70]3'!$AA$146+'[70]3'!$AA$149</f>
        <v>95.110374282677284</v>
      </c>
      <c r="J43" s="778">
        <f>'[70]3'!$AA$152+0.2</f>
        <v>32658.212506012147</v>
      </c>
      <c r="K43" s="782">
        <f>'[70]3'!$N$17-0.15</f>
        <v>21078.925121835789</v>
      </c>
      <c r="L43" s="782">
        <f>'[70]3'!$N$16-'[70]3'!$N$17</f>
        <v>6109.5074745782149</v>
      </c>
      <c r="M43" s="794">
        <f>'[70]3'!$N$23</f>
        <v>1628.9483879271766</v>
      </c>
      <c r="N43" s="794">
        <f>'[70]3'!$N$131-0.03</f>
        <v>715.33669648361592</v>
      </c>
      <c r="O43" s="794">
        <f>'[70]3'!$N$82-0.02</f>
        <v>2221.944874649384</v>
      </c>
      <c r="P43" s="794">
        <f>'[70]3'!$N$36</f>
        <v>881.11822309894558</v>
      </c>
      <c r="Q43" s="794">
        <f>'[70]3'!$N$76+'[70]3'!$N$103+'[70]3'!$N$146+'[70]3'!$N$149</f>
        <v>22.625513026868685</v>
      </c>
      <c r="R43" s="911">
        <f t="shared" ref="R43" si="40">J43-C43-D43-E43-F43-G43-H43-I43</f>
        <v>0.12000000000297462</v>
      </c>
      <c r="S43" s="911">
        <f t="shared" ref="S43" si="41">J43-K43-L43-M43-N43-O43-P43-Q43</f>
        <v>-0.19378558784806543</v>
      </c>
    </row>
    <row r="44" spans="1:19" s="407" customFormat="1" ht="20.25" customHeight="1">
      <c r="A44" s="273" t="s">
        <v>1048</v>
      </c>
      <c r="B44" s="405"/>
      <c r="C44" s="405"/>
      <c r="D44" s="405"/>
      <c r="E44" s="405"/>
      <c r="F44" s="405"/>
      <c r="G44" s="405"/>
      <c r="H44" s="405"/>
      <c r="I44" s="405"/>
      <c r="J44" s="405"/>
      <c r="K44" s="405"/>
      <c r="L44" s="405"/>
      <c r="M44" s="405"/>
      <c r="N44" s="405"/>
      <c r="O44" s="405"/>
      <c r="P44" s="405"/>
      <c r="Q44" s="272" t="s">
        <v>1049</v>
      </c>
    </row>
    <row r="45" spans="1:19" s="195" customFormat="1" ht="15">
      <c r="A45" s="381" t="s">
        <v>932</v>
      </c>
      <c r="B45" s="381"/>
      <c r="C45" s="381"/>
      <c r="D45" s="381"/>
      <c r="E45" s="381"/>
      <c r="F45" s="381"/>
      <c r="G45" s="381"/>
      <c r="H45" s="381"/>
      <c r="I45" s="381"/>
      <c r="J45" s="1089"/>
      <c r="K45" s="1089"/>
      <c r="L45" s="1089"/>
      <c r="M45" s="1089"/>
      <c r="N45" s="1089"/>
      <c r="O45" s="1089"/>
      <c r="P45" s="1089"/>
      <c r="Q45" s="741" t="s">
        <v>933</v>
      </c>
    </row>
    <row r="46" spans="1:19">
      <c r="A46" s="407"/>
      <c r="B46" s="407"/>
      <c r="C46" s="407"/>
      <c r="D46" s="407"/>
      <c r="E46" s="407"/>
      <c r="F46" s="407"/>
      <c r="G46" s="407"/>
      <c r="H46" s="407"/>
      <c r="I46" s="407"/>
      <c r="J46" s="407"/>
      <c r="K46" s="407"/>
      <c r="L46" s="407"/>
      <c r="M46" s="407"/>
      <c r="N46" s="407"/>
      <c r="O46" s="407"/>
      <c r="P46" s="407"/>
      <c r="Q46" s="407"/>
    </row>
    <row r="47" spans="1:19" s="195" customFormat="1" ht="15">
      <c r="A47" s="296" t="s">
        <v>1050</v>
      </c>
      <c r="B47" s="296"/>
      <c r="C47" s="296"/>
      <c r="D47" s="296"/>
      <c r="E47" s="296"/>
      <c r="F47" s="296"/>
      <c r="G47" s="296"/>
      <c r="H47" s="296"/>
      <c r="I47" s="296"/>
      <c r="J47" s="296"/>
      <c r="K47" s="296"/>
      <c r="L47" s="296"/>
      <c r="M47" s="296"/>
      <c r="N47" s="296"/>
      <c r="O47" s="296"/>
      <c r="P47" s="296"/>
      <c r="Q47" s="296"/>
    </row>
  </sheetData>
  <phoneticPr fontId="30" type="noConversion"/>
  <printOptions horizontalCentered="1" verticalCentered="1"/>
  <pageMargins left="0" right="0" top="0" bottom="0" header="0.5" footer="0.5"/>
  <pageSetup paperSize="9" scale="6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dimension ref="A1:AH47"/>
  <sheetViews>
    <sheetView zoomScale="85" zoomScaleNormal="85" workbookViewId="0">
      <pane ySplit="12" topLeftCell="A38" activePane="bottomLeft" state="frozen"/>
      <selection activeCell="A49" sqref="A1:XFD1048576"/>
      <selection pane="bottomLeft" activeCell="A49" sqref="A1:XFD1048576"/>
    </sheetView>
  </sheetViews>
  <sheetFormatPr defaultColWidth="9.140625" defaultRowHeight="12.75"/>
  <cols>
    <col min="1" max="2" width="9.7109375" style="406" customWidth="1"/>
    <col min="3" max="3" width="10.85546875" style="406" customWidth="1"/>
    <col min="4" max="4" width="12.85546875" style="406" customWidth="1"/>
    <col min="5" max="5" width="12.7109375" style="406" customWidth="1"/>
    <col min="6" max="6" width="10.28515625" style="406" customWidth="1"/>
    <col min="7" max="7" width="11.85546875" style="406" customWidth="1"/>
    <col min="8" max="8" width="12" style="406" customWidth="1"/>
    <col min="9" max="9" width="10.28515625" style="406" customWidth="1"/>
    <col min="10" max="10" width="12.7109375" style="406" customWidth="1"/>
    <col min="11" max="11" width="11.5703125" style="406" customWidth="1"/>
    <col min="12" max="12" width="12.85546875" style="406" customWidth="1"/>
    <col min="13" max="13" width="11.7109375" style="406" customWidth="1"/>
    <col min="14" max="14" width="10.28515625" style="406" customWidth="1"/>
    <col min="15" max="15" width="11.7109375" style="406" customWidth="1"/>
    <col min="16" max="16" width="12.28515625" style="406" customWidth="1"/>
    <col min="17" max="17" width="10.7109375" style="406" customWidth="1"/>
    <col min="18" max="16384" width="9.140625" style="406"/>
  </cols>
  <sheetData>
    <row r="1" spans="1:19" ht="18">
      <c r="A1" s="297" t="s">
        <v>1606</v>
      </c>
      <c r="B1" s="1455"/>
      <c r="C1" s="1455"/>
      <c r="D1" s="1455"/>
      <c r="E1" s="1455"/>
      <c r="F1" s="1455"/>
      <c r="G1" s="1455"/>
      <c r="H1" s="1455"/>
      <c r="I1" s="1455"/>
      <c r="J1" s="1455"/>
      <c r="K1" s="1455"/>
      <c r="L1" s="1455"/>
      <c r="M1" s="1455"/>
      <c r="N1" s="1455"/>
      <c r="O1" s="1455"/>
      <c r="P1" s="1455"/>
      <c r="Q1" s="1455"/>
    </row>
    <row r="2" spans="1:19" ht="18">
      <c r="A2" s="1423" t="s">
        <v>1051</v>
      </c>
      <c r="B2" s="1455"/>
      <c r="C2" s="1455"/>
      <c r="D2" s="1455"/>
      <c r="E2" s="1455"/>
      <c r="F2" s="1455"/>
      <c r="G2" s="1455"/>
      <c r="H2" s="1455"/>
      <c r="I2" s="1455"/>
      <c r="J2" s="1455"/>
      <c r="K2" s="1455"/>
      <c r="L2" s="1455"/>
      <c r="M2" s="1455"/>
      <c r="N2" s="1455"/>
      <c r="O2" s="1455"/>
      <c r="P2" s="1455"/>
      <c r="Q2" s="1455"/>
    </row>
    <row r="3" spans="1:19" ht="18">
      <c r="A3" s="1456" t="s">
        <v>1052</v>
      </c>
      <c r="B3" s="1455"/>
      <c r="C3" s="1455"/>
      <c r="D3" s="1455"/>
      <c r="E3" s="1455"/>
      <c r="F3" s="1455"/>
      <c r="G3" s="1455"/>
      <c r="H3" s="1455"/>
      <c r="I3" s="1455"/>
      <c r="J3" s="1455"/>
      <c r="K3" s="1455"/>
      <c r="L3" s="1455"/>
      <c r="M3" s="1455"/>
      <c r="N3" s="1455"/>
      <c r="O3" s="1455"/>
      <c r="P3" s="1455"/>
      <c r="Q3" s="1455"/>
    </row>
    <row r="4" spans="1:19" s="327" customFormat="1" ht="14.25">
      <c r="A4" s="327" t="s">
        <v>778</v>
      </c>
      <c r="B4" s="1457"/>
      <c r="Q4" s="1458" t="s">
        <v>779</v>
      </c>
    </row>
    <row r="5" spans="1:19" s="343" customFormat="1" ht="14.25" hidden="1">
      <c r="A5" s="382"/>
      <c r="B5" s="383"/>
      <c r="C5" s="384"/>
      <c r="D5" s="384"/>
      <c r="E5" s="384"/>
      <c r="F5" s="384"/>
      <c r="G5" s="384"/>
      <c r="H5" s="384"/>
      <c r="I5" s="384"/>
      <c r="J5" s="384"/>
      <c r="K5" s="384"/>
      <c r="L5" s="384"/>
      <c r="Q5" s="385"/>
    </row>
    <row r="6" spans="1:19" s="343" customFormat="1" ht="14.25" hidden="1">
      <c r="A6" s="382"/>
      <c r="B6" s="383"/>
      <c r="C6" s="384"/>
      <c r="D6" s="384"/>
      <c r="E6" s="384"/>
      <c r="F6" s="384"/>
      <c r="G6" s="384"/>
      <c r="H6" s="384"/>
      <c r="I6" s="384"/>
      <c r="J6" s="384"/>
      <c r="K6" s="384"/>
      <c r="L6" s="384"/>
      <c r="Q6" s="385"/>
    </row>
    <row r="7" spans="1:19" s="343" customFormat="1" ht="14.25" hidden="1">
      <c r="A7" s="382"/>
      <c r="B7" s="383"/>
      <c r="C7" s="384"/>
      <c r="D7" s="384"/>
      <c r="E7" s="384"/>
      <c r="F7" s="384"/>
      <c r="G7" s="384"/>
      <c r="H7" s="384"/>
      <c r="I7" s="384"/>
      <c r="J7" s="384"/>
      <c r="K7" s="384"/>
      <c r="L7" s="384"/>
      <c r="Q7" s="385"/>
    </row>
    <row r="8" spans="1:19" s="172" customFormat="1" ht="23.85" customHeight="1">
      <c r="A8" s="183"/>
      <c r="B8" s="170"/>
      <c r="C8" s="386" t="s">
        <v>356</v>
      </c>
      <c r="D8" s="188"/>
      <c r="E8" s="171"/>
      <c r="F8" s="171"/>
      <c r="G8" s="171"/>
      <c r="H8" s="171"/>
      <c r="I8" s="391" t="s">
        <v>357</v>
      </c>
      <c r="J8" s="392"/>
      <c r="K8" s="393" t="s">
        <v>358</v>
      </c>
      <c r="L8" s="188"/>
      <c r="M8" s="171"/>
      <c r="N8" s="171"/>
      <c r="O8" s="171"/>
      <c r="P8" s="171"/>
      <c r="Q8" s="394" t="s">
        <v>359</v>
      </c>
    </row>
    <row r="9" spans="1:19" s="192" customFormat="1" ht="18" customHeight="1">
      <c r="A9" s="189"/>
      <c r="B9" s="190"/>
      <c r="C9" s="197" t="s">
        <v>937</v>
      </c>
      <c r="D9" s="191" t="s">
        <v>938</v>
      </c>
      <c r="E9" s="191" t="s">
        <v>939</v>
      </c>
      <c r="F9" s="173" t="s">
        <v>940</v>
      </c>
      <c r="G9" s="173"/>
      <c r="H9" s="191" t="s">
        <v>941</v>
      </c>
      <c r="I9" s="191"/>
      <c r="J9" s="210"/>
      <c r="K9" s="197" t="s">
        <v>937</v>
      </c>
      <c r="L9" s="191" t="s">
        <v>938</v>
      </c>
      <c r="M9" s="191" t="s">
        <v>939</v>
      </c>
      <c r="N9" s="173" t="s">
        <v>940</v>
      </c>
      <c r="O9" s="173"/>
      <c r="P9" s="191" t="s">
        <v>941</v>
      </c>
      <c r="Q9" s="191"/>
    </row>
    <row r="10" spans="1:19" s="192" customFormat="1" ht="18" customHeight="1">
      <c r="A10" s="174" t="s">
        <v>364</v>
      </c>
      <c r="B10" s="177"/>
      <c r="C10" s="197" t="s">
        <v>942</v>
      </c>
      <c r="D10" s="191" t="s">
        <v>943</v>
      </c>
      <c r="E10" s="191" t="s">
        <v>944</v>
      </c>
      <c r="F10" s="173" t="s">
        <v>945</v>
      </c>
      <c r="G10" s="173" t="s">
        <v>335</v>
      </c>
      <c r="H10" s="191" t="s">
        <v>946</v>
      </c>
      <c r="I10" s="191" t="s">
        <v>377</v>
      </c>
      <c r="J10" s="209" t="s">
        <v>367</v>
      </c>
      <c r="K10" s="197" t="s">
        <v>942</v>
      </c>
      <c r="L10" s="191" t="s">
        <v>943</v>
      </c>
      <c r="M10" s="191" t="s">
        <v>944</v>
      </c>
      <c r="N10" s="173" t="s">
        <v>945</v>
      </c>
      <c r="O10" s="173" t="s">
        <v>335</v>
      </c>
      <c r="P10" s="191" t="s">
        <v>946</v>
      </c>
      <c r="Q10" s="191" t="s">
        <v>377</v>
      </c>
    </row>
    <row r="11" spans="1:19" s="176" customFormat="1" ht="18" customHeight="1">
      <c r="A11" s="193" t="s">
        <v>372</v>
      </c>
      <c r="B11" s="177"/>
      <c r="C11" s="207" t="s">
        <v>947</v>
      </c>
      <c r="D11" s="178" t="s">
        <v>948</v>
      </c>
      <c r="E11" s="178" t="s">
        <v>949</v>
      </c>
      <c r="F11" s="178" t="s">
        <v>950</v>
      </c>
      <c r="G11" s="178" t="s">
        <v>524</v>
      </c>
      <c r="H11" s="178" t="s">
        <v>951</v>
      </c>
      <c r="I11" s="180" t="s">
        <v>385</v>
      </c>
      <c r="J11" s="211" t="s">
        <v>378</v>
      </c>
      <c r="K11" s="207" t="s">
        <v>947</v>
      </c>
      <c r="L11" s="178" t="s">
        <v>948</v>
      </c>
      <c r="M11" s="178" t="s">
        <v>949</v>
      </c>
      <c r="N11" s="178" t="s">
        <v>950</v>
      </c>
      <c r="O11" s="178" t="s">
        <v>524</v>
      </c>
      <c r="P11" s="178" t="s">
        <v>951</v>
      </c>
      <c r="Q11" s="180" t="s">
        <v>385</v>
      </c>
    </row>
    <row r="12" spans="1:19" s="176" customFormat="1" ht="18" customHeight="1">
      <c r="A12" s="194"/>
      <c r="B12" s="182"/>
      <c r="C12" s="208" t="s">
        <v>952</v>
      </c>
      <c r="D12" s="214" t="s">
        <v>953</v>
      </c>
      <c r="E12" s="214" t="s">
        <v>954</v>
      </c>
      <c r="F12" s="214" t="s">
        <v>955</v>
      </c>
      <c r="G12" s="214"/>
      <c r="H12" s="214" t="s">
        <v>956</v>
      </c>
      <c r="I12" s="215"/>
      <c r="J12" s="212"/>
      <c r="K12" s="208" t="s">
        <v>952</v>
      </c>
      <c r="L12" s="214" t="s">
        <v>953</v>
      </c>
      <c r="M12" s="214" t="s">
        <v>954</v>
      </c>
      <c r="N12" s="214" t="s">
        <v>955</v>
      </c>
      <c r="O12" s="214"/>
      <c r="P12" s="214" t="s">
        <v>956</v>
      </c>
      <c r="Q12" s="214"/>
    </row>
    <row r="13" spans="1:19" s="970" customFormat="1" ht="27" customHeight="1">
      <c r="A13" s="902">
        <v>2010</v>
      </c>
      <c r="B13" s="903"/>
      <c r="C13" s="412">
        <v>7890.3900227920876</v>
      </c>
      <c r="D13" s="412">
        <v>1179.2161562804154</v>
      </c>
      <c r="E13" s="413">
        <v>13580.26240682189</v>
      </c>
      <c r="F13" s="413">
        <v>290.79075185757182</v>
      </c>
      <c r="G13" s="413">
        <v>718.31905887021276</v>
      </c>
      <c r="H13" s="413">
        <v>2.200067885638298</v>
      </c>
      <c r="I13" s="413">
        <v>1695.3241179240422</v>
      </c>
      <c r="J13" s="756">
        <v>25356.502582431855</v>
      </c>
      <c r="K13" s="413">
        <v>8331.1684921599772</v>
      </c>
      <c r="L13" s="413">
        <v>756.42805202076602</v>
      </c>
      <c r="M13" s="413">
        <v>13704.211152143482</v>
      </c>
      <c r="N13" s="413">
        <v>313.21488711590155</v>
      </c>
      <c r="O13" s="1459">
        <v>1412.5000985429265</v>
      </c>
      <c r="P13" s="413">
        <v>12.1</v>
      </c>
      <c r="Q13" s="413">
        <v>826.90707526785104</v>
      </c>
      <c r="R13" s="376">
        <f>J13-C13-D13-E13-F13-G13-H13-I13</f>
        <v>-2.0463630789890885E-12</v>
      </c>
      <c r="S13" s="376">
        <f>J13-K13-L13-M13-N13-O13-P13-Q13</f>
        <v>-2.7174819050173937E-2</v>
      </c>
    </row>
    <row r="14" spans="1:19" s="1460" customFormat="1" ht="18" customHeight="1">
      <c r="A14" s="902">
        <v>2011</v>
      </c>
      <c r="B14" s="903"/>
      <c r="C14" s="412">
        <v>8355.8745253338548</v>
      </c>
      <c r="D14" s="412">
        <v>810.42426605555625</v>
      </c>
      <c r="E14" s="413">
        <v>12483.882951669997</v>
      </c>
      <c r="F14" s="413">
        <v>270.71215553946291</v>
      </c>
      <c r="G14" s="413">
        <v>892.78865233072315</v>
      </c>
      <c r="H14" s="413">
        <v>2.3260133544893606</v>
      </c>
      <c r="I14" s="413">
        <v>1881.3095263013829</v>
      </c>
      <c r="J14" s="756">
        <v>24697.318090585461</v>
      </c>
      <c r="K14" s="412">
        <v>8638.6934557455988</v>
      </c>
      <c r="L14" s="412">
        <v>579.38026915199998</v>
      </c>
      <c r="M14" s="413">
        <v>13128.680897317339</v>
      </c>
      <c r="N14" s="413">
        <v>189.23476821784584</v>
      </c>
      <c r="O14" s="413">
        <v>1466.9091893648776</v>
      </c>
      <c r="P14" s="413">
        <v>7.5309869879999995</v>
      </c>
      <c r="Q14" s="413">
        <v>686.92142658896285</v>
      </c>
      <c r="R14" s="376">
        <v>-5.0022208597511053E-12</v>
      </c>
      <c r="S14" s="376">
        <v>-3.2902789163586021E-2</v>
      </c>
    </row>
    <row r="15" spans="1:19" s="1460" customFormat="1" ht="18" customHeight="1">
      <c r="A15" s="902">
        <v>2012</v>
      </c>
      <c r="B15" s="903"/>
      <c r="C15" s="412">
        <v>8936.7583938506014</v>
      </c>
      <c r="D15" s="412">
        <v>929.73448230020347</v>
      </c>
      <c r="E15" s="413">
        <v>13421.541919685762</v>
      </c>
      <c r="F15" s="413">
        <v>309.79367316557443</v>
      </c>
      <c r="G15" s="413">
        <v>469.30443695727661</v>
      </c>
      <c r="H15" s="413">
        <v>2.1032450742978721</v>
      </c>
      <c r="I15" s="413">
        <v>1492.769480581042</v>
      </c>
      <c r="J15" s="756">
        <v>25562.00563161476</v>
      </c>
      <c r="K15" s="412">
        <v>9230.9247243173177</v>
      </c>
      <c r="L15" s="412">
        <v>563.45714154955749</v>
      </c>
      <c r="M15" s="413">
        <v>14343.073059370125</v>
      </c>
      <c r="N15" s="413">
        <v>195.84919709476594</v>
      </c>
      <c r="O15" s="413">
        <v>731.60364836034057</v>
      </c>
      <c r="P15" s="413">
        <v>1.0695089609999997</v>
      </c>
      <c r="Q15" s="413">
        <v>495.97433423021272</v>
      </c>
      <c r="R15" s="376">
        <v>3.637978807091713E-12</v>
      </c>
      <c r="S15" s="376">
        <v>5.4017731441206251E-2</v>
      </c>
    </row>
    <row r="16" spans="1:19" s="1460" customFormat="1" ht="18" customHeight="1">
      <c r="A16" s="902">
        <v>2013</v>
      </c>
      <c r="B16" s="903"/>
      <c r="C16" s="412">
        <v>9562.9477896030476</v>
      </c>
      <c r="D16" s="412">
        <v>1015.5703076795064</v>
      </c>
      <c r="E16" s="413">
        <v>10369.834711371928</v>
      </c>
      <c r="F16" s="413">
        <v>211.81075065121274</v>
      </c>
      <c r="G16" s="413">
        <v>657.053321194766</v>
      </c>
      <c r="H16" s="413">
        <v>2.7530155313191487</v>
      </c>
      <c r="I16" s="413">
        <v>1478.8289859553752</v>
      </c>
      <c r="J16" s="756">
        <v>23298.808881987152</v>
      </c>
      <c r="K16" s="412">
        <v>10237.56521537966</v>
      </c>
      <c r="L16" s="412">
        <v>707.2367359562553</v>
      </c>
      <c r="M16" s="413">
        <v>11157.199127836848</v>
      </c>
      <c r="N16" s="413">
        <v>203.08304432019148</v>
      </c>
      <c r="O16" s="413">
        <v>690.26401342736165</v>
      </c>
      <c r="P16" s="413">
        <v>0.19109935312765955</v>
      </c>
      <c r="Q16" s="413">
        <v>303.27423404255336</v>
      </c>
      <c r="R16" s="376">
        <v>9.9999999958981789E-3</v>
      </c>
      <c r="S16" s="376">
        <v>-4.5883288458981042E-3</v>
      </c>
    </row>
    <row r="17" spans="1:34" s="1460" customFormat="1" ht="18" customHeight="1">
      <c r="A17" s="902">
        <v>2014</v>
      </c>
      <c r="B17" s="903"/>
      <c r="C17" s="412">
        <v>10488.238875165423</v>
      </c>
      <c r="D17" s="412">
        <v>1179.1303606815411</v>
      </c>
      <c r="E17" s="413">
        <v>10617.470085462517</v>
      </c>
      <c r="F17" s="413">
        <v>145.83733899157446</v>
      </c>
      <c r="G17" s="413">
        <v>561.40343507836587</v>
      </c>
      <c r="H17" s="413">
        <v>4.2935538774042552</v>
      </c>
      <c r="I17" s="413">
        <v>1898.7375770996844</v>
      </c>
      <c r="J17" s="756">
        <v>24895.03122635651</v>
      </c>
      <c r="K17" s="412">
        <v>11159.896191550277</v>
      </c>
      <c r="L17" s="412">
        <v>829.88483321620765</v>
      </c>
      <c r="M17" s="413">
        <v>11727.320414908303</v>
      </c>
      <c r="N17" s="413">
        <v>116.41084358872871</v>
      </c>
      <c r="O17" s="413">
        <v>653.10340342119139</v>
      </c>
      <c r="P17" s="413">
        <v>0.11141530027659573</v>
      </c>
      <c r="Q17" s="413">
        <v>408.32114105718222</v>
      </c>
      <c r="R17" s="376">
        <v>-8.0000000001291482E-2</v>
      </c>
      <c r="S17" s="376">
        <v>-1.7016685655676156E-2</v>
      </c>
    </row>
    <row r="18" spans="1:34" s="1460" customFormat="1" ht="18" customHeight="1">
      <c r="A18" s="902">
        <v>2015</v>
      </c>
      <c r="B18" s="903"/>
      <c r="C18" s="412">
        <v>11498.575955875755</v>
      </c>
      <c r="D18" s="412">
        <v>1118.2062152859787</v>
      </c>
      <c r="E18" s="413">
        <v>10180.083323928267</v>
      </c>
      <c r="F18" s="413">
        <v>152.49154025801064</v>
      </c>
      <c r="G18" s="413">
        <v>505.40363875208516</v>
      </c>
      <c r="H18" s="413">
        <v>3.8903510595744512E-2</v>
      </c>
      <c r="I18" s="413">
        <v>1887.7083803411904</v>
      </c>
      <c r="J18" s="756">
        <v>25342.45795795188</v>
      </c>
      <c r="K18" s="412">
        <v>11770.050898440357</v>
      </c>
      <c r="L18" s="412">
        <v>691.19507130670195</v>
      </c>
      <c r="M18" s="413">
        <v>11856.096708306517</v>
      </c>
      <c r="N18" s="413">
        <v>140.20311325268085</v>
      </c>
      <c r="O18" s="413">
        <v>580.38996185889368</v>
      </c>
      <c r="P18" s="413">
        <v>0.11223100982978725</v>
      </c>
      <c r="Q18" s="413">
        <v>304.42319819946789</v>
      </c>
      <c r="R18" s="376">
        <v>-5.0000000002000888E-2</v>
      </c>
      <c r="S18" s="376">
        <v>-1.3224422568271166E-2</v>
      </c>
    </row>
    <row r="19" spans="1:34" s="1460" customFormat="1" ht="18" customHeight="1">
      <c r="A19" s="902">
        <v>2016</v>
      </c>
      <c r="B19" s="903"/>
      <c r="C19" s="412">
        <v>12221.832050879153</v>
      </c>
      <c r="D19" s="412">
        <v>988.8887977609437</v>
      </c>
      <c r="E19" s="413">
        <v>10733.120021225248</v>
      </c>
      <c r="F19" s="413">
        <v>163.84019281613826</v>
      </c>
      <c r="G19" s="413">
        <v>371.70641893705169</v>
      </c>
      <c r="H19" s="413">
        <v>0.58169855502127654</v>
      </c>
      <c r="I19" s="413">
        <v>1810.5778294911663</v>
      </c>
      <c r="J19" s="756">
        <v>26290.53700966472</v>
      </c>
      <c r="K19" s="412">
        <v>12058.872059951289</v>
      </c>
      <c r="L19" s="412">
        <v>664.09850194428304</v>
      </c>
      <c r="M19" s="413">
        <v>12560.10146326713</v>
      </c>
      <c r="N19" s="413">
        <v>167.02197114142552</v>
      </c>
      <c r="O19" s="413">
        <v>509.41346495740629</v>
      </c>
      <c r="P19" s="413">
        <v>0.55820311285106383</v>
      </c>
      <c r="Q19" s="413">
        <v>330.4423208226462</v>
      </c>
      <c r="R19" s="376">
        <v>-1.0000000001355147E-2</v>
      </c>
      <c r="S19" s="376">
        <v>2.9024467688543609E-2</v>
      </c>
    </row>
    <row r="20" spans="1:34" s="1460" customFormat="1" ht="18" customHeight="1">
      <c r="A20" s="902">
        <v>2017</v>
      </c>
      <c r="B20" s="903"/>
      <c r="C20" s="412">
        <v>12417.675752660667</v>
      </c>
      <c r="D20" s="412">
        <v>1297.9253813911946</v>
      </c>
      <c r="E20" s="413">
        <v>11046.520094957872</v>
      </c>
      <c r="F20" s="413">
        <v>114.27575935183383</v>
      </c>
      <c r="G20" s="413">
        <v>548.69374240537593</v>
      </c>
      <c r="H20" s="413">
        <v>0.77059188176750548</v>
      </c>
      <c r="I20" s="413">
        <v>1319.6385241983678</v>
      </c>
      <c r="J20" s="756">
        <v>26745.499846847077</v>
      </c>
      <c r="K20" s="412">
        <v>12123.199797986686</v>
      </c>
      <c r="L20" s="412">
        <v>1353.6755879829595</v>
      </c>
      <c r="M20" s="413">
        <v>12607.586559539341</v>
      </c>
      <c r="N20" s="413">
        <v>87.300481138132113</v>
      </c>
      <c r="O20" s="413">
        <v>568.82392471382684</v>
      </c>
      <c r="P20" s="413">
        <v>0.7055176436170213</v>
      </c>
      <c r="Q20" s="413">
        <v>4.2285762529785398</v>
      </c>
      <c r="R20" s="376">
        <v>-2.2737367544323206E-12</v>
      </c>
      <c r="S20" s="376">
        <v>-2.0598410464719663E-2</v>
      </c>
    </row>
    <row r="21" spans="1:34" s="1460" customFormat="1" ht="18" customHeight="1">
      <c r="A21" s="902">
        <v>2018</v>
      </c>
      <c r="B21" s="903"/>
      <c r="C21" s="412">
        <f t="shared" ref="C21:Q21" si="0">C25</f>
        <v>12973.940703754573</v>
      </c>
      <c r="D21" s="412">
        <f t="shared" si="0"/>
        <v>1667.7045393166379</v>
      </c>
      <c r="E21" s="413">
        <f t="shared" si="0"/>
        <v>11036.396057784727</v>
      </c>
      <c r="F21" s="413">
        <f t="shared" si="0"/>
        <v>208.88058757254089</v>
      </c>
      <c r="G21" s="413">
        <f t="shared" si="0"/>
        <v>701.81380433791514</v>
      </c>
      <c r="H21" s="413">
        <f t="shared" si="0"/>
        <v>0.71344325531383002</v>
      </c>
      <c r="I21" s="413">
        <f t="shared" si="0"/>
        <v>1338.7758319056211</v>
      </c>
      <c r="J21" s="756">
        <f t="shared" si="0"/>
        <v>27928.234967927336</v>
      </c>
      <c r="K21" s="412">
        <f t="shared" si="0"/>
        <v>12157.168377798756</v>
      </c>
      <c r="L21" s="412">
        <f t="shared" si="0"/>
        <v>1534.7177563647479</v>
      </c>
      <c r="M21" s="413">
        <f t="shared" si="0"/>
        <v>13328.140749456108</v>
      </c>
      <c r="N21" s="413">
        <f t="shared" si="0"/>
        <v>193.99781485134457</v>
      </c>
      <c r="O21" s="413">
        <f t="shared" si="0"/>
        <v>706.9718932171844</v>
      </c>
      <c r="P21" s="413">
        <f t="shared" si="0"/>
        <v>0.72249986314893633</v>
      </c>
      <c r="Q21" s="413">
        <f t="shared" si="0"/>
        <v>6.4650265544044441</v>
      </c>
      <c r="R21" s="1461">
        <f>J21-C21-D21-E21-F21-G21-H21-I21</f>
        <v>1.0000000007494236E-2</v>
      </c>
      <c r="S21" s="376">
        <f>J21-K21-L21-M21-N21-O21-P21-Q21</f>
        <v>5.0849821641355319E-2</v>
      </c>
    </row>
    <row r="22" spans="1:34" s="1460" customFormat="1" ht="18" customHeight="1">
      <c r="A22" s="1462">
        <v>2019</v>
      </c>
      <c r="B22" s="1463"/>
      <c r="C22" s="1464">
        <f t="shared" ref="C22:Q22" si="1">C29</f>
        <v>14241.453063865696</v>
      </c>
      <c r="D22" s="1464">
        <f t="shared" si="1"/>
        <v>1563.0055445919013</v>
      </c>
      <c r="E22" s="1465">
        <f t="shared" si="1"/>
        <v>13641.58948086137</v>
      </c>
      <c r="F22" s="1465">
        <f t="shared" si="1"/>
        <v>151.74124397014916</v>
      </c>
      <c r="G22" s="1465">
        <f t="shared" si="1"/>
        <v>1203.0466399299019</v>
      </c>
      <c r="H22" s="1465">
        <f t="shared" si="1"/>
        <v>0.58498329270850868</v>
      </c>
      <c r="I22" s="1465">
        <f t="shared" si="1"/>
        <v>1281.2395931548135</v>
      </c>
      <c r="J22" s="1466">
        <f t="shared" si="1"/>
        <v>32082.61054966654</v>
      </c>
      <c r="K22" s="1464">
        <f t="shared" si="1"/>
        <v>13054.797748190676</v>
      </c>
      <c r="L22" s="1464">
        <f t="shared" si="1"/>
        <v>4581.8390924066844</v>
      </c>
      <c r="M22" s="1465">
        <f t="shared" si="1"/>
        <v>13204.444114013775</v>
      </c>
      <c r="N22" s="1465">
        <f t="shared" si="1"/>
        <v>134.70329132970215</v>
      </c>
      <c r="O22" s="1465">
        <f t="shared" si="1"/>
        <v>1104.7857438679255</v>
      </c>
      <c r="P22" s="1465">
        <f t="shared" si="1"/>
        <v>0.58455964689361695</v>
      </c>
      <c r="Q22" s="1465">
        <f t="shared" si="1"/>
        <v>1.5301938144680511</v>
      </c>
      <c r="R22" s="376">
        <f>J22-C22-D22-E22-F22-G22-H22-I22</f>
        <v>-4.9999999997908162E-2</v>
      </c>
      <c r="S22" s="376">
        <f>J22-K22-L22-M22-N22-O22-P22-Q22</f>
        <v>-7.4193603586489187E-2</v>
      </c>
    </row>
    <row r="23" spans="1:34" s="1460" customFormat="1" ht="26.25" customHeight="1">
      <c r="A23" s="902">
        <v>2018</v>
      </c>
      <c r="B23" s="903" t="s">
        <v>223</v>
      </c>
      <c r="C23" s="412">
        <v>12524.734442685201</v>
      </c>
      <c r="D23" s="412">
        <v>1152.9484662964912</v>
      </c>
      <c r="E23" s="413">
        <v>11412.890927455926</v>
      </c>
      <c r="F23" s="413">
        <v>100.6448577511313</v>
      </c>
      <c r="G23" s="413">
        <v>550.457821086732</v>
      </c>
      <c r="H23" s="413">
        <v>0.72089485701385447</v>
      </c>
      <c r="I23" s="413">
        <v>1348.1202022104333</v>
      </c>
      <c r="J23" s="756">
        <v>27090.42761234293</v>
      </c>
      <c r="K23" s="412">
        <v>12240.643351439801</v>
      </c>
      <c r="L23" s="412">
        <v>1367.0615225977358</v>
      </c>
      <c r="M23" s="413">
        <v>12866.493182259437</v>
      </c>
      <c r="N23" s="413">
        <v>95.525363915219515</v>
      </c>
      <c r="O23" s="413">
        <v>518.30818220875108</v>
      </c>
      <c r="P23" s="413">
        <v>0.70827485385106381</v>
      </c>
      <c r="Q23" s="413">
        <v>1.682651724361484</v>
      </c>
      <c r="R23" s="376">
        <f t="shared" ref="R23" si="2">J23-C23-D23-E23-F23-G23-H23-I23</f>
        <v>-8.9999999999690772E-2</v>
      </c>
      <c r="S23" s="376">
        <f t="shared" ref="S23" si="3">J23-K23-L23-M23-N23-O23-P23-Q23</f>
        <v>5.0833437720663177E-3</v>
      </c>
    </row>
    <row r="24" spans="1:34" s="1460" customFormat="1" ht="18" customHeight="1">
      <c r="A24" s="902"/>
      <c r="B24" s="903" t="s">
        <v>224</v>
      </c>
      <c r="C24" s="412">
        <v>12757.235312482253</v>
      </c>
      <c r="D24" s="412">
        <v>1593.6612021436554</v>
      </c>
      <c r="E24" s="413">
        <v>11219.578894806813</v>
      </c>
      <c r="F24" s="413">
        <v>113.01797832161978</v>
      </c>
      <c r="G24" s="413">
        <v>596.46483753749578</v>
      </c>
      <c r="H24" s="413">
        <v>0.69570873594293692</v>
      </c>
      <c r="I24" s="413">
        <v>1300.2933876465534</v>
      </c>
      <c r="J24" s="756">
        <v>27580.95732167433</v>
      </c>
      <c r="K24" s="412">
        <v>12046.503664768736</v>
      </c>
      <c r="L24" s="412">
        <v>1617.5988374663712</v>
      </c>
      <c r="M24" s="413">
        <v>13253.105141869237</v>
      </c>
      <c r="N24" s="413">
        <v>99.988956939714896</v>
      </c>
      <c r="O24" s="413">
        <v>537.56358329550983</v>
      </c>
      <c r="P24" s="413">
        <v>0.71203027423404264</v>
      </c>
      <c r="Q24" s="413">
        <v>25.45598174431905</v>
      </c>
      <c r="R24" s="1461">
        <v>9.9999999968076736E-3</v>
      </c>
      <c r="S24" s="1461">
        <v>2.9125316209622554E-2</v>
      </c>
      <c r="T24" s="1467"/>
      <c r="U24" s="1467"/>
      <c r="V24" s="1467"/>
      <c r="W24" s="1467"/>
    </row>
    <row r="25" spans="1:34" s="1460" customFormat="1" ht="18" customHeight="1">
      <c r="A25" s="902"/>
      <c r="B25" s="903" t="s">
        <v>225</v>
      </c>
      <c r="C25" s="412">
        <v>12973.940703754573</v>
      </c>
      <c r="D25" s="412">
        <v>1667.7045393166379</v>
      </c>
      <c r="E25" s="413">
        <v>11036.396057784727</v>
      </c>
      <c r="F25" s="413">
        <v>208.88058757254089</v>
      </c>
      <c r="G25" s="413">
        <v>701.81380433791514</v>
      </c>
      <c r="H25" s="413">
        <v>0.71344325531383002</v>
      </c>
      <c r="I25" s="413">
        <v>1338.7758319056211</v>
      </c>
      <c r="J25" s="756">
        <v>27928.234967927336</v>
      </c>
      <c r="K25" s="412">
        <v>12157.168377798756</v>
      </c>
      <c r="L25" s="412">
        <v>1534.7177563647479</v>
      </c>
      <c r="M25" s="413">
        <v>13328.140749456108</v>
      </c>
      <c r="N25" s="413">
        <v>193.99781485134457</v>
      </c>
      <c r="O25" s="413">
        <v>706.9718932171844</v>
      </c>
      <c r="P25" s="413">
        <v>0.72249986314893633</v>
      </c>
      <c r="Q25" s="413">
        <v>6.4650265544044441</v>
      </c>
      <c r="R25" s="376">
        <v>1.0000000007494236E-2</v>
      </c>
      <c r="S25" s="376">
        <v>5.0849821641355319E-2</v>
      </c>
    </row>
    <row r="26" spans="1:34" s="1460" customFormat="1" ht="27" customHeight="1">
      <c r="A26" s="902">
        <v>2019</v>
      </c>
      <c r="B26" s="903" t="s">
        <v>222</v>
      </c>
      <c r="C26" s="412">
        <v>13769.77057987759</v>
      </c>
      <c r="D26" s="412">
        <v>1600.786447134906</v>
      </c>
      <c r="E26" s="413">
        <v>12438.544996715149</v>
      </c>
      <c r="F26" s="413">
        <v>124.54408862302715</v>
      </c>
      <c r="G26" s="413">
        <v>742.91107686081955</v>
      </c>
      <c r="H26" s="413">
        <v>0.78349732395473448</v>
      </c>
      <c r="I26" s="413">
        <v>1383.0877740371595</v>
      </c>
      <c r="J26" s="756">
        <v>30060.438460572605</v>
      </c>
      <c r="K26" s="412">
        <v>13424.700255610544</v>
      </c>
      <c r="L26" s="412">
        <v>1624.2993525797385</v>
      </c>
      <c r="M26" s="413">
        <v>14154.995143919323</v>
      </c>
      <c r="N26" s="413">
        <v>119.49389576333247</v>
      </c>
      <c r="O26" s="413">
        <v>734.88243071538034</v>
      </c>
      <c r="P26" s="413">
        <v>0.71923925051063831</v>
      </c>
      <c r="Q26" s="413">
        <v>1.3095042985104659</v>
      </c>
      <c r="R26" s="1461">
        <v>9.999999999308784E-3</v>
      </c>
      <c r="S26" s="1461">
        <v>3.8638435265053284E-2</v>
      </c>
      <c r="T26" s="1467"/>
    </row>
    <row r="27" spans="1:34" s="1460" customFormat="1" ht="18" customHeight="1">
      <c r="A27" s="902"/>
      <c r="B27" s="903" t="s">
        <v>223</v>
      </c>
      <c r="C27" s="412">
        <f t="shared" ref="C27:Q27" si="4">C33</f>
        <v>13865.365818031396</v>
      </c>
      <c r="D27" s="412">
        <f t="shared" si="4"/>
        <v>1288.2120265664694</v>
      </c>
      <c r="E27" s="413">
        <f t="shared" si="4"/>
        <v>13329.534364974603</v>
      </c>
      <c r="F27" s="413">
        <f t="shared" si="4"/>
        <v>84.592967201658283</v>
      </c>
      <c r="G27" s="413">
        <f t="shared" si="4"/>
        <v>838.64165105870177</v>
      </c>
      <c r="H27" s="413">
        <f t="shared" si="4"/>
        <v>0.71444224364491926</v>
      </c>
      <c r="I27" s="413">
        <f t="shared" si="4"/>
        <v>1330.4832587948213</v>
      </c>
      <c r="J27" s="756">
        <f t="shared" si="4"/>
        <v>30737.494528871295</v>
      </c>
      <c r="K27" s="412">
        <f t="shared" si="4"/>
        <v>12808.727375983684</v>
      </c>
      <c r="L27" s="412">
        <f t="shared" si="4"/>
        <v>3959.839344627776</v>
      </c>
      <c r="M27" s="413">
        <f t="shared" si="4"/>
        <v>13145.934638555478</v>
      </c>
      <c r="N27" s="413">
        <f t="shared" si="4"/>
        <v>77.085428197952211</v>
      </c>
      <c r="O27" s="413">
        <f t="shared" si="4"/>
        <v>732.79782043519742</v>
      </c>
      <c r="P27" s="413">
        <f t="shared" si="4"/>
        <v>0.52045692480851069</v>
      </c>
      <c r="Q27" s="413">
        <f t="shared" si="4"/>
        <v>12.71755151127671</v>
      </c>
      <c r="R27" s="1461">
        <f t="shared" ref="R27" si="5">J27-C27-D27-E27-F27-G27-H27-I27</f>
        <v>-5.0000000000636646E-2</v>
      </c>
      <c r="S27" s="1461">
        <f t="shared" ref="S27" si="6">J27-K27-L27-M27-N27-O27-P27-Q27</f>
        <v>-0.12808736488089423</v>
      </c>
      <c r="T27" s="1467"/>
      <c r="U27" s="1467"/>
      <c r="V27" s="1467"/>
      <c r="W27" s="1467"/>
      <c r="X27" s="1467"/>
      <c r="Y27" s="1467"/>
      <c r="Z27" s="1467"/>
      <c r="AA27" s="1467"/>
      <c r="AB27" s="1467"/>
      <c r="AC27" s="1467"/>
      <c r="AD27" s="1467"/>
      <c r="AE27" s="1467"/>
      <c r="AF27" s="1467"/>
      <c r="AG27" s="1467"/>
      <c r="AH27" s="1467"/>
    </row>
    <row r="28" spans="1:34" s="1460" customFormat="1" ht="18" customHeight="1">
      <c r="A28" s="902"/>
      <c r="B28" s="903" t="s">
        <v>224</v>
      </c>
      <c r="C28" s="412">
        <f t="shared" ref="C28:Q28" si="7">C36</f>
        <v>13576.492271876132</v>
      </c>
      <c r="D28" s="412">
        <f t="shared" si="7"/>
        <v>1418.4455673650568</v>
      </c>
      <c r="E28" s="413">
        <f t="shared" si="7"/>
        <v>13732.739257112724</v>
      </c>
      <c r="F28" s="413">
        <f t="shared" si="7"/>
        <v>84.097560556175239</v>
      </c>
      <c r="G28" s="413">
        <f t="shared" si="7"/>
        <v>1186.9094023069533</v>
      </c>
      <c r="H28" s="413">
        <f t="shared" si="7"/>
        <v>0.52338696143574048</v>
      </c>
      <c r="I28" s="413">
        <f t="shared" si="7"/>
        <v>1278.9783928570623</v>
      </c>
      <c r="J28" s="756">
        <f t="shared" si="7"/>
        <v>31278.115839035538</v>
      </c>
      <c r="K28" s="412">
        <f t="shared" si="7"/>
        <v>12670.473529660001</v>
      </c>
      <c r="L28" s="412">
        <f t="shared" si="7"/>
        <v>4019.895870084325</v>
      </c>
      <c r="M28" s="413">
        <f t="shared" si="7"/>
        <v>13403.1258870126</v>
      </c>
      <c r="N28" s="413">
        <f t="shared" si="7"/>
        <v>75.878054013744674</v>
      </c>
      <c r="O28" s="413">
        <f t="shared" si="7"/>
        <v>1103.2037674536807</v>
      </c>
      <c r="P28" s="413">
        <f t="shared" si="7"/>
        <v>0.51498754802127666</v>
      </c>
      <c r="Q28" s="413">
        <f t="shared" si="7"/>
        <v>5.0413097458294764</v>
      </c>
      <c r="R28" s="1461">
        <f t="shared" ref="R28" si="8">J28-C28-D28-E28-F28-G28-H28-I28</f>
        <v>-7.0000000003801688E-2</v>
      </c>
      <c r="S28" s="1461">
        <f t="shared" ref="S28" si="9">J28-K28-L28-M28-N28-O28-P28-Q28</f>
        <v>-1.7566482664938654E-2</v>
      </c>
      <c r="T28" s="1467"/>
    </row>
    <row r="29" spans="1:34" s="1467" customFormat="1" ht="18" customHeight="1">
      <c r="A29" s="902"/>
      <c r="B29" s="903" t="s">
        <v>225</v>
      </c>
      <c r="C29" s="412">
        <f t="shared" ref="C29:Q29" si="10">C39</f>
        <v>14241.453063865696</v>
      </c>
      <c r="D29" s="412">
        <f t="shared" si="10"/>
        <v>1563.0055445919013</v>
      </c>
      <c r="E29" s="413">
        <f t="shared" si="10"/>
        <v>13641.58948086137</v>
      </c>
      <c r="F29" s="413">
        <f t="shared" si="10"/>
        <v>151.74124397014916</v>
      </c>
      <c r="G29" s="413">
        <f t="shared" si="10"/>
        <v>1203.0466399299019</v>
      </c>
      <c r="H29" s="413">
        <f t="shared" si="10"/>
        <v>0.58498329270850868</v>
      </c>
      <c r="I29" s="413">
        <f t="shared" si="10"/>
        <v>1281.2395931548135</v>
      </c>
      <c r="J29" s="756">
        <f t="shared" si="10"/>
        <v>32082.61054966654</v>
      </c>
      <c r="K29" s="412">
        <f t="shared" si="10"/>
        <v>13054.797748190676</v>
      </c>
      <c r="L29" s="412">
        <f t="shared" si="10"/>
        <v>4581.8390924066844</v>
      </c>
      <c r="M29" s="413">
        <f t="shared" si="10"/>
        <v>13204.444114013775</v>
      </c>
      <c r="N29" s="413">
        <f t="shared" si="10"/>
        <v>134.70329132970215</v>
      </c>
      <c r="O29" s="413">
        <f t="shared" si="10"/>
        <v>1104.7857438679255</v>
      </c>
      <c r="P29" s="413">
        <f t="shared" si="10"/>
        <v>0.58455964689361695</v>
      </c>
      <c r="Q29" s="413">
        <f t="shared" si="10"/>
        <v>1.5301938144680511</v>
      </c>
      <c r="R29" s="1461">
        <f t="shared" ref="R29" si="11">J29-C29-D29-E29-F29-G29-H29-I29</f>
        <v>-4.9999999997908162E-2</v>
      </c>
      <c r="S29" s="1461">
        <f t="shared" ref="S29" si="12">J29-K29-L29-M29-N29-O29-P29-Q29</f>
        <v>-7.4193603586489187E-2</v>
      </c>
    </row>
    <row r="30" spans="1:34" s="1460" customFormat="1" ht="21" customHeight="1">
      <c r="A30" s="1462">
        <v>2020</v>
      </c>
      <c r="B30" s="1463" t="s">
        <v>222</v>
      </c>
      <c r="C30" s="1464">
        <f t="shared" ref="C30:Q30" si="13">C42</f>
        <v>14490.941409327459</v>
      </c>
      <c r="D30" s="1464">
        <f t="shared" si="13"/>
        <v>1423.8369746034407</v>
      </c>
      <c r="E30" s="1465">
        <f t="shared" si="13"/>
        <v>14050.409705363942</v>
      </c>
      <c r="F30" s="1465">
        <f t="shared" si="13"/>
        <v>85.334818621299718</v>
      </c>
      <c r="G30" s="1465">
        <f t="shared" si="13"/>
        <v>1205.7967023719002</v>
      </c>
      <c r="H30" s="1465">
        <f t="shared" si="13"/>
        <v>0.59264407264201935</v>
      </c>
      <c r="I30" s="1465">
        <f t="shared" si="13"/>
        <v>1278.9955510136474</v>
      </c>
      <c r="J30" s="1466">
        <f t="shared" si="13"/>
        <v>32535.801209629644</v>
      </c>
      <c r="K30" s="1464">
        <f t="shared" si="13"/>
        <v>13283.449957160783</v>
      </c>
      <c r="L30" s="1464">
        <f t="shared" si="13"/>
        <v>5046.709030206368</v>
      </c>
      <c r="M30" s="1465">
        <f t="shared" si="13"/>
        <v>13032.541413977491</v>
      </c>
      <c r="N30" s="1465">
        <f t="shared" si="13"/>
        <v>77.929906047812793</v>
      </c>
      <c r="O30" s="1465">
        <f t="shared" si="13"/>
        <v>1085.7056666283738</v>
      </c>
      <c r="P30" s="1465">
        <f t="shared" si="13"/>
        <v>0.58957891142553198</v>
      </c>
      <c r="Q30" s="1465">
        <f t="shared" si="13"/>
        <v>9.0433708633403658</v>
      </c>
      <c r="R30" s="376">
        <f t="shared" ref="R30" si="14">J30-C30-D30-E30-F30-G30-H30-I30</f>
        <v>-0.10659574468809296</v>
      </c>
      <c r="S30" s="376">
        <f t="shared" ref="S30" si="15">J30-K30-L30-M30-N30-O30-P30-Q30</f>
        <v>-0.1677141659486594</v>
      </c>
    </row>
    <row r="31" spans="1:34" s="159" customFormat="1" ht="26.25" customHeight="1">
      <c r="A31" s="909">
        <v>2019</v>
      </c>
      <c r="B31" s="910" t="s">
        <v>399</v>
      </c>
      <c r="C31" s="782">
        <f>'[58]4'!$G$14</f>
        <v>13634.321144935666</v>
      </c>
      <c r="D31" s="782">
        <f>SUM('[58]4'!$G$21:$G$22)+0.02</f>
        <v>1464.9581822419427</v>
      </c>
      <c r="E31" s="794">
        <f>'[58]4'!$G$16</f>
        <v>12636.586888314265</v>
      </c>
      <c r="F31" s="794">
        <f>'[58]4'!$G$17</f>
        <v>121.69755556676073</v>
      </c>
      <c r="G31" s="794">
        <f>'[58]4'!$G$20+0.02</f>
        <v>809.06089588908355</v>
      </c>
      <c r="H31" s="794">
        <f>'[58]4'!$G$18</f>
        <v>0.76548369242016001</v>
      </c>
      <c r="I31" s="794">
        <f>'[58]4'!$G$19+'[58]4'!$G$23</f>
        <v>1364.7291427722441</v>
      </c>
      <c r="J31" s="778">
        <f>'[58]4'!$G$24+0.1</f>
        <v>30032.179293412381</v>
      </c>
      <c r="K31" s="782">
        <f>'[58]4'!$D$14+0.03</f>
        <v>12937.655060287832</v>
      </c>
      <c r="L31" s="782">
        <f>SUM('[58]4'!$D$21:$D$22)</f>
        <v>1710.4956249598845</v>
      </c>
      <c r="M31" s="794">
        <f>'[58]4'!$D$16</f>
        <v>14557.820468336135</v>
      </c>
      <c r="N31" s="794">
        <f>'[58]4'!$D$17</f>
        <v>121.01782674871497</v>
      </c>
      <c r="O31" s="794">
        <f>'[58]4'!$D$20</f>
        <v>691.31294359287813</v>
      </c>
      <c r="P31" s="794">
        <f>'[58]4'!$D$18</f>
        <v>0.71396940087234051</v>
      </c>
      <c r="Q31" s="794">
        <f>'[58]4'!$D$19+'[58]4'!$D$23</f>
        <v>13.217652194787455</v>
      </c>
      <c r="R31" s="911">
        <f t="shared" ref="R31" si="16">J31-C31-D31-E31-F31-G31-H31-I31</f>
        <v>5.9999999997216946E-2</v>
      </c>
      <c r="S31" s="911">
        <f t="shared" ref="S31" si="17">J31-K31-L31-M31-N31-O31-P31-Q31</f>
        <v>-5.4252108724700321E-2</v>
      </c>
      <c r="T31" s="469"/>
    </row>
    <row r="32" spans="1:34" s="159" customFormat="1" ht="18" customHeight="1">
      <c r="A32" s="909"/>
      <c r="B32" s="910" t="s">
        <v>400</v>
      </c>
      <c r="C32" s="782">
        <f>'[59]4'!$G$14+0.05</f>
        <v>13756.877854805267</v>
      </c>
      <c r="D32" s="782">
        <f>SUM('[59]4'!$G$21:$G$22)</f>
        <v>1472.7034670203716</v>
      </c>
      <c r="E32" s="794">
        <f>'[59]4'!$G$16</f>
        <v>13294.492855836817</v>
      </c>
      <c r="F32" s="794">
        <f>'[59]4'!$G$17</f>
        <v>112.9371393526723</v>
      </c>
      <c r="G32" s="794">
        <f>'[59]4'!$G$20</f>
        <v>842.42268792937148</v>
      </c>
      <c r="H32" s="794">
        <f>'[59]4'!$G$18</f>
        <v>0.70702538992281938</v>
      </c>
      <c r="I32" s="794">
        <f>'[59]4'!$G$19+'[59]4'!$G$23</f>
        <v>1419.8555955334475</v>
      </c>
      <c r="J32" s="778">
        <f>'[59]4'!$G$24+0.05</f>
        <v>30899.996625867869</v>
      </c>
      <c r="K32" s="782">
        <f>'[59]4'!$D$14+0.05</f>
        <v>12822.777545028277</v>
      </c>
      <c r="L32" s="782">
        <f>SUM('[59]4'!$D$21:$D$22)</f>
        <v>4025.6626374492375</v>
      </c>
      <c r="M32" s="794">
        <f>'[59]4'!$D$16</f>
        <v>13225.393733132021</v>
      </c>
      <c r="N32" s="794">
        <f>'[59]4'!$D$17</f>
        <v>96.219640777372334</v>
      </c>
      <c r="O32" s="794">
        <f>'[59]4'!$D$20</f>
        <v>714.68607761927353</v>
      </c>
      <c r="P32" s="794">
        <f>'[59]4'!$D$18</f>
        <v>0.67833763861702134</v>
      </c>
      <c r="Q32" s="794">
        <f>'[59]4'!$D$19+'[59]4'!$D$23+0.05</f>
        <v>14.484932107021079</v>
      </c>
      <c r="R32" s="911">
        <f t="shared" ref="R32" si="18">J32-C32-D32-E32-F32-G32-H32-I32</f>
        <v>0</v>
      </c>
      <c r="S32" s="911">
        <f t="shared" ref="S32" si="19">J32-K32-L32-M32-N32-O32-P32-Q32</f>
        <v>9.3722116047619153E-2</v>
      </c>
      <c r="T32" s="469"/>
    </row>
    <row r="33" spans="1:20" s="159" customFormat="1" ht="18" customHeight="1">
      <c r="A33" s="909"/>
      <c r="B33" s="910" t="s">
        <v>401</v>
      </c>
      <c r="C33" s="782">
        <f>'[60]4'!$G$14</f>
        <v>13865.365818031396</v>
      </c>
      <c r="D33" s="782">
        <f>SUM('[60]4'!$G$21:$G$22)</f>
        <v>1288.2120265664694</v>
      </c>
      <c r="E33" s="794">
        <f>'[60]4'!$G$16</f>
        <v>13329.534364974603</v>
      </c>
      <c r="F33" s="794">
        <f>'[60]4'!$G$17</f>
        <v>84.592967201658283</v>
      </c>
      <c r="G33" s="794">
        <f>'[60]4'!$G$20</f>
        <v>838.64165105870177</v>
      </c>
      <c r="H33" s="794">
        <f>'[60]4'!$G$18</f>
        <v>0.71444224364491926</v>
      </c>
      <c r="I33" s="794">
        <f>'[60]4'!$G$19+'[60]4'!$G$23</f>
        <v>1330.4832587948213</v>
      </c>
      <c r="J33" s="778">
        <f>'[60]4'!$G$24-0.05</f>
        <v>30737.494528871295</v>
      </c>
      <c r="K33" s="782">
        <f>'[60]4'!$D$14-0.1</f>
        <v>12808.727375983684</v>
      </c>
      <c r="L33" s="782">
        <f>SUM('[60]4'!$D$21:$D$22)</f>
        <v>3959.839344627776</v>
      </c>
      <c r="M33" s="794">
        <f>'[60]4'!$D$16-0.1</f>
        <v>13145.934638555478</v>
      </c>
      <c r="N33" s="794">
        <f>'[60]4'!$D$17-0.1</f>
        <v>77.085428197952211</v>
      </c>
      <c r="O33" s="794">
        <f>'[60]4'!$D$20-0.1</f>
        <v>732.79782043519742</v>
      </c>
      <c r="P33" s="794">
        <f>'[60]4'!$D$18</f>
        <v>0.52045692480851069</v>
      </c>
      <c r="Q33" s="794">
        <f>'[60]4'!$D$19+'[60]4'!$D$23</f>
        <v>12.71755151127671</v>
      </c>
      <c r="R33" s="911">
        <f t="shared" ref="R33" si="20">J33-C33-D33-E33-F33-G33-H33-I33</f>
        <v>-5.0000000000636646E-2</v>
      </c>
      <c r="S33" s="911">
        <f t="shared" ref="S33" si="21">J33-K33-L33-M33-N33-O33-P33-Q33</f>
        <v>-0.12808736488089423</v>
      </c>
      <c r="T33" s="469"/>
    </row>
    <row r="34" spans="1:20" s="159" customFormat="1" ht="18" customHeight="1">
      <c r="A34" s="909"/>
      <c r="B34" s="910" t="s">
        <v>402</v>
      </c>
      <c r="C34" s="782">
        <f>'[61]4'!$G$14</f>
        <v>13833.650184816881</v>
      </c>
      <c r="D34" s="782">
        <f>SUM('[61]4'!$G$21:$G$22)</f>
        <v>1296.7353422956517</v>
      </c>
      <c r="E34" s="794">
        <f>'[61]4'!$G$16+0.01</f>
        <v>12906.742970861005</v>
      </c>
      <c r="F34" s="794">
        <f>'[61]4'!$G$17</f>
        <v>84.415953129628463</v>
      </c>
      <c r="G34" s="794">
        <f>'[61]4'!$G$20</f>
        <v>1052.0393818135526</v>
      </c>
      <c r="H34" s="794">
        <f>'[61]4'!$G$18</f>
        <v>0.53357080453853623</v>
      </c>
      <c r="I34" s="794">
        <f>'[61]4'!$G$19+'[61]4'!$G$23</f>
        <v>1316.0271168359134</v>
      </c>
      <c r="J34" s="778">
        <f>'[61]4'!$G$24-0.1</f>
        <v>30490.034520557172</v>
      </c>
      <c r="K34" s="782">
        <f>'[61]4'!$D$14</f>
        <v>12615.348635965049</v>
      </c>
      <c r="L34" s="782">
        <f>SUM('[61]4'!$D$21:$D$22)</f>
        <v>4008.7341842243636</v>
      </c>
      <c r="M34" s="794">
        <f>'[61]4'!$D$16</f>
        <v>12829.716483700469</v>
      </c>
      <c r="N34" s="794">
        <f>'[61]4'!$D$17</f>
        <v>77.417010457700385</v>
      </c>
      <c r="O34" s="794">
        <f>'[61]4'!$D$20+0.01</f>
        <v>935.85603666246902</v>
      </c>
      <c r="P34" s="794">
        <f>'[61]4'!$D$18</f>
        <v>0.51233122557446809</v>
      </c>
      <c r="Q34" s="794">
        <f>'[61]4'!$D$19+'[61]4'!$D$23</f>
        <v>22.480579178829693</v>
      </c>
      <c r="R34" s="911">
        <f t="shared" ref="R34" si="22">J34-C34-D34-E34-F34-G34-H34-I34</f>
        <v>-0.10999999999853571</v>
      </c>
      <c r="S34" s="911">
        <f t="shared" ref="S34" si="23">J34-K34-L34-M34-N34-O34-P34-Q34</f>
        <v>-3.0740857283621636E-2</v>
      </c>
      <c r="T34" s="469"/>
    </row>
    <row r="35" spans="1:20" s="159" customFormat="1" ht="18" customHeight="1">
      <c r="A35" s="909"/>
      <c r="B35" s="910" t="s">
        <v>403</v>
      </c>
      <c r="C35" s="782">
        <f>'[62]4'!$G$14</f>
        <v>13661.376321410517</v>
      </c>
      <c r="D35" s="782">
        <f>SUM('[62]4'!$G$21:$G$22)</f>
        <v>1286.4716903947583</v>
      </c>
      <c r="E35" s="794">
        <f>'[62]4'!$G$16-0.02</f>
        <v>12651.241195415385</v>
      </c>
      <c r="F35" s="794">
        <f>'[62]4'!$G$17</f>
        <v>84.501103691719379</v>
      </c>
      <c r="G35" s="794">
        <f>'[62]4'!$G$20</f>
        <v>1070.5129604496713</v>
      </c>
      <c r="H35" s="794">
        <f>'[62]4'!$G$18</f>
        <v>0.53567451806513178</v>
      </c>
      <c r="I35" s="794">
        <f>'[62]4'!$G$19+'[62]4'!$G$23</f>
        <v>1275.7664703563955</v>
      </c>
      <c r="J35" s="778">
        <f>'[62]4'!$G$24</f>
        <v>30030.425416236514</v>
      </c>
      <c r="K35" s="782">
        <f>'[62]4'!$D$14</f>
        <v>12611.624387820293</v>
      </c>
      <c r="L35" s="782">
        <f>SUM('[62]4'!$D$21:$D$22)</f>
        <v>4128.3603739509836</v>
      </c>
      <c r="M35" s="794">
        <f>'[62]4'!$D$16</f>
        <v>12240.999012708169</v>
      </c>
      <c r="N35" s="794">
        <f>'[62]4'!$D$17</f>
        <v>77.310824913988029</v>
      </c>
      <c r="O35" s="794">
        <f>'[62]4'!$D$20</f>
        <v>950.10800691867189</v>
      </c>
      <c r="P35" s="794">
        <f>'[62]4'!$D$18</f>
        <v>0.52325356051063832</v>
      </c>
      <c r="Q35" s="794">
        <f>'[62]4'!$D$19+'[62]4'!$D$23+0.02</f>
        <v>21.460394718723109</v>
      </c>
      <c r="R35" s="911">
        <f t="shared" ref="R35" si="24">J35-C35-D35-E35-F35-G35-H35-I35</f>
        <v>2.0000000002028173E-2</v>
      </c>
      <c r="S35" s="911">
        <f t="shared" ref="S35" si="25">J35-K35-L35-M35-N35-O35-P35-Q35</f>
        <v>3.9161645176491788E-2</v>
      </c>
      <c r="T35" s="469"/>
    </row>
    <row r="36" spans="1:20" s="159" customFormat="1" ht="18" customHeight="1">
      <c r="A36" s="909"/>
      <c r="B36" s="910" t="s">
        <v>404</v>
      </c>
      <c r="C36" s="782">
        <f>'[63]4'!$G$14</f>
        <v>13576.492271876132</v>
      </c>
      <c r="D36" s="782">
        <f>SUM('[63]4'!$G$21:$G$22)</f>
        <v>1418.4455673650568</v>
      </c>
      <c r="E36" s="794">
        <f>'[63]4'!$G$16-0.03</f>
        <v>13732.739257112724</v>
      </c>
      <c r="F36" s="794">
        <f>'[63]4'!$G$17</f>
        <v>84.097560556175239</v>
      </c>
      <c r="G36" s="794">
        <f>'[63]4'!$G$20</f>
        <v>1186.9094023069533</v>
      </c>
      <c r="H36" s="794">
        <f>'[63]4'!$G$18</f>
        <v>0.52338696143574048</v>
      </c>
      <c r="I36" s="794">
        <f>'[63]4'!$G$19+'[63]4'!$G$23</f>
        <v>1278.9783928570623</v>
      </c>
      <c r="J36" s="778">
        <f>'[63]4'!$G$24-0.1</f>
        <v>31278.115839035538</v>
      </c>
      <c r="K36" s="782">
        <f>'[63]4'!$D$14</f>
        <v>12670.473529660001</v>
      </c>
      <c r="L36" s="782">
        <f>SUM('[63]4'!$D$21:$D$22)</f>
        <v>4019.895870084325</v>
      </c>
      <c r="M36" s="794">
        <f>'[63]4'!$D$16</f>
        <v>13403.1258870126</v>
      </c>
      <c r="N36" s="794">
        <f>'[63]4'!$D$17</f>
        <v>75.878054013744674</v>
      </c>
      <c r="O36" s="794">
        <f>'[63]4'!$D$20</f>
        <v>1103.2037674536807</v>
      </c>
      <c r="P36" s="794">
        <f>'[63]4'!$D$18</f>
        <v>0.51498754802127666</v>
      </c>
      <c r="Q36" s="794">
        <f>'[63]4'!$D$19+'[63]4'!$D$23-0.03</f>
        <v>5.0413097458294764</v>
      </c>
      <c r="R36" s="911">
        <f t="shared" ref="R36" si="26">J36-C36-D36-E36-F36-G36-H36-I36</f>
        <v>-7.0000000003801688E-2</v>
      </c>
      <c r="S36" s="911">
        <f t="shared" ref="S36" si="27">J36-K36-L36-M36-N36-O36-P36-Q36</f>
        <v>-1.7566482664938654E-2</v>
      </c>
      <c r="T36" s="469"/>
    </row>
    <row r="37" spans="1:20" s="159" customFormat="1" ht="18" customHeight="1">
      <c r="A37" s="909"/>
      <c r="B37" s="910" t="s">
        <v>405</v>
      </c>
      <c r="C37" s="782">
        <f>'[64]4'!$G$14</f>
        <v>13774.074812856656</v>
      </c>
      <c r="D37" s="782">
        <f>SUM('[64]4'!$G$21:$G$22)</f>
        <v>1332.4811163157356</v>
      </c>
      <c r="E37" s="794">
        <f>'[64]4'!$G$16</f>
        <v>13108.969331683413</v>
      </c>
      <c r="F37" s="794">
        <f>'[64]4'!$G$17</f>
        <v>91.645724702247037</v>
      </c>
      <c r="G37" s="794">
        <f>'[64]4'!$G$20-0.02</f>
        <v>1239.9441274467863</v>
      </c>
      <c r="H37" s="794">
        <f>'[64]4'!$G$18</f>
        <v>0.54610495515116597</v>
      </c>
      <c r="I37" s="794">
        <f>'[64]4'!$G$19+'[64]4'!$G$23</f>
        <v>1335.976761788113</v>
      </c>
      <c r="J37" s="778">
        <f>'[64]4'!$G$24-0.02</f>
        <v>30883.637979748099</v>
      </c>
      <c r="K37" s="782">
        <f>'[64]4'!$D$14</f>
        <v>12727.632377945047</v>
      </c>
      <c r="L37" s="782">
        <f>SUM('[64]4'!$D$21:$D$22)</f>
        <v>4373.5842717869491</v>
      </c>
      <c r="M37" s="794">
        <f>'[64]4'!$D$16</f>
        <v>12549.988642458557</v>
      </c>
      <c r="N37" s="794">
        <f>'[64]4'!$D$17</f>
        <v>69.603908113979671</v>
      </c>
      <c r="O37" s="794">
        <f>'[64]4'!$D$20</f>
        <v>1159.7902847936721</v>
      </c>
      <c r="P37" s="794">
        <f>'[64]4'!$D$18</f>
        <v>0.53319596955319148</v>
      </c>
      <c r="Q37" s="794">
        <f>'[64]4'!$D$19+'[64]4'!$D$23</f>
        <v>2.5251302378511959</v>
      </c>
      <c r="R37" s="911">
        <f t="shared" ref="R37" si="28">J37-C37-D37-E37-F37-G37-H37-I37</f>
        <v>-2.9558577807620168E-12</v>
      </c>
      <c r="S37" s="911">
        <f t="shared" ref="S37" si="29">J37-K37-L37-M37-N37-O37-P37-Q37</f>
        <v>-1.9831557510041176E-2</v>
      </c>
      <c r="T37" s="469"/>
    </row>
    <row r="38" spans="1:20" s="159" customFormat="1" ht="18" customHeight="1">
      <c r="A38" s="909"/>
      <c r="B38" s="910" t="s">
        <v>406</v>
      </c>
      <c r="C38" s="782">
        <f>'[65]4'!$G$14</f>
        <v>14031.501780863851</v>
      </c>
      <c r="D38" s="782">
        <f>SUM('[65]4'!$G$21:$G$22)</f>
        <v>1343.3869270084879</v>
      </c>
      <c r="E38" s="794">
        <f>'[65]4'!$G$16</f>
        <v>13300.733246301346</v>
      </c>
      <c r="F38" s="794">
        <f>'[65]4'!$G$17-0.01</f>
        <v>150.0421469489946</v>
      </c>
      <c r="G38" s="794">
        <f>'[65]4'!$G$20</f>
        <v>1268.5207255097982</v>
      </c>
      <c r="H38" s="794">
        <f>'[65]4'!$G$18</f>
        <v>0.59057477511127243</v>
      </c>
      <c r="I38" s="794">
        <f>'[65]4'!$G$19+'[65]4'!$G$23</f>
        <v>1279.4561829839972</v>
      </c>
      <c r="J38" s="778">
        <f>'[65]4'!$G$24</f>
        <v>31374.241584391584</v>
      </c>
      <c r="K38" s="782">
        <f>'[65]4'!$D$14</f>
        <v>12918.123786268428</v>
      </c>
      <c r="L38" s="782">
        <f>SUM('[65]4'!$D$21:$D$22)</f>
        <v>4357.2160151026119</v>
      </c>
      <c r="M38" s="794">
        <f>'[65]4'!$D$16+0.03</f>
        <v>12799.555515391878</v>
      </c>
      <c r="N38" s="794">
        <f>'[65]4'!$D$17</f>
        <v>121.02514726635785</v>
      </c>
      <c r="O38" s="794">
        <f>'[65]4'!$D$20</f>
        <v>1175.1124424786829</v>
      </c>
      <c r="P38" s="794">
        <f>'[65]4'!$D$18</f>
        <v>0.57809483021276598</v>
      </c>
      <c r="Q38" s="794">
        <f>'[65]4'!$D$19+'[65]4'!$D$23</f>
        <v>2.5732977825531664</v>
      </c>
      <c r="R38" s="911">
        <f t="shared" ref="R38" si="30">J38-C38-D38-E38-F38-G38-H38-I38</f>
        <v>9.9999999981719156E-3</v>
      </c>
      <c r="S38" s="911">
        <f t="shared" ref="S38" si="31">J38-K38-L38-M38-N38-O38-P38-Q38</f>
        <v>5.7285270860545801E-2</v>
      </c>
      <c r="T38" s="469"/>
    </row>
    <row r="39" spans="1:20" s="159" customFormat="1" ht="18" customHeight="1">
      <c r="A39" s="909"/>
      <c r="B39" s="910" t="s">
        <v>407</v>
      </c>
      <c r="C39" s="782">
        <f>'[66]4'!$G$14</f>
        <v>14241.453063865696</v>
      </c>
      <c r="D39" s="782">
        <f>SUM('[66]4'!$G$21:$G$22)</f>
        <v>1563.0055445919013</v>
      </c>
      <c r="E39" s="794">
        <f>'[66]4'!$G$16</f>
        <v>13641.58948086137</v>
      </c>
      <c r="F39" s="794">
        <f>'[66]4'!$G$17-0.02</f>
        <v>151.74124397014916</v>
      </c>
      <c r="G39" s="794">
        <f>'[66]4'!$G$20</f>
        <v>1203.0466399299019</v>
      </c>
      <c r="H39" s="794">
        <f>'[66]4'!$G$18</f>
        <v>0.58498329270850868</v>
      </c>
      <c r="I39" s="794">
        <f>'[66]4'!$G$19+'[66]4'!$G$23-0.03</f>
        <v>1281.2395931548135</v>
      </c>
      <c r="J39" s="778">
        <f>'[66]4'!$G$24-0.1</f>
        <v>32082.61054966654</v>
      </c>
      <c r="K39" s="782">
        <f>'[66]4'!$D$14</f>
        <v>13054.797748190676</v>
      </c>
      <c r="L39" s="782">
        <f>SUM('[66]4'!$D$21:$D$22)</f>
        <v>4581.8390924066844</v>
      </c>
      <c r="M39" s="794">
        <f>'[66]4'!$D$16</f>
        <v>13204.444114013775</v>
      </c>
      <c r="N39" s="794">
        <f>'[66]4'!$D$17</f>
        <v>134.70329132970215</v>
      </c>
      <c r="O39" s="794">
        <f>'[66]4'!$D$20</f>
        <v>1104.7857438679255</v>
      </c>
      <c r="P39" s="794">
        <f>'[66]4'!$D$18</f>
        <v>0.58455964689361695</v>
      </c>
      <c r="Q39" s="794">
        <f>'[66]4'!$D$19+'[66]4'!$D$23</f>
        <v>1.5301938144680511</v>
      </c>
      <c r="R39" s="911">
        <f t="shared" ref="R39" si="32">J39-C39-D39-E39-F39-G39-H39-I39</f>
        <v>-4.9999999997908162E-2</v>
      </c>
      <c r="S39" s="911">
        <f t="shared" ref="S39" si="33">J39-K39-L39-M39-N39-O39-P39-Q39</f>
        <v>-7.4193603586489187E-2</v>
      </c>
      <c r="T39" s="469"/>
    </row>
    <row r="40" spans="1:20" s="159" customFormat="1" ht="26.25" customHeight="1">
      <c r="A40" s="909">
        <v>2020</v>
      </c>
      <c r="B40" s="910" t="s">
        <v>408</v>
      </c>
      <c r="C40" s="782">
        <f>'[67]4'!$G$14</f>
        <v>14241.109932155749</v>
      </c>
      <c r="D40" s="782">
        <f>SUM('[67]4'!$G$21:$G$22)</f>
        <v>1499.1961447166025</v>
      </c>
      <c r="E40" s="794">
        <f>'[67]4'!$G$16-0.03</f>
        <v>13947.93613665161</v>
      </c>
      <c r="F40" s="794">
        <f>'[67]4'!$G$17</f>
        <v>139.41201370651623</v>
      </c>
      <c r="G40" s="794">
        <f>'[67]4'!$G$20</f>
        <v>1205.3826364238403</v>
      </c>
      <c r="H40" s="794">
        <f>'[67]4'!$G$18</f>
        <v>0.60731728741595548</v>
      </c>
      <c r="I40" s="794">
        <f>'[67]4'!$G$19+'[67]4'!$G$23</f>
        <v>1285.8229170919362</v>
      </c>
      <c r="J40" s="778">
        <f>'[67]4'!$G$24-0.05</f>
        <v>32319.447098033677</v>
      </c>
      <c r="K40" s="782">
        <f>'[67]4'!$D$14</f>
        <v>13190.887837971641</v>
      </c>
      <c r="L40" s="782">
        <f>SUM('[67]4'!$D$21:$D$22)-0.03</f>
        <v>5011.1395383691197</v>
      </c>
      <c r="M40" s="794">
        <f>'[67]4'!$D$16</f>
        <v>12916.434087063688</v>
      </c>
      <c r="N40" s="794">
        <f>'[67]4'!$D$17</f>
        <v>128.99181552896425</v>
      </c>
      <c r="O40" s="794">
        <f>'[67]4'!$D$20</f>
        <v>1064.6952620378515</v>
      </c>
      <c r="P40" s="794">
        <f>'[67]4'!$D$18</f>
        <v>0.59206928299999995</v>
      </c>
      <c r="Q40" s="794">
        <f>'[67]4'!$D$19+'[67]4'!$D$23-0.03</f>
        <v>6.740681618191477</v>
      </c>
      <c r="R40" s="911">
        <f t="shared" ref="R40" si="34">J40-C40-D40-E40-F40-G40-H40-I40</f>
        <v>-1.9999999992478479E-2</v>
      </c>
      <c r="S40" s="911">
        <f t="shared" ref="S40" si="35">J40-K40-L40-M40-N40-O40-P40-Q40</f>
        <v>-3.4193838778239005E-2</v>
      </c>
      <c r="T40" s="469"/>
    </row>
    <row r="41" spans="1:20" s="159" customFormat="1" ht="18" customHeight="1">
      <c r="A41" s="1081"/>
      <c r="B41" s="468" t="s">
        <v>409</v>
      </c>
      <c r="C41" s="782">
        <f>'[68]4'!$G$14</f>
        <v>14475.11515238627</v>
      </c>
      <c r="D41" s="782">
        <f>SUM('[68]4'!$G$21:$G$22)</f>
        <v>1360.2882347187494</v>
      </c>
      <c r="E41" s="794">
        <f>'[68]4'!$G$16</f>
        <v>13902.612226469768</v>
      </c>
      <c r="F41" s="794">
        <f>'[68]4'!$G$17</f>
        <v>96.086193001232729</v>
      </c>
      <c r="G41" s="794">
        <f>'[68]4'!$G$20-0.01</f>
        <v>1252.5443006471648</v>
      </c>
      <c r="H41" s="794">
        <f>'[68]4'!$G$18</f>
        <v>0.59285984258616842</v>
      </c>
      <c r="I41" s="794">
        <f>'[68]4'!$G$19+'[68]4'!$G$23</f>
        <v>1288.3732931065229</v>
      </c>
      <c r="J41" s="778">
        <f>'[68]4'!$G$24</f>
        <v>32375.622260172291</v>
      </c>
      <c r="K41" s="782">
        <f>'[68]4'!$D$14-0.01</f>
        <v>13584.241149294221</v>
      </c>
      <c r="L41" s="782">
        <f>SUM('[68]4'!$D$21:$D$22)</f>
        <v>4946.1748628915402</v>
      </c>
      <c r="M41" s="794">
        <f>'[68]4'!$D$16</f>
        <v>12617.733318806149</v>
      </c>
      <c r="N41" s="794">
        <f>'[68]4'!$D$17</f>
        <v>89.267332822612772</v>
      </c>
      <c r="O41" s="794">
        <f>'[68]4'!$D$20</f>
        <v>1127.722741271991</v>
      </c>
      <c r="P41" s="794">
        <f>'[68]4'!$D$18</f>
        <v>0.58941268802127678</v>
      </c>
      <c r="Q41" s="794">
        <f>'[68]4'!$D$19+'[68]4'!$D$23</f>
        <v>9.9462919058937125</v>
      </c>
      <c r="R41" s="911">
        <f t="shared" ref="R41" si="36">J41-C41-D41-E41-F41-G41-H41-I41</f>
        <v>9.9999999968076736E-3</v>
      </c>
      <c r="S41" s="911">
        <f t="shared" ref="S41" si="37">J41-K41-L41-M41-N41-O41-P41-Q41</f>
        <v>-5.2849508137388312E-2</v>
      </c>
      <c r="T41" s="469"/>
    </row>
    <row r="42" spans="1:20" s="159" customFormat="1" ht="18" customHeight="1">
      <c r="A42" s="1081"/>
      <c r="B42" s="468" t="s">
        <v>398</v>
      </c>
      <c r="C42" s="782">
        <f>'[69]4'!$G$14-0.02</f>
        <v>14490.941409327459</v>
      </c>
      <c r="D42" s="782">
        <f>SUM('[69]4'!$G$21:$G$22)-0.05</f>
        <v>1423.8369746034407</v>
      </c>
      <c r="E42" s="794">
        <f>'[69]4'!$G$16</f>
        <v>14050.409705363942</v>
      </c>
      <c r="F42" s="794">
        <f>'[69]4'!$G$17-0.05</f>
        <v>85.334818621299718</v>
      </c>
      <c r="G42" s="794">
        <f>'[69]4'!$G$20</f>
        <v>1205.7967023719002</v>
      </c>
      <c r="H42" s="794">
        <f>'[69]4'!$G$18</f>
        <v>0.59264407264201935</v>
      </c>
      <c r="I42" s="794">
        <f>'[69]4'!$G$19+'[69]4'!$G$23</f>
        <v>1278.9955510136474</v>
      </c>
      <c r="J42" s="778">
        <f>'[69]4'!$G$24-0.2</f>
        <v>32535.801209629644</v>
      </c>
      <c r="K42" s="782">
        <f>'[69]4'!$D$14</f>
        <v>13283.449957160783</v>
      </c>
      <c r="L42" s="782">
        <f>SUM('[69]4'!$D$21:$D$22)</f>
        <v>5046.709030206368</v>
      </c>
      <c r="M42" s="794">
        <f>'[69]4'!$D$16</f>
        <v>13032.541413977491</v>
      </c>
      <c r="N42" s="794">
        <f>'[69]4'!$D$17</f>
        <v>77.929906047812793</v>
      </c>
      <c r="O42" s="794">
        <f>'[69]4'!$D$20</f>
        <v>1085.7056666283738</v>
      </c>
      <c r="P42" s="794">
        <f>'[69]4'!$D$18</f>
        <v>0.58957891142553198</v>
      </c>
      <c r="Q42" s="794">
        <f>'[69]4'!$D$19+'[69]4'!$D$23</f>
        <v>9.0433708633403658</v>
      </c>
      <c r="R42" s="911">
        <f t="shared" ref="R42" si="38">J42-C42-D42-E42-F42-G42-H42-I42</f>
        <v>-0.10659574468809296</v>
      </c>
      <c r="S42" s="911">
        <f t="shared" ref="S42" si="39">J42-K42-L42-M42-N42-O42-P42-Q42</f>
        <v>-0.1677141659486594</v>
      </c>
      <c r="T42" s="469"/>
    </row>
    <row r="43" spans="1:20" s="159" customFormat="1" ht="18" customHeight="1">
      <c r="A43" s="1081"/>
      <c r="B43" s="468" t="s">
        <v>399</v>
      </c>
      <c r="C43" s="782">
        <f>'[70]4'!$G$14</f>
        <v>14510.271952621422</v>
      </c>
      <c r="D43" s="782">
        <f>SUM('[70]4'!$G$21:$G$22)</f>
        <v>1414.1353627770006</v>
      </c>
      <c r="E43" s="794">
        <f>'[70]4'!$G$16</f>
        <v>14213.869088234453</v>
      </c>
      <c r="F43" s="794">
        <f>'[70]4'!$G$17</f>
        <v>85.421455500848538</v>
      </c>
      <c r="G43" s="794">
        <f>'[70]4'!$G$20</f>
        <v>1166.5817749950138</v>
      </c>
      <c r="H43" s="794">
        <f>'[70]4'!$G$18</f>
        <v>0.59936281271604763</v>
      </c>
      <c r="I43" s="794">
        <f>'[70]4'!$G$19+'[70]4'!$G$23</f>
        <v>1267.2935018783455</v>
      </c>
      <c r="J43" s="778">
        <f>'[70]4'!$G$24</f>
        <v>32658.181589289015</v>
      </c>
      <c r="K43" s="782">
        <f>'[70]4'!$D$14</f>
        <v>13417.307532581106</v>
      </c>
      <c r="L43" s="782">
        <f>SUM('[70]4'!$D$21:$D$22)-0.01</f>
        <v>4845.6419414138854</v>
      </c>
      <c r="M43" s="794">
        <f>'[70]4'!$D$16</f>
        <v>13244.735278065014</v>
      </c>
      <c r="N43" s="794">
        <f>'[70]4'!$D$17</f>
        <v>78.488921970216481</v>
      </c>
      <c r="O43" s="794">
        <f>'[70]4'!$D$20</f>
        <v>1064.8473926945424</v>
      </c>
      <c r="P43" s="794">
        <f>'[70]4'!$D$18</f>
        <v>0.59619862780851063</v>
      </c>
      <c r="Q43" s="794">
        <f>'[70]4'!$D$19+'[70]4'!$D$23</f>
        <v>6.6944917901489962</v>
      </c>
      <c r="R43" s="911">
        <f t="shared" ref="R43" si="40">J43-C43-D43-E43-F43-G43-H43-I43</f>
        <v>9.0904692181084101E-3</v>
      </c>
      <c r="S43" s="911">
        <f t="shared" ref="S43" si="41">J43-K43-L43-M43-N43-O43-P43-Q43</f>
        <v>-0.13016785370868433</v>
      </c>
      <c r="T43" s="469"/>
    </row>
    <row r="44" spans="1:20" ht="20.25" customHeight="1">
      <c r="A44" s="273"/>
      <c r="B44" s="405"/>
      <c r="C44" s="405"/>
      <c r="D44" s="405"/>
      <c r="E44" s="405"/>
      <c r="F44" s="405"/>
      <c r="G44" s="405"/>
      <c r="H44" s="405"/>
      <c r="I44" s="405"/>
      <c r="J44" s="405"/>
      <c r="K44" s="405"/>
      <c r="L44" s="405"/>
      <c r="M44" s="405"/>
      <c r="N44" s="405"/>
      <c r="O44" s="405"/>
      <c r="P44" s="405"/>
      <c r="Q44" s="272"/>
    </row>
    <row r="45" spans="1:20" ht="20.25" customHeight="1">
      <c r="A45" s="381"/>
      <c r="B45" s="407"/>
      <c r="C45" s="407"/>
      <c r="D45" s="407"/>
      <c r="E45" s="407"/>
      <c r="F45" s="407"/>
      <c r="G45" s="407"/>
      <c r="H45" s="407"/>
      <c r="I45" s="407"/>
      <c r="J45" s="407"/>
      <c r="K45" s="407"/>
      <c r="L45" s="407"/>
      <c r="M45" s="407"/>
      <c r="N45" s="407"/>
      <c r="O45" s="407"/>
      <c r="P45" s="407"/>
      <c r="Q45" s="390"/>
    </row>
    <row r="46" spans="1:20" ht="20.25" customHeight="1">
      <c r="A46" s="381"/>
      <c r="B46" s="407"/>
      <c r="C46" s="407"/>
      <c r="D46" s="407"/>
      <c r="E46" s="407"/>
      <c r="F46" s="407"/>
      <c r="G46" s="407"/>
      <c r="H46" s="407"/>
      <c r="I46" s="407"/>
      <c r="J46" s="407"/>
      <c r="K46" s="407"/>
      <c r="L46" s="407"/>
      <c r="M46" s="407"/>
      <c r="N46" s="407"/>
      <c r="O46" s="407"/>
      <c r="P46" s="407"/>
      <c r="Q46" s="390"/>
    </row>
    <row r="47" spans="1:20" s="195" customFormat="1" ht="15">
      <c r="A47" s="296" t="s">
        <v>1053</v>
      </c>
      <c r="B47" s="296"/>
      <c r="C47" s="296"/>
      <c r="D47" s="296"/>
      <c r="E47" s="296"/>
      <c r="F47" s="296"/>
      <c r="G47" s="296"/>
      <c r="H47" s="296"/>
      <c r="I47" s="296"/>
      <c r="J47" s="296"/>
      <c r="K47" s="296"/>
      <c r="L47" s="296"/>
      <c r="M47" s="296"/>
      <c r="N47" s="296"/>
      <c r="O47" s="296"/>
      <c r="P47" s="1088"/>
      <c r="Q47" s="296"/>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dimension ref="A1:T43"/>
  <sheetViews>
    <sheetView topLeftCell="A12" zoomScale="80" zoomScaleNormal="80" workbookViewId="0">
      <selection activeCell="A49" sqref="A1:XFD1048576"/>
    </sheetView>
  </sheetViews>
  <sheetFormatPr defaultColWidth="9.140625" defaultRowHeight="12.75"/>
  <cols>
    <col min="1" max="1" width="31.7109375" style="1421" customWidth="1"/>
    <col min="2" max="11" width="8.7109375" style="1421" customWidth="1"/>
    <col min="12" max="12" width="8.7109375" style="1425" customWidth="1"/>
    <col min="13" max="15" width="8.7109375" style="1421" customWidth="1"/>
    <col min="16" max="16" width="9.42578125" style="1421" customWidth="1"/>
    <col min="17" max="17" width="9.28515625" style="1421" customWidth="1"/>
    <col min="18" max="18" width="31.7109375" style="1421" customWidth="1"/>
    <col min="19" max="19" width="9.140625" style="1421"/>
    <col min="20" max="20" width="9.85546875" style="1421" bestFit="1" customWidth="1"/>
    <col min="21" max="16384" width="9.140625" style="1421"/>
  </cols>
  <sheetData>
    <row r="1" spans="1:18" s="406" customFormat="1" ht="21.2" customHeight="1">
      <c r="A1" s="297" t="s">
        <v>1605</v>
      </c>
      <c r="B1" s="1169"/>
      <c r="C1" s="1169"/>
      <c r="D1" s="1169"/>
      <c r="E1" s="1169"/>
      <c r="F1" s="1169"/>
      <c r="G1" s="1169"/>
      <c r="H1" s="1169"/>
      <c r="I1" s="1169"/>
      <c r="J1" s="1169"/>
      <c r="K1" s="1169"/>
      <c r="L1" s="1422"/>
      <c r="M1" s="1169"/>
      <c r="N1" s="1169"/>
      <c r="O1" s="1169"/>
      <c r="P1" s="1169"/>
      <c r="Q1" s="1169"/>
      <c r="R1" s="1169"/>
    </row>
    <row r="2" spans="1:18" s="406" customFormat="1" ht="21.2" customHeight="1">
      <c r="A2" s="1423" t="s">
        <v>1576</v>
      </c>
      <c r="B2" s="1169"/>
      <c r="C2" s="1169"/>
      <c r="D2" s="1169"/>
      <c r="E2" s="1169"/>
      <c r="F2" s="1169"/>
      <c r="G2" s="1169"/>
      <c r="H2" s="1169"/>
      <c r="I2" s="1169"/>
      <c r="J2" s="1169"/>
      <c r="K2" s="1169"/>
      <c r="L2" s="1422"/>
      <c r="M2" s="1169"/>
      <c r="N2" s="1169"/>
      <c r="O2" s="1169"/>
      <c r="P2" s="1169"/>
      <c r="Q2" s="1169"/>
      <c r="R2" s="1169"/>
    </row>
    <row r="3" spans="1:18" s="406" customFormat="1" ht="21.2" customHeight="1">
      <c r="A3" s="297" t="s">
        <v>1577</v>
      </c>
      <c r="B3" s="1169"/>
      <c r="C3" s="1169"/>
      <c r="D3" s="1169"/>
      <c r="E3" s="1169"/>
      <c r="F3" s="1169"/>
      <c r="G3" s="1169"/>
      <c r="H3" s="1169"/>
      <c r="I3" s="1169"/>
      <c r="J3" s="1169"/>
      <c r="K3" s="1169"/>
      <c r="L3" s="1422"/>
      <c r="M3" s="1169"/>
      <c r="N3" s="1169"/>
      <c r="O3" s="1169"/>
      <c r="P3" s="1169"/>
      <c r="Q3" s="1169"/>
      <c r="R3" s="1169"/>
    </row>
    <row r="4" spans="1:18" s="406" customFormat="1" ht="21.2" customHeight="1">
      <c r="A4" s="297" t="s">
        <v>357</v>
      </c>
      <c r="B4" s="1169"/>
      <c r="C4" s="1169"/>
      <c r="D4" s="1169"/>
      <c r="E4" s="1169"/>
      <c r="F4" s="1169"/>
      <c r="G4" s="1169"/>
      <c r="H4" s="1169"/>
      <c r="I4" s="1169"/>
      <c r="J4" s="1169"/>
      <c r="K4" s="1169"/>
      <c r="L4" s="1422"/>
      <c r="M4" s="1169"/>
      <c r="N4" s="1169"/>
      <c r="O4" s="1169"/>
      <c r="P4" s="1169"/>
      <c r="Q4" s="1169"/>
      <c r="R4" s="1169"/>
    </row>
    <row r="5" spans="1:18" s="406" customFormat="1" ht="21.2" customHeight="1">
      <c r="A5" s="297" t="s">
        <v>356</v>
      </c>
      <c r="B5" s="1169"/>
      <c r="C5" s="1169"/>
      <c r="D5" s="1169"/>
      <c r="E5" s="1169"/>
      <c r="F5" s="1169"/>
      <c r="G5" s="1169"/>
      <c r="H5" s="1169"/>
      <c r="I5" s="1169"/>
      <c r="J5" s="1169"/>
      <c r="K5" s="1169"/>
      <c r="L5" s="1422"/>
      <c r="M5" s="1169"/>
      <c r="N5" s="1169"/>
      <c r="O5" s="1169"/>
      <c r="P5" s="1169"/>
      <c r="Q5" s="1169"/>
      <c r="R5" s="1169"/>
    </row>
    <row r="6" spans="1:18" s="406" customFormat="1" ht="21.2" hidden="1" customHeight="1">
      <c r="A6" s="297"/>
      <c r="B6" s="1169"/>
      <c r="C6" s="1169"/>
      <c r="D6" s="1169"/>
      <c r="E6" s="1169"/>
      <c r="F6" s="1169"/>
      <c r="G6" s="1169"/>
      <c r="H6" s="1169"/>
      <c r="I6" s="1169"/>
      <c r="J6" s="1169"/>
      <c r="K6" s="1169"/>
      <c r="L6" s="1422"/>
      <c r="M6" s="1169"/>
      <c r="N6" s="1169"/>
      <c r="O6" s="1169"/>
      <c r="P6" s="1169"/>
      <c r="Q6" s="1169"/>
      <c r="R6" s="1169"/>
    </row>
    <row r="7" spans="1:18" s="406" customFormat="1" ht="21.2" hidden="1" customHeight="1">
      <c r="A7" s="297"/>
      <c r="B7" s="1169"/>
      <c r="C7" s="1169"/>
      <c r="D7" s="1169"/>
      <c r="E7" s="1169"/>
      <c r="F7" s="1169"/>
      <c r="G7" s="1169"/>
      <c r="H7" s="1169"/>
      <c r="I7" s="1169"/>
      <c r="J7" s="1169"/>
      <c r="K7" s="1169"/>
      <c r="L7" s="1422"/>
      <c r="M7" s="1169"/>
      <c r="N7" s="1169"/>
      <c r="O7" s="1169"/>
      <c r="P7" s="1169"/>
      <c r="Q7" s="1169"/>
      <c r="R7" s="1169"/>
    </row>
    <row r="8" spans="1:18" s="406" customFormat="1" ht="4.7" customHeight="1">
      <c r="A8" s="297"/>
      <c r="B8" s="1169"/>
      <c r="C8" s="1169"/>
      <c r="D8" s="1169"/>
      <c r="E8" s="1169"/>
      <c r="F8" s="1169"/>
      <c r="G8" s="1169"/>
      <c r="H8" s="1169"/>
      <c r="I8" s="1169"/>
      <c r="J8" s="1169"/>
      <c r="K8" s="1169"/>
      <c r="L8" s="1422"/>
      <c r="M8" s="1169"/>
      <c r="N8" s="1169"/>
      <c r="O8" s="1169"/>
      <c r="P8" s="1169"/>
      <c r="Q8" s="1169"/>
      <c r="R8" s="1169"/>
    </row>
    <row r="9" spans="1:18" ht="15">
      <c r="A9" s="1424" t="s">
        <v>778</v>
      </c>
      <c r="R9" s="1426" t="s">
        <v>779</v>
      </c>
    </row>
    <row r="10" spans="1:18" ht="14.25" customHeight="1">
      <c r="A10" s="2131" t="s">
        <v>1054</v>
      </c>
      <c r="B10" s="1427" t="s">
        <v>1055</v>
      </c>
      <c r="C10" s="1428"/>
      <c r="D10" s="1428"/>
      <c r="E10" s="1428"/>
      <c r="F10" s="1429"/>
      <c r="G10" s="1430" t="s">
        <v>1056</v>
      </c>
      <c r="H10" s="1431"/>
      <c r="I10" s="1431"/>
      <c r="J10" s="1431"/>
      <c r="K10" s="1432"/>
      <c r="L10" s="1433" t="s">
        <v>1057</v>
      </c>
      <c r="M10" s="1431"/>
      <c r="N10" s="1431"/>
      <c r="O10" s="1431"/>
      <c r="P10" s="1432"/>
      <c r="Q10" s="2134" t="s">
        <v>1058</v>
      </c>
      <c r="R10" s="2131" t="s">
        <v>1059</v>
      </c>
    </row>
    <row r="11" spans="1:18" ht="14.25" customHeight="1">
      <c r="A11" s="2132"/>
      <c r="B11" s="2136" t="s">
        <v>1060</v>
      </c>
      <c r="C11" s="2137"/>
      <c r="D11" s="2137"/>
      <c r="E11" s="2137"/>
      <c r="F11" s="2137"/>
      <c r="G11" s="2136" t="s">
        <v>1061</v>
      </c>
      <c r="H11" s="2137"/>
      <c r="I11" s="2137"/>
      <c r="J11" s="2137"/>
      <c r="K11" s="2138"/>
      <c r="L11" s="2139" t="s">
        <v>1062</v>
      </c>
      <c r="M11" s="2140"/>
      <c r="N11" s="2140"/>
      <c r="O11" s="2140"/>
      <c r="P11" s="2141"/>
      <c r="Q11" s="2135"/>
      <c r="R11" s="2132"/>
    </row>
    <row r="12" spans="1:18" ht="14.25" customHeight="1">
      <c r="A12" s="2132"/>
      <c r="B12" s="1430" t="s">
        <v>1063</v>
      </c>
      <c r="C12" s="1431"/>
      <c r="D12" s="1430" t="s">
        <v>1064</v>
      </c>
      <c r="E12" s="1432"/>
      <c r="F12" s="2142" t="s">
        <v>367</v>
      </c>
      <c r="G12" s="1430" t="s">
        <v>1063</v>
      </c>
      <c r="H12" s="1431"/>
      <c r="I12" s="1430" t="s">
        <v>1064</v>
      </c>
      <c r="J12" s="1432"/>
      <c r="K12" s="2142" t="s">
        <v>367</v>
      </c>
      <c r="L12" s="1433" t="s">
        <v>1063</v>
      </c>
      <c r="M12" s="1431"/>
      <c r="N12" s="1430" t="s">
        <v>1064</v>
      </c>
      <c r="O12" s="1432"/>
      <c r="P12" s="2142" t="s">
        <v>367</v>
      </c>
      <c r="Q12" s="2135"/>
      <c r="R12" s="2132"/>
    </row>
    <row r="13" spans="1:18" ht="14.25" customHeight="1">
      <c r="A13" s="2132"/>
      <c r="B13" s="1434" t="s">
        <v>1065</v>
      </c>
      <c r="C13" s="1435"/>
      <c r="D13" s="1434" t="s">
        <v>1066</v>
      </c>
      <c r="E13" s="1436"/>
      <c r="F13" s="2143"/>
      <c r="G13" s="1434" t="s">
        <v>1065</v>
      </c>
      <c r="H13" s="1435"/>
      <c r="I13" s="1434" t="s">
        <v>1066</v>
      </c>
      <c r="J13" s="1436"/>
      <c r="K13" s="2143"/>
      <c r="L13" s="1437" t="s">
        <v>1065</v>
      </c>
      <c r="M13" s="1435"/>
      <c r="N13" s="1434" t="s">
        <v>1066</v>
      </c>
      <c r="O13" s="1436"/>
      <c r="P13" s="2143"/>
      <c r="Q13" s="2144" t="s">
        <v>759</v>
      </c>
      <c r="R13" s="2132"/>
    </row>
    <row r="14" spans="1:18" ht="14.25" customHeight="1">
      <c r="A14" s="2132"/>
      <c r="B14" s="1438" t="s">
        <v>855</v>
      </c>
      <c r="C14" s="1438" t="s">
        <v>1067</v>
      </c>
      <c r="D14" s="1438" t="s">
        <v>855</v>
      </c>
      <c r="E14" s="1438" t="s">
        <v>1067</v>
      </c>
      <c r="F14" s="2146" t="s">
        <v>378</v>
      </c>
      <c r="G14" s="1438" t="s">
        <v>855</v>
      </c>
      <c r="H14" s="1438" t="s">
        <v>1067</v>
      </c>
      <c r="I14" s="1438" t="s">
        <v>855</v>
      </c>
      <c r="J14" s="1438" t="s">
        <v>1067</v>
      </c>
      <c r="K14" s="2146" t="s">
        <v>378</v>
      </c>
      <c r="L14" s="1439" t="s">
        <v>855</v>
      </c>
      <c r="M14" s="1438" t="s">
        <v>1067</v>
      </c>
      <c r="N14" s="1438" t="s">
        <v>855</v>
      </c>
      <c r="O14" s="1438" t="s">
        <v>1067</v>
      </c>
      <c r="P14" s="2146" t="s">
        <v>378</v>
      </c>
      <c r="Q14" s="2135"/>
      <c r="R14" s="2132"/>
    </row>
    <row r="15" spans="1:18" ht="14.25" customHeight="1">
      <c r="A15" s="2133"/>
      <c r="B15" s="1440" t="s">
        <v>137</v>
      </c>
      <c r="C15" s="1440" t="s">
        <v>1068</v>
      </c>
      <c r="D15" s="1440" t="s">
        <v>137</v>
      </c>
      <c r="E15" s="1441" t="s">
        <v>1068</v>
      </c>
      <c r="F15" s="2147"/>
      <c r="G15" s="1440" t="s">
        <v>137</v>
      </c>
      <c r="H15" s="1440" t="s">
        <v>1068</v>
      </c>
      <c r="I15" s="1440" t="s">
        <v>137</v>
      </c>
      <c r="J15" s="1441" t="s">
        <v>1068</v>
      </c>
      <c r="K15" s="2147"/>
      <c r="L15" s="1442" t="s">
        <v>137</v>
      </c>
      <c r="M15" s="1440" t="s">
        <v>1068</v>
      </c>
      <c r="N15" s="1440" t="s">
        <v>137</v>
      </c>
      <c r="O15" s="1441" t="s">
        <v>1068</v>
      </c>
      <c r="P15" s="2147"/>
      <c r="Q15" s="2145"/>
      <c r="R15" s="2133"/>
    </row>
    <row r="16" spans="1:18" ht="28.5" customHeight="1">
      <c r="A16" s="1443" t="s">
        <v>378</v>
      </c>
      <c r="B16" s="779">
        <f>'[70]7'!B16+0.01</f>
        <v>405.15759663082002</v>
      </c>
      <c r="C16" s="779">
        <f>'[70]7'!C16</f>
        <v>766.22957705782017</v>
      </c>
      <c r="D16" s="779">
        <f>'[70]7'!D16</f>
        <v>0</v>
      </c>
      <c r="E16" s="779">
        <f>'[70]7'!E16</f>
        <v>979.04144345374652</v>
      </c>
      <c r="F16" s="779">
        <f>'[70]7'!F16</f>
        <v>2150.4186171423867</v>
      </c>
      <c r="G16" s="779">
        <f>'[70]7'!G16</f>
        <v>7219.2685280903424</v>
      </c>
      <c r="H16" s="779">
        <f>'[70]7'!H16-0.02</f>
        <v>2171.2344134071932</v>
      </c>
      <c r="I16" s="779">
        <f>'[70]7'!I16</f>
        <v>8.9808469361702166</v>
      </c>
      <c r="J16" s="779">
        <f>'[70]7'!J16</f>
        <v>1423.3849724046793</v>
      </c>
      <c r="K16" s="779">
        <f>'[70]7'!K16</f>
        <v>10822.888760838385</v>
      </c>
      <c r="L16" s="779">
        <f>'[70]7'!L16-0.03</f>
        <v>7518.8275017429751</v>
      </c>
      <c r="M16" s="779">
        <f>'[70]7'!M16</f>
        <v>5698.3611824372947</v>
      </c>
      <c r="N16" s="779">
        <f>'[70]7'!N16</f>
        <v>397.99834963638307</v>
      </c>
      <c r="O16" s="779">
        <f>'[70]7'!O16</f>
        <v>7890.1618870459979</v>
      </c>
      <c r="P16" s="779">
        <f>'[70]7'!P16</f>
        <v>21505.378920862644</v>
      </c>
      <c r="Q16" s="779">
        <f>'[70]7'!Q16</f>
        <v>34478.686298843422</v>
      </c>
      <c r="R16" s="1444" t="s">
        <v>367</v>
      </c>
    </row>
    <row r="17" spans="1:20" ht="32.85" customHeight="1">
      <c r="A17" s="1445" t="s">
        <v>1069</v>
      </c>
      <c r="B17" s="779">
        <f>'[70]7'!B17</f>
        <v>0</v>
      </c>
      <c r="C17" s="779">
        <f>'[70]7'!C17</f>
        <v>2.2959999999999998</v>
      </c>
      <c r="D17" s="779">
        <f>'[70]7'!D17</f>
        <v>0</v>
      </c>
      <c r="E17" s="779">
        <f>'[70]7'!E17</f>
        <v>0.34380173243503376</v>
      </c>
      <c r="F17" s="779">
        <f>'[70]7'!F17</f>
        <v>2.6398017324350338</v>
      </c>
      <c r="G17" s="779">
        <f>'[70]7'!G17</f>
        <v>225.98742789893615</v>
      </c>
      <c r="H17" s="779">
        <f>'[70]7'!H17</f>
        <v>66.23260209300534</v>
      </c>
      <c r="I17" s="779">
        <f>'[70]7'!I17</f>
        <v>0</v>
      </c>
      <c r="J17" s="779">
        <f>'[70]7'!J17</f>
        <v>81.381328890531904</v>
      </c>
      <c r="K17" s="779">
        <f>'[70]7'!K17</f>
        <v>373.60135888247339</v>
      </c>
      <c r="L17" s="779">
        <f>'[70]7'!L17</f>
        <v>432.32308839038473</v>
      </c>
      <c r="M17" s="779">
        <f>'[70]7'!M17</f>
        <v>286.13215973632441</v>
      </c>
      <c r="N17" s="779">
        <f>'[70]7'!N17</f>
        <v>193.00000001999999</v>
      </c>
      <c r="O17" s="779">
        <f>'[70]7'!O17+0.01</f>
        <v>33.256250737915671</v>
      </c>
      <c r="P17" s="779">
        <f>'[70]7'!P17-0.05</f>
        <v>944.65149888462486</v>
      </c>
      <c r="Q17" s="779">
        <f>'[70]7'!Q17</f>
        <v>1320.9426594995334</v>
      </c>
      <c r="R17" s="1446" t="s">
        <v>1070</v>
      </c>
      <c r="T17" s="1425"/>
    </row>
    <row r="18" spans="1:20" ht="17.25" customHeight="1">
      <c r="A18" s="1447" t="s">
        <v>1071</v>
      </c>
      <c r="B18" s="779">
        <f>'[70]7'!B18</f>
        <v>0</v>
      </c>
      <c r="C18" s="779">
        <f>'[70]7'!C18</f>
        <v>0</v>
      </c>
      <c r="D18" s="779">
        <f>'[70]7'!D18</f>
        <v>0</v>
      </c>
      <c r="E18" s="779">
        <f>'[70]7'!E18</f>
        <v>0</v>
      </c>
      <c r="F18" s="779">
        <f>'[70]7'!F18</f>
        <v>0</v>
      </c>
      <c r="G18" s="779">
        <f>'[70]7'!G18</f>
        <v>218.9951504494681</v>
      </c>
      <c r="H18" s="779">
        <f>'[70]7'!H18</f>
        <v>484.0644899414894</v>
      </c>
      <c r="I18" s="779">
        <f>'[70]7'!I18</f>
        <v>0</v>
      </c>
      <c r="J18" s="779">
        <f>'[70]7'!J18</f>
        <v>181.16901061702126</v>
      </c>
      <c r="K18" s="779">
        <f>'[70]7'!K18+0.03</f>
        <v>884.25865100797864</v>
      </c>
      <c r="L18" s="779">
        <f>'[70]7'!L18</f>
        <v>852.60759402525036</v>
      </c>
      <c r="M18" s="779">
        <f>'[70]7'!M18</f>
        <v>1236.8650815071708</v>
      </c>
      <c r="N18" s="779">
        <f>'[70]7'!N18</f>
        <v>76.256999999857968</v>
      </c>
      <c r="O18" s="779">
        <f>'[70]7'!O18</f>
        <v>3148.0302299441237</v>
      </c>
      <c r="P18" s="779">
        <f>'[70]7'!P18</f>
        <v>5313.7599054764023</v>
      </c>
      <c r="Q18" s="779">
        <f>'[70]7'!Q18+0.1</f>
        <v>6198.0885564843802</v>
      </c>
      <c r="R18" s="1448" t="s">
        <v>1072</v>
      </c>
    </row>
    <row r="19" spans="1:20" ht="17.45" customHeight="1">
      <c r="A19" s="1447" t="s">
        <v>1073</v>
      </c>
      <c r="B19" s="779">
        <f>'[70]7'!B19</f>
        <v>385.66489281914897</v>
      </c>
      <c r="C19" s="779">
        <f>'[70]7'!C19-0.05</f>
        <v>374.332388942872</v>
      </c>
      <c r="D19" s="779">
        <f>'[70]7'!D19</f>
        <v>0</v>
      </c>
      <c r="E19" s="779">
        <f>'[70]7'!E19</f>
        <v>319.4856846303245</v>
      </c>
      <c r="F19" s="779">
        <f>'[70]7'!F19</f>
        <v>1079.5329663923453</v>
      </c>
      <c r="G19" s="779">
        <f>'[70]7'!G19</f>
        <v>5031.4789302501276</v>
      </c>
      <c r="H19" s="779">
        <f>'[70]7'!H19</f>
        <v>858.71951871372198</v>
      </c>
      <c r="I19" s="779">
        <f>'[70]7'!I19</f>
        <v>2.1774253617021313</v>
      </c>
      <c r="J19" s="779">
        <f>'[70]7'!J19</f>
        <v>483.0587134750495</v>
      </c>
      <c r="K19" s="779">
        <f>'[70]7'!K19+0.03</f>
        <v>6375.4645878006013</v>
      </c>
      <c r="L19" s="779">
        <f>'[70]7'!L19</f>
        <v>1438.9270587412691</v>
      </c>
      <c r="M19" s="779">
        <f>'[70]7'!M19-0.01</f>
        <v>1771.744770982398</v>
      </c>
      <c r="N19" s="779">
        <f>'[70]7'!N19</f>
        <v>5.4125310044615302</v>
      </c>
      <c r="O19" s="779">
        <f>'[70]7'!O19</f>
        <v>934.60061465446097</v>
      </c>
      <c r="P19" s="779">
        <f>'[70]7'!P19-0.05</f>
        <v>4150.6449753825891</v>
      </c>
      <c r="Q19" s="779">
        <f>'[70]7'!Q19-0.02</f>
        <v>11605.642529575536</v>
      </c>
      <c r="R19" s="1448" t="s">
        <v>1074</v>
      </c>
    </row>
    <row r="20" spans="1:20" ht="17.45" customHeight="1">
      <c r="A20" s="1447" t="s">
        <v>1075</v>
      </c>
      <c r="B20" s="779">
        <f>'[70]7'!B20</f>
        <v>0</v>
      </c>
      <c r="C20" s="779">
        <f>'[70]7'!C20</f>
        <v>0</v>
      </c>
      <c r="D20" s="779">
        <f>'[70]7'!D20</f>
        <v>0</v>
      </c>
      <c r="E20" s="779">
        <f>'[70]7'!E20</f>
        <v>9.0425531914893611</v>
      </c>
      <c r="F20" s="779">
        <f>'[70]7'!F20</f>
        <v>9.0425531914893611</v>
      </c>
      <c r="G20" s="779">
        <f>'[70]7'!G20</f>
        <v>1586.158083321596</v>
      </c>
      <c r="H20" s="779">
        <f>'[70]7'!H20</f>
        <v>30.325777734042553</v>
      </c>
      <c r="I20" s="779">
        <f>'[70]7'!I20</f>
        <v>6.8034215744680848</v>
      </c>
      <c r="J20" s="779">
        <f>'[70]7'!J20</f>
        <v>1.9137045797872341</v>
      </c>
      <c r="K20" s="779">
        <f>'[70]7'!K20</f>
        <v>1625.2009872098938</v>
      </c>
      <c r="L20" s="779">
        <f>'[70]7'!L20</f>
        <v>803.88351339090968</v>
      </c>
      <c r="M20" s="779">
        <f>'[70]7'!M20</f>
        <v>210.98003759424353</v>
      </c>
      <c r="N20" s="779">
        <f>'[70]7'!N20</f>
        <v>19.384554284574467</v>
      </c>
      <c r="O20" s="779">
        <f>'[70]7'!O20</f>
        <v>160.01193391297875</v>
      </c>
      <c r="P20" s="779">
        <f>'[70]7'!P20</f>
        <v>1194.2600391827068</v>
      </c>
      <c r="Q20" s="779">
        <f>'[70]7'!Q20</f>
        <v>2828.5035795840899</v>
      </c>
      <c r="R20" s="1448" t="s">
        <v>1076</v>
      </c>
    </row>
    <row r="21" spans="1:20" ht="17.45" customHeight="1">
      <c r="A21" s="1447" t="s">
        <v>1077</v>
      </c>
      <c r="B21" s="779">
        <f>'[70]7'!B21</f>
        <v>0</v>
      </c>
      <c r="C21" s="779">
        <f>'[70]7'!C21</f>
        <v>0</v>
      </c>
      <c r="D21" s="779">
        <f>'[70]7'!D21</f>
        <v>0</v>
      </c>
      <c r="E21" s="779">
        <f>'[70]7'!E21</f>
        <v>0</v>
      </c>
      <c r="F21" s="779">
        <f>'[70]7'!F21</f>
        <v>0</v>
      </c>
      <c r="G21" s="779">
        <f>'[70]7'!G21</f>
        <v>0</v>
      </c>
      <c r="H21" s="779">
        <f>'[70]7'!H21</f>
        <v>0</v>
      </c>
      <c r="I21" s="779">
        <f>'[70]7'!I21</f>
        <v>0</v>
      </c>
      <c r="J21" s="779">
        <f>'[70]7'!J21</f>
        <v>0</v>
      </c>
      <c r="K21" s="779">
        <f>'[70]7'!K21</f>
        <v>0</v>
      </c>
      <c r="L21" s="779">
        <f>'[70]7'!L21</f>
        <v>0</v>
      </c>
      <c r="M21" s="779">
        <f>'[70]7'!M21</f>
        <v>0</v>
      </c>
      <c r="N21" s="779">
        <f>'[70]7'!N21</f>
        <v>0</v>
      </c>
      <c r="O21" s="779">
        <f>'[70]7'!O21</f>
        <v>0</v>
      </c>
      <c r="P21" s="779">
        <f>'[70]7'!P21</f>
        <v>0</v>
      </c>
      <c r="Q21" s="779">
        <f>'[70]7'!Q21</f>
        <v>0</v>
      </c>
      <c r="R21" s="1448" t="s">
        <v>1078</v>
      </c>
    </row>
    <row r="22" spans="1:20" ht="17.25" customHeight="1">
      <c r="A22" s="1447" t="s">
        <v>1079</v>
      </c>
      <c r="B22" s="779">
        <f>'[70]7'!B22</f>
        <v>4.5093545517241305</v>
      </c>
      <c r="C22" s="779">
        <f>'[70]7'!C22</f>
        <v>28.498607421702125</v>
      </c>
      <c r="D22" s="779">
        <f>'[70]7'!D22</f>
        <v>0</v>
      </c>
      <c r="E22" s="779">
        <f>'[70]7'!E22</f>
        <v>105.77644266283346</v>
      </c>
      <c r="F22" s="779">
        <f>'[70]7'!F22</f>
        <v>138.78440463625969</v>
      </c>
      <c r="G22" s="779">
        <f>'[70]7'!G22</f>
        <v>0</v>
      </c>
      <c r="H22" s="779">
        <f>'[70]7'!H22</f>
        <v>0</v>
      </c>
      <c r="I22" s="779">
        <f>'[70]7'!I22</f>
        <v>0</v>
      </c>
      <c r="J22" s="779">
        <f>'[70]7'!J22</f>
        <v>146.74902944827588</v>
      </c>
      <c r="K22" s="779">
        <f>'[70]7'!K22</f>
        <v>146.74902944827588</v>
      </c>
      <c r="L22" s="779">
        <f>'[70]7'!L22</f>
        <v>393.02630386435703</v>
      </c>
      <c r="M22" s="932">
        <f>'[70]7'!M22</f>
        <v>96.66392719691396</v>
      </c>
      <c r="N22" s="932">
        <f>'[70]7'!N22</f>
        <v>2.4365049598933175</v>
      </c>
      <c r="O22" s="932">
        <f>'[70]7'!O22</f>
        <v>220.93747362177811</v>
      </c>
      <c r="P22" s="779">
        <f>'[70]7'!P22-0.02</f>
        <v>713.04420964294241</v>
      </c>
      <c r="Q22" s="779">
        <f>'[70]7'!Q22-0.05</f>
        <v>998.54764372747798</v>
      </c>
      <c r="R22" s="1448" t="s">
        <v>1080</v>
      </c>
    </row>
    <row r="23" spans="1:20" ht="17.45" customHeight="1">
      <c r="A23" s="1447" t="s">
        <v>1081</v>
      </c>
      <c r="B23" s="779">
        <f>'[70]7'!B23</f>
        <v>0</v>
      </c>
      <c r="C23" s="779">
        <f>'[70]7'!C23</f>
        <v>0</v>
      </c>
      <c r="D23" s="779">
        <f>'[70]7'!D23</f>
        <v>0</v>
      </c>
      <c r="E23" s="779">
        <f>'[70]7'!E23</f>
        <v>2.3936170212765959</v>
      </c>
      <c r="F23" s="779">
        <f>'[70]7'!F23</f>
        <v>2.3936170212765959</v>
      </c>
      <c r="G23" s="779">
        <f>'[70]7'!G23</f>
        <v>87.234042553191486</v>
      </c>
      <c r="H23" s="779">
        <f>'[70]7'!H23</f>
        <v>0</v>
      </c>
      <c r="I23" s="779">
        <f>'[70]7'!I23</f>
        <v>0</v>
      </c>
      <c r="J23" s="779">
        <f>'[70]7'!J23</f>
        <v>0</v>
      </c>
      <c r="K23" s="779">
        <f>'[70]7'!K23</f>
        <v>87.234042553191486</v>
      </c>
      <c r="L23" s="779">
        <f>'[70]7'!L23</f>
        <v>168.22311469954525</v>
      </c>
      <c r="M23" s="779">
        <f>'[70]7'!M23</f>
        <v>0</v>
      </c>
      <c r="N23" s="779">
        <f>'[70]7'!N23</f>
        <v>16.087823555585103</v>
      </c>
      <c r="O23" s="779">
        <f>'[70]7'!O23</f>
        <v>0</v>
      </c>
      <c r="P23" s="779">
        <f>'[70]7'!P23</f>
        <v>184.31093825513034</v>
      </c>
      <c r="Q23" s="779">
        <f>'[70]7'!Q23</f>
        <v>273.93859782959845</v>
      </c>
      <c r="R23" s="1448" t="s">
        <v>1082</v>
      </c>
    </row>
    <row r="24" spans="1:20" ht="17.45" customHeight="1">
      <c r="A24" s="1447" t="s">
        <v>1083</v>
      </c>
      <c r="B24" s="779">
        <f>'[70]7'!B24</f>
        <v>0</v>
      </c>
      <c r="C24" s="779">
        <f>'[70]7'!C24</f>
        <v>0</v>
      </c>
      <c r="D24" s="779">
        <f>'[70]7'!D24</f>
        <v>0</v>
      </c>
      <c r="E24" s="779">
        <f>'[70]7'!E24</f>
        <v>0</v>
      </c>
      <c r="F24" s="779">
        <f>'[70]7'!F24</f>
        <v>0</v>
      </c>
      <c r="G24" s="779">
        <f>'[70]7'!G24</f>
        <v>0</v>
      </c>
      <c r="H24" s="779">
        <f>'[70]7'!H24</f>
        <v>0</v>
      </c>
      <c r="I24" s="779">
        <f>'[70]7'!I24</f>
        <v>0</v>
      </c>
      <c r="J24" s="779">
        <f>'[70]7'!J24</f>
        <v>0</v>
      </c>
      <c r="K24" s="779">
        <f>'[70]7'!K24</f>
        <v>0</v>
      </c>
      <c r="L24" s="779">
        <f>'[70]7'!L24</f>
        <v>0</v>
      </c>
      <c r="M24" s="779">
        <f>'[70]7'!M24</f>
        <v>0</v>
      </c>
      <c r="N24" s="779">
        <f>'[70]7'!N24</f>
        <v>0</v>
      </c>
      <c r="O24" s="779">
        <f>'[70]7'!O24</f>
        <v>0</v>
      </c>
      <c r="P24" s="779">
        <f>'[70]7'!P24</f>
        <v>0</v>
      </c>
      <c r="Q24" s="779">
        <f>'[70]7'!Q24</f>
        <v>0</v>
      </c>
      <c r="R24" s="1448" t="s">
        <v>1084</v>
      </c>
    </row>
    <row r="25" spans="1:20" ht="17.45" customHeight="1">
      <c r="A25" s="1449" t="s">
        <v>1085</v>
      </c>
      <c r="B25" s="779">
        <f>'[70]7'!B25</f>
        <v>0</v>
      </c>
      <c r="C25" s="779">
        <f>'[70]7'!C25</f>
        <v>131.57498526595745</v>
      </c>
      <c r="D25" s="779">
        <f>'[70]7'!D25</f>
        <v>0</v>
      </c>
      <c r="E25" s="779">
        <f>'[70]7'!E25</f>
        <v>16.223404255319149</v>
      </c>
      <c r="F25" s="779">
        <f>'[70]7'!F25</f>
        <v>147.79838952127662</v>
      </c>
      <c r="G25" s="779">
        <f>'[70]7'!G25</f>
        <v>0.26595744680851063</v>
      </c>
      <c r="H25" s="779">
        <f>'[70]7'!H25</f>
        <v>0</v>
      </c>
      <c r="I25" s="779">
        <f>'[70]7'!I25</f>
        <v>0</v>
      </c>
      <c r="J25" s="779">
        <f>'[70]7'!J25</f>
        <v>0</v>
      </c>
      <c r="K25" s="779">
        <f>'[70]7'!K25</f>
        <v>0.26595744680851063</v>
      </c>
      <c r="L25" s="779">
        <f>'[70]7'!L25</f>
        <v>795.68720379531635</v>
      </c>
      <c r="M25" s="779">
        <f>'[70]7'!M25</f>
        <v>40.295964519999998</v>
      </c>
      <c r="N25" s="779">
        <f>'[70]7'!N25</f>
        <v>0</v>
      </c>
      <c r="O25" s="779">
        <f>'[70]7'!O25</f>
        <v>-2.1E-7</v>
      </c>
      <c r="P25" s="779">
        <f>'[70]7'!P25</f>
        <v>835.98316810531628</v>
      </c>
      <c r="Q25" s="779">
        <f>'[70]7'!Q25+0.01</f>
        <v>984.05751507340142</v>
      </c>
      <c r="R25" s="1448" t="s">
        <v>1086</v>
      </c>
    </row>
    <row r="26" spans="1:20" ht="17.45" customHeight="1">
      <c r="A26" s="1449" t="s">
        <v>815</v>
      </c>
      <c r="B26" s="779">
        <f>'[70]7'!B26</f>
        <v>14.973349259946927</v>
      </c>
      <c r="C26" s="779">
        <f>'[70]7'!C26</f>
        <v>18.119304070000013</v>
      </c>
      <c r="D26" s="779">
        <f>'[70]7'!D26</f>
        <v>0</v>
      </c>
      <c r="E26" s="779">
        <f>'[70]7'!E26+0.01</f>
        <v>32.255027469999995</v>
      </c>
      <c r="F26" s="779">
        <f>'[70]7'!F26+0.02</f>
        <v>65.357680799946934</v>
      </c>
      <c r="G26" s="779">
        <f>'[70]7'!G26</f>
        <v>0</v>
      </c>
      <c r="H26" s="779">
        <f>'[70]7'!H26</f>
        <v>719.01202492493439</v>
      </c>
      <c r="I26" s="779">
        <f>'[70]7'!I26</f>
        <v>0</v>
      </c>
      <c r="J26" s="779">
        <f>'[70]7'!J26</f>
        <v>147.22169603231146</v>
      </c>
      <c r="K26" s="779">
        <f>'[70]7'!K26</f>
        <v>866.23372095724585</v>
      </c>
      <c r="L26" s="779">
        <f>'[70]7'!L26</f>
        <v>409.1954141668084</v>
      </c>
      <c r="M26" s="932">
        <f>'[70]7'!M26</f>
        <v>305.73053973910908</v>
      </c>
      <c r="N26" s="932">
        <f>'[70]7'!N26</f>
        <v>2.6483049999999997E-3</v>
      </c>
      <c r="O26" s="932">
        <f>'[70]7'!O26</f>
        <v>985.76053361059735</v>
      </c>
      <c r="P26" s="779">
        <f>'[70]7'!P26</f>
        <v>1700.689135821515</v>
      </c>
      <c r="Q26" s="779">
        <f>'[70]7'!Q26</f>
        <v>2632.2605375787075</v>
      </c>
      <c r="R26" s="1450" t="s">
        <v>1087</v>
      </c>
    </row>
    <row r="27" spans="1:20" ht="17.45" customHeight="1">
      <c r="A27" s="1449" t="s">
        <v>1088</v>
      </c>
      <c r="B27" s="779">
        <f>'[70]7'!B27</f>
        <v>0</v>
      </c>
      <c r="C27" s="779">
        <f>'[70]7'!C27</f>
        <v>0</v>
      </c>
      <c r="D27" s="779">
        <f>'[70]7'!D27</f>
        <v>0</v>
      </c>
      <c r="E27" s="779">
        <f>'[70]7'!E27</f>
        <v>0</v>
      </c>
      <c r="F27" s="779">
        <f>'[70]7'!F27</f>
        <v>0</v>
      </c>
      <c r="G27" s="779">
        <f>'[70]7'!G27</f>
        <v>0</v>
      </c>
      <c r="H27" s="779">
        <f>'[70]7'!H27</f>
        <v>0</v>
      </c>
      <c r="I27" s="779">
        <f>'[70]7'!I27</f>
        <v>0</v>
      </c>
      <c r="J27" s="779">
        <f>'[70]7'!J27</f>
        <v>372.58297872340427</v>
      </c>
      <c r="K27" s="779">
        <f>'[70]7'!K27</f>
        <v>372.58297872340427</v>
      </c>
      <c r="L27" s="779">
        <f>'[70]7'!L27</f>
        <v>-1.0824468085106382E-6</v>
      </c>
      <c r="M27" s="779">
        <f>'[70]7'!M27</f>
        <v>0</v>
      </c>
      <c r="N27" s="779">
        <f>'[70]7'!N27</f>
        <v>0</v>
      </c>
      <c r="O27" s="779">
        <f>'[70]7'!O27</f>
        <v>0</v>
      </c>
      <c r="P27" s="779">
        <f>'[70]7'!P27</f>
        <v>-1.0824468085106382E-6</v>
      </c>
      <c r="Q27" s="779">
        <f>'[70]7'!Q27</f>
        <v>372.58297764095744</v>
      </c>
      <c r="R27" s="1450" t="s">
        <v>1089</v>
      </c>
    </row>
    <row r="28" spans="1:20" ht="17.45" customHeight="1">
      <c r="A28" s="1449" t="s">
        <v>1090</v>
      </c>
      <c r="B28" s="779">
        <f>'[70]7'!B28</f>
        <v>0</v>
      </c>
      <c r="C28" s="779">
        <f>'[70]7'!C28</f>
        <v>0</v>
      </c>
      <c r="D28" s="779">
        <f>'[70]7'!D28</f>
        <v>0</v>
      </c>
      <c r="E28" s="779">
        <f>'[70]7'!E28</f>
        <v>0</v>
      </c>
      <c r="F28" s="779">
        <f>'[70]7'!F28</f>
        <v>0</v>
      </c>
      <c r="G28" s="779">
        <f>'[70]7'!G28</f>
        <v>0</v>
      </c>
      <c r="H28" s="779">
        <f>'[70]7'!H28</f>
        <v>0</v>
      </c>
      <c r="I28" s="779">
        <f>'[70]7'!I28</f>
        <v>0</v>
      </c>
      <c r="J28" s="779">
        <f>'[70]7'!J28</f>
        <v>0</v>
      </c>
      <c r="K28" s="779">
        <f>'[70]7'!K28</f>
        <v>0</v>
      </c>
      <c r="L28" s="779">
        <f>'[70]7'!L28</f>
        <v>0</v>
      </c>
      <c r="M28" s="779">
        <f>'[70]7'!M28</f>
        <v>0</v>
      </c>
      <c r="N28" s="779">
        <f>'[70]7'!N28</f>
        <v>0</v>
      </c>
      <c r="O28" s="779">
        <f>'[70]7'!O28</f>
        <v>0</v>
      </c>
      <c r="P28" s="779">
        <f>'[70]7'!P28</f>
        <v>0</v>
      </c>
      <c r="Q28" s="779">
        <f>'[70]7'!Q28</f>
        <v>0</v>
      </c>
      <c r="R28" s="1450" t="s">
        <v>1091</v>
      </c>
    </row>
    <row r="29" spans="1:20" ht="16.5" customHeight="1">
      <c r="A29" s="1449" t="s">
        <v>1092</v>
      </c>
      <c r="B29" s="779">
        <f>'[70]7'!B29</f>
        <v>0</v>
      </c>
      <c r="C29" s="779">
        <f>'[70]7'!C29</f>
        <v>211.35829135728849</v>
      </c>
      <c r="D29" s="779">
        <f>'[70]7'!D29</f>
        <v>0</v>
      </c>
      <c r="E29" s="779">
        <f>'[70]7'!E29</f>
        <v>0</v>
      </c>
      <c r="F29" s="779">
        <f>'[70]7'!F29</f>
        <v>211.35829135728849</v>
      </c>
      <c r="G29" s="779">
        <f>'[70]7'!G29</f>
        <v>0</v>
      </c>
      <c r="H29" s="779">
        <f>'[70]7'!H29</f>
        <v>0</v>
      </c>
      <c r="I29" s="779">
        <f>'[70]7'!I29</f>
        <v>0</v>
      </c>
      <c r="J29" s="779">
        <f>'[70]7'!J29</f>
        <v>0</v>
      </c>
      <c r="K29" s="779">
        <f>'[70]7'!K29</f>
        <v>0</v>
      </c>
      <c r="L29" s="779">
        <f>'[70]7'!L29</f>
        <v>1.9695184448692309</v>
      </c>
      <c r="M29" s="779">
        <f>'[70]7'!M29</f>
        <v>0</v>
      </c>
      <c r="N29" s="779">
        <f>'[70]7'!N29</f>
        <v>0</v>
      </c>
      <c r="O29" s="779">
        <f>'[70]7'!O29</f>
        <v>2.5615254598283464E-9</v>
      </c>
      <c r="P29" s="779">
        <f>'[70]7'!P29</f>
        <v>1.9695184474307563</v>
      </c>
      <c r="Q29" s="779">
        <f>'[70]7'!Q29+0.03</f>
        <v>213.35780980471924</v>
      </c>
      <c r="R29" s="1450" t="s">
        <v>1093</v>
      </c>
    </row>
    <row r="30" spans="1:20" ht="32.85" customHeight="1">
      <c r="A30" s="1451" t="s">
        <v>1094</v>
      </c>
      <c r="B30" s="779">
        <f>'[70]7'!B30</f>
        <v>0</v>
      </c>
      <c r="C30" s="779">
        <f>'[70]7'!C30</f>
        <v>0</v>
      </c>
      <c r="D30" s="779">
        <f>'[70]7'!D30</f>
        <v>0</v>
      </c>
      <c r="E30" s="779">
        <f>'[70]7'!E30</f>
        <v>16.223404255319149</v>
      </c>
      <c r="F30" s="779">
        <f>'[70]7'!F30</f>
        <v>16.223404255319149</v>
      </c>
      <c r="G30" s="779">
        <f>'[70]7'!G30</f>
        <v>0</v>
      </c>
      <c r="H30" s="779">
        <f>'[70]7'!H30</f>
        <v>0</v>
      </c>
      <c r="I30" s="779">
        <f>'[70]7'!I30</f>
        <v>0</v>
      </c>
      <c r="J30" s="779">
        <f>'[70]7'!J30</f>
        <v>0</v>
      </c>
      <c r="K30" s="779">
        <f>'[70]7'!K30</f>
        <v>0</v>
      </c>
      <c r="L30" s="779">
        <f>'[70]7'!L30</f>
        <v>106.41859639488828</v>
      </c>
      <c r="M30" s="779">
        <f>'[70]7'!M30</f>
        <v>886.45031537612749</v>
      </c>
      <c r="N30" s="779">
        <f>'[70]7'!N30</f>
        <v>3.535205723404256</v>
      </c>
      <c r="O30" s="779">
        <f>'[70]7'!O30</f>
        <v>1473.3166596561475</v>
      </c>
      <c r="P30" s="779">
        <f>'[70]7'!P30</f>
        <v>2469.7207771505673</v>
      </c>
      <c r="Q30" s="779">
        <f>'[70]7'!Q30</f>
        <v>2485.9441814058864</v>
      </c>
      <c r="R30" s="1452" t="s">
        <v>1095</v>
      </c>
    </row>
    <row r="31" spans="1:20" ht="32.85" customHeight="1">
      <c r="A31" s="1451" t="s">
        <v>1096</v>
      </c>
      <c r="B31" s="1453"/>
      <c r="C31" s="1453"/>
      <c r="D31" s="1453"/>
      <c r="E31" s="1453"/>
      <c r="F31" s="1453"/>
      <c r="G31" s="1453"/>
      <c r="H31" s="1453"/>
      <c r="I31" s="1453"/>
      <c r="J31" s="1453"/>
      <c r="K31" s="1453"/>
      <c r="L31" s="779">
        <f>'[70]7'!L31</f>
        <v>174.94396024662203</v>
      </c>
      <c r="M31" s="779">
        <f>'[70]7'!M31</f>
        <v>53.200338822183696</v>
      </c>
      <c r="N31" s="779">
        <f>'[70]7'!N31</f>
        <v>0</v>
      </c>
      <c r="O31" s="779">
        <f>'[70]7'!O31+0.02</f>
        <v>0.36004993000000002</v>
      </c>
      <c r="P31" s="779">
        <f>'[70]7'!P31</f>
        <v>228.48434899880573</v>
      </c>
      <c r="Q31" s="779">
        <f>'[70]7'!Q31</f>
        <v>228.48434899880573</v>
      </c>
      <c r="R31" s="1452" t="s">
        <v>1097</v>
      </c>
    </row>
    <row r="32" spans="1:20" ht="15">
      <c r="A32" s="1451" t="s">
        <v>1098</v>
      </c>
      <c r="B32" s="1454"/>
      <c r="C32" s="1454"/>
      <c r="D32" s="1454"/>
      <c r="E32" s="1454"/>
      <c r="F32" s="1454"/>
      <c r="G32" s="1454"/>
      <c r="H32" s="1454"/>
      <c r="I32" s="1454"/>
      <c r="J32" s="1454"/>
      <c r="K32" s="1454"/>
      <c r="L32" s="779">
        <f>'[70]7'!L32</f>
        <v>620.2675137146615</v>
      </c>
      <c r="M32" s="932">
        <f>'[70]7'!M32</f>
        <v>58.410309667151495</v>
      </c>
      <c r="N32" s="932">
        <f>'[70]7'!N32</f>
        <v>0</v>
      </c>
      <c r="O32" s="932">
        <f>'[70]7'!O32</f>
        <v>440.68618979874418</v>
      </c>
      <c r="P32" s="779">
        <f>'[70]7'!P32</f>
        <v>1119.3640131805571</v>
      </c>
      <c r="Q32" s="779">
        <f>'[70]7'!Q32</f>
        <v>1119.3640131805571</v>
      </c>
      <c r="R32" s="1452" t="s">
        <v>1099</v>
      </c>
    </row>
    <row r="33" spans="1:18" ht="15">
      <c r="A33" s="1447" t="s">
        <v>385</v>
      </c>
      <c r="B33" s="779">
        <f>'[70]7'!B33</f>
        <v>0</v>
      </c>
      <c r="C33" s="779">
        <f>'[70]7'!C33</f>
        <v>0</v>
      </c>
      <c r="D33" s="779">
        <f>'[70]7'!D33</f>
        <v>0</v>
      </c>
      <c r="E33" s="779">
        <f>'[70]7'!E33</f>
        <v>477.30750823474932</v>
      </c>
      <c r="F33" s="779">
        <f>'[70]7'!F33</f>
        <v>477.30750823474932</v>
      </c>
      <c r="G33" s="779">
        <f>'[70]7'!G33</f>
        <v>69.148936170212764</v>
      </c>
      <c r="H33" s="779">
        <f>'[70]7'!H33</f>
        <v>12.9</v>
      </c>
      <c r="I33" s="779">
        <f>'[70]7'!I33</f>
        <v>0</v>
      </c>
      <c r="J33" s="779">
        <f>'[70]7'!J33</f>
        <v>9.3085106382978715</v>
      </c>
      <c r="K33" s="779">
        <f>'[70]7'!K33-0.02</f>
        <v>91.337446808510649</v>
      </c>
      <c r="L33" s="779">
        <f>'[70]7'!L33</f>
        <v>1321.3846229505382</v>
      </c>
      <c r="M33" s="779">
        <f>'[70]7'!M33</f>
        <v>751.87773729567243</v>
      </c>
      <c r="N33" s="779">
        <f>'[70]7'!N33</f>
        <v>81.882081783606424</v>
      </c>
      <c r="O33" s="779">
        <f>'[70]7'!O33</f>
        <v>493.23195138668956</v>
      </c>
      <c r="P33" s="779">
        <f>'[70]7'!P33</f>
        <v>2648.3763934165067</v>
      </c>
      <c r="Q33" s="779">
        <f>'[70]7'!Q33</f>
        <v>3217.0413484597671</v>
      </c>
      <c r="R33" s="1448" t="s">
        <v>377</v>
      </c>
    </row>
    <row r="35" spans="1:18">
      <c r="G35" s="1425"/>
      <c r="H35" s="1425"/>
      <c r="I35" s="1425"/>
      <c r="J35" s="1425"/>
      <c r="K35" s="1425"/>
      <c r="M35" s="1425"/>
      <c r="N35" s="1425"/>
      <c r="O35" s="1425"/>
      <c r="P35" s="1425"/>
      <c r="Q35" s="1425"/>
    </row>
    <row r="42" spans="1:18" ht="14.25">
      <c r="A42" s="1416" t="s">
        <v>1100</v>
      </c>
      <c r="B42" s="1419"/>
      <c r="C42" s="1419"/>
      <c r="D42" s="1419"/>
      <c r="E42" s="1419"/>
      <c r="F42" s="1419"/>
      <c r="G42" s="1419"/>
      <c r="H42" s="1419"/>
      <c r="I42" s="1419"/>
      <c r="J42" s="1419"/>
      <c r="K42" s="1419"/>
      <c r="L42" s="1420"/>
      <c r="M42" s="1419"/>
      <c r="N42" s="1419"/>
      <c r="O42" s="1419"/>
      <c r="P42" s="1419"/>
      <c r="Q42" s="1419"/>
      <c r="R42" s="1419"/>
    </row>
    <row r="43" spans="1:18" ht="14.25">
      <c r="F43" s="1416"/>
      <c r="J43" s="1419"/>
      <c r="K43" s="1419"/>
    </row>
  </sheetData>
  <mergeCells count="13">
    <mergeCell ref="A10:A15"/>
    <mergeCell ref="Q10:Q12"/>
    <mergeCell ref="R10:R15"/>
    <mergeCell ref="B11:F11"/>
    <mergeCell ref="G11:K11"/>
    <mergeCell ref="L11:P11"/>
    <mergeCell ref="F12:F13"/>
    <mergeCell ref="K12:K13"/>
    <mergeCell ref="P12:P13"/>
    <mergeCell ref="Q13:Q15"/>
    <mergeCell ref="F14:F15"/>
    <mergeCell ref="K14:K15"/>
    <mergeCell ref="P14:P15"/>
  </mergeCells>
  <phoneticPr fontId="30" type="noConversion"/>
  <printOptions horizontalCentered="1" verticalCentered="1"/>
  <pageMargins left="0" right="0" top="0" bottom="0" header="0.5" footer="0.5"/>
  <pageSetup paperSize="9" scale="7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0">
    <pageSetUpPr fitToPage="1"/>
  </sheetPr>
  <dimension ref="A1:U42"/>
  <sheetViews>
    <sheetView zoomScale="80" zoomScaleNormal="80" workbookViewId="0">
      <pane ySplit="13" topLeftCell="A23" activePane="bottomLeft" state="frozen"/>
      <selection activeCell="A49" sqref="A1:XFD1048576"/>
      <selection pane="bottomLeft" activeCell="A2" sqref="A2"/>
    </sheetView>
  </sheetViews>
  <sheetFormatPr defaultColWidth="9.140625" defaultRowHeight="12.75"/>
  <cols>
    <col min="1" max="2" width="9.7109375" style="477" customWidth="1"/>
    <col min="3" max="3" width="18.28515625" style="477" bestFit="1" customWidth="1"/>
    <col min="4" max="4" width="24.5703125" style="477" bestFit="1" customWidth="1"/>
    <col min="5" max="5" width="17.7109375" style="477" bestFit="1" customWidth="1"/>
    <col min="6" max="6" width="19.28515625" style="477" customWidth="1"/>
    <col min="7" max="7" width="18.28515625" style="477" bestFit="1" customWidth="1"/>
    <col min="8" max="8" width="18.140625" style="477" customWidth="1"/>
    <col min="9" max="9" width="16.7109375" style="477" customWidth="1"/>
    <col min="10" max="10" width="19.85546875" style="477" bestFit="1" customWidth="1"/>
    <col min="11" max="16384" width="9.140625" style="477"/>
  </cols>
  <sheetData>
    <row r="1" spans="1:10" ht="18" customHeight="1">
      <c r="A1" s="991" t="s">
        <v>1101</v>
      </c>
      <c r="B1" s="991"/>
      <c r="C1" s="991"/>
      <c r="D1" s="991"/>
      <c r="E1" s="991"/>
      <c r="F1" s="991"/>
      <c r="G1" s="991"/>
      <c r="H1" s="991"/>
      <c r="I1" s="991"/>
      <c r="J1" s="991"/>
    </row>
    <row r="2" spans="1:10" ht="18" customHeight="1">
      <c r="A2" s="991" t="s">
        <v>1646</v>
      </c>
      <c r="B2" s="991"/>
      <c r="C2" s="991"/>
      <c r="D2" s="991"/>
      <c r="E2" s="991"/>
      <c r="F2" s="991"/>
      <c r="G2" s="991"/>
      <c r="H2" s="991"/>
      <c r="I2" s="991"/>
      <c r="J2" s="991"/>
    </row>
    <row r="3" spans="1:10" ht="15.95" customHeight="1">
      <c r="A3" s="992" t="s">
        <v>62</v>
      </c>
      <c r="B3" s="519"/>
      <c r="C3" s="519"/>
      <c r="D3" s="519"/>
      <c r="E3" s="519"/>
      <c r="F3" s="519"/>
      <c r="G3" s="519"/>
      <c r="H3" s="519"/>
      <c r="I3" s="519"/>
      <c r="J3" s="519"/>
    </row>
    <row r="4" spans="1:10" ht="18">
      <c r="A4" s="2156" t="s">
        <v>1102</v>
      </c>
      <c r="B4" s="2156"/>
      <c r="C4" s="2156"/>
      <c r="D4" s="2156"/>
      <c r="E4" s="2156"/>
      <c r="F4" s="2156"/>
      <c r="G4" s="2156"/>
      <c r="H4" s="2156"/>
      <c r="I4" s="2156"/>
      <c r="J4" s="2156"/>
    </row>
    <row r="5" spans="1:10" ht="15.95" customHeight="1">
      <c r="A5" s="2157" t="s">
        <v>1103</v>
      </c>
      <c r="B5" s="2157"/>
      <c r="C5" s="2157"/>
      <c r="D5" s="2157"/>
      <c r="E5" s="2157"/>
      <c r="F5" s="2157"/>
      <c r="G5" s="2157"/>
      <c r="H5" s="2157"/>
      <c r="I5" s="2157"/>
      <c r="J5" s="2157"/>
    </row>
    <row r="6" spans="1:10" ht="15.95" hidden="1" customHeight="1">
      <c r="A6" s="1098"/>
      <c r="B6" s="1098"/>
      <c r="C6" s="1098"/>
      <c r="D6" s="1098"/>
      <c r="E6" s="1098"/>
      <c r="F6" s="1098"/>
      <c r="G6" s="1098"/>
      <c r="H6" s="1098"/>
      <c r="I6" s="1098"/>
      <c r="J6" s="1098"/>
    </row>
    <row r="7" spans="1:10" ht="15.95" hidden="1" customHeight="1">
      <c r="A7" s="1098"/>
      <c r="B7" s="1098"/>
      <c r="C7" s="1098"/>
      <c r="D7" s="1098"/>
      <c r="E7" s="1098"/>
      <c r="F7" s="1098"/>
      <c r="G7" s="1098"/>
      <c r="H7" s="1098"/>
      <c r="I7" s="1098"/>
      <c r="J7" s="1098"/>
    </row>
    <row r="8" spans="1:10" ht="8.25" customHeight="1">
      <c r="A8" s="992"/>
      <c r="B8" s="519"/>
      <c r="C8" s="519"/>
      <c r="D8" s="519"/>
      <c r="E8" s="519"/>
      <c r="F8" s="519"/>
      <c r="G8" s="519"/>
      <c r="H8" s="519"/>
      <c r="I8" s="519"/>
      <c r="J8" s="519"/>
    </row>
    <row r="9" spans="1:10" s="480" customFormat="1" ht="14.85" customHeight="1">
      <c r="A9" s="2158" t="s">
        <v>959</v>
      </c>
      <c r="B9" s="2158"/>
      <c r="C9" s="479"/>
      <c r="D9" s="479"/>
      <c r="E9" s="479"/>
      <c r="F9" s="993"/>
      <c r="G9" s="479"/>
      <c r="H9" s="479"/>
      <c r="I9" s="479"/>
      <c r="J9" s="994" t="s">
        <v>960</v>
      </c>
    </row>
    <row r="10" spans="1:10" s="523" customFormat="1" ht="15">
      <c r="A10" s="520"/>
      <c r="B10" s="521"/>
      <c r="C10" s="2159" t="s">
        <v>371</v>
      </c>
      <c r="D10" s="2160"/>
      <c r="E10" s="2159" t="s">
        <v>1104</v>
      </c>
      <c r="F10" s="2160"/>
      <c r="G10" s="2159" t="s">
        <v>1105</v>
      </c>
      <c r="H10" s="2160"/>
      <c r="I10" s="2159" t="s">
        <v>1106</v>
      </c>
      <c r="J10" s="2160"/>
    </row>
    <row r="11" spans="1:10" s="523" customFormat="1" ht="14.25" customHeight="1">
      <c r="A11" s="995" t="s">
        <v>364</v>
      </c>
      <c r="B11" s="996"/>
      <c r="C11" s="2148" t="s">
        <v>1107</v>
      </c>
      <c r="D11" s="2149"/>
      <c r="E11" s="2150" t="s">
        <v>1108</v>
      </c>
      <c r="F11" s="2151"/>
      <c r="G11" s="2152" t="s">
        <v>1109</v>
      </c>
      <c r="H11" s="2153"/>
      <c r="I11" s="2154" t="s">
        <v>1110</v>
      </c>
      <c r="J11" s="2155"/>
    </row>
    <row r="12" spans="1:10" s="523" customFormat="1" ht="45">
      <c r="A12" s="997" t="s">
        <v>372</v>
      </c>
      <c r="B12" s="998"/>
      <c r="C12" s="1024" t="s">
        <v>1111</v>
      </c>
      <c r="D12" s="1101" t="s">
        <v>1112</v>
      </c>
      <c r="E12" s="1024" t="s">
        <v>1113</v>
      </c>
      <c r="F12" s="1024" t="s">
        <v>1114</v>
      </c>
      <c r="G12" s="1024" t="s">
        <v>1115</v>
      </c>
      <c r="H12" s="1024" t="s">
        <v>1116</v>
      </c>
      <c r="I12" s="1024" t="s">
        <v>1117</v>
      </c>
      <c r="J12" s="1024" t="s">
        <v>1118</v>
      </c>
    </row>
    <row r="13" spans="1:10" s="537" customFormat="1" ht="48.75" customHeight="1">
      <c r="A13" s="531"/>
      <c r="B13" s="999"/>
      <c r="C13" s="1020" t="s">
        <v>1119</v>
      </c>
      <c r="D13" s="1021" t="s">
        <v>1120</v>
      </c>
      <c r="E13" s="1022" t="s">
        <v>1121</v>
      </c>
      <c r="F13" s="1022" t="s">
        <v>1122</v>
      </c>
      <c r="G13" s="1022" t="s">
        <v>1123</v>
      </c>
      <c r="H13" s="1022" t="s">
        <v>1124</v>
      </c>
      <c r="I13" s="1023" t="s">
        <v>1125</v>
      </c>
      <c r="J13" s="1023" t="s">
        <v>1126</v>
      </c>
    </row>
    <row r="14" spans="1:10" s="550" customFormat="1" ht="21" customHeight="1">
      <c r="A14" s="1000">
        <v>2012</v>
      </c>
      <c r="B14" s="551"/>
      <c r="C14" s="1001">
        <v>19.164385969022888</v>
      </c>
      <c r="D14" s="1002">
        <v>15.952512901319654</v>
      </c>
      <c r="E14" s="1002">
        <v>7.1718920622071929</v>
      </c>
      <c r="F14" s="1002">
        <v>57.320960332130191</v>
      </c>
      <c r="G14" s="1002">
        <v>0.5924917011636941</v>
      </c>
      <c r="H14" s="1002">
        <v>5.0670335474674433</v>
      </c>
      <c r="I14" s="1003">
        <v>19.77459996278743</v>
      </c>
      <c r="J14" s="1002">
        <v>69.635833027904312</v>
      </c>
    </row>
    <row r="15" spans="1:10" s="550" customFormat="1" ht="15.95" customHeight="1">
      <c r="A15" s="1000">
        <v>2013</v>
      </c>
      <c r="B15" s="551"/>
      <c r="C15" s="1001">
        <v>21.211921663186072</v>
      </c>
      <c r="D15" s="1001">
        <v>18.153766099633454</v>
      </c>
      <c r="E15" s="1001">
        <v>6.196058000087783</v>
      </c>
      <c r="F15" s="1001">
        <v>59.868104731462367</v>
      </c>
      <c r="G15" s="1001">
        <v>1.2715743094682228</v>
      </c>
      <c r="H15" s="1001">
        <v>7.6664363042435717</v>
      </c>
      <c r="I15" s="1004">
        <v>22.419019286681312</v>
      </c>
      <c r="J15" s="1001">
        <v>69.647344227977541</v>
      </c>
    </row>
    <row r="16" spans="1:10" s="550" customFormat="1" ht="15.95" customHeight="1">
      <c r="A16" s="1000">
        <v>2014</v>
      </c>
      <c r="B16" s="551"/>
      <c r="C16" s="1001">
        <v>20.315699221505479</v>
      </c>
      <c r="D16" s="1001">
        <v>17.899939351799361</v>
      </c>
      <c r="E16" s="1001">
        <v>5.5697869738227084</v>
      </c>
      <c r="F16" s="1001">
        <v>62.801152201131472</v>
      </c>
      <c r="G16" s="1001">
        <v>0.99863365659487902</v>
      </c>
      <c r="H16" s="1001">
        <v>6.235638638183203</v>
      </c>
      <c r="I16" s="1004">
        <v>22.132161654348369</v>
      </c>
      <c r="J16" s="1001">
        <v>67.45395280910472</v>
      </c>
    </row>
    <row r="17" spans="1:21" s="550" customFormat="1" ht="15.95" customHeight="1">
      <c r="A17" s="1000">
        <v>2015</v>
      </c>
      <c r="B17" s="551"/>
      <c r="C17" s="1001">
        <v>18.969857827339677</v>
      </c>
      <c r="D17" s="1001">
        <v>17.387613930222184</v>
      </c>
      <c r="E17" s="1001">
        <v>5.2723574972273886</v>
      </c>
      <c r="F17" s="1001">
        <v>59.166730085286723</v>
      </c>
      <c r="G17" s="1001">
        <v>0.80139841571120063</v>
      </c>
      <c r="H17" s="1001">
        <v>4.6010373766319796</v>
      </c>
      <c r="I17" s="1004">
        <v>22.968676791184834</v>
      </c>
      <c r="J17" s="1001">
        <v>68.102861666160678</v>
      </c>
    </row>
    <row r="18" spans="1:21" s="550" customFormat="1" ht="15.95" customHeight="1">
      <c r="A18" s="1000">
        <v>2016</v>
      </c>
      <c r="B18" s="551"/>
      <c r="C18" s="1001">
        <v>19.271763034294125</v>
      </c>
      <c r="D18" s="1001">
        <v>17.856778858990189</v>
      </c>
      <c r="E18" s="1001">
        <v>5.9293416076312253</v>
      </c>
      <c r="F18" s="1001">
        <v>56.561342133462325</v>
      </c>
      <c r="G18" s="1001">
        <v>0.96755291592906834</v>
      </c>
      <c r="H18" s="1001">
        <v>6.8464502980658857</v>
      </c>
      <c r="I18" s="1004">
        <v>21.875964390208484</v>
      </c>
      <c r="J18" s="1001">
        <v>66.576230494260798</v>
      </c>
    </row>
    <row r="19" spans="1:21" s="550" customFormat="1" ht="15.95" customHeight="1">
      <c r="A19" s="1000">
        <v>2017</v>
      </c>
      <c r="B19" s="551"/>
      <c r="C19" s="1001">
        <v>19.467028355985747</v>
      </c>
      <c r="D19" s="1001">
        <v>18.169120787234917</v>
      </c>
      <c r="E19" s="1001">
        <v>5.6163834058364221</v>
      </c>
      <c r="F19" s="1001">
        <v>52.83550911154726</v>
      </c>
      <c r="G19" s="1001">
        <v>1.0892581633441316</v>
      </c>
      <c r="H19" s="1001">
        <v>7.0807077237660527</v>
      </c>
      <c r="I19" s="1004">
        <v>23.988770662848083</v>
      </c>
      <c r="J19" s="1001">
        <v>71.031812812504185</v>
      </c>
    </row>
    <row r="20" spans="1:21" s="523" customFormat="1" ht="16.5" customHeight="1">
      <c r="A20" s="1005">
        <v>2018</v>
      </c>
      <c r="B20" s="1006"/>
      <c r="C20" s="1016">
        <v>18.915073073036428</v>
      </c>
      <c r="D20" s="1016">
        <v>17.598240043315467</v>
      </c>
      <c r="E20" s="1016">
        <v>5.5003195418057613</v>
      </c>
      <c r="F20" s="1016">
        <v>61.162225836007586</v>
      </c>
      <c r="G20" s="1016">
        <v>0.97588209001592852</v>
      </c>
      <c r="H20" s="1016">
        <v>6.7140487103032758</v>
      </c>
      <c r="I20" s="1017">
        <v>24.068476746837828</v>
      </c>
      <c r="J20" s="1016">
        <v>72.102470225648986</v>
      </c>
      <c r="K20" s="1007"/>
      <c r="L20" s="1008"/>
      <c r="M20" s="1008"/>
      <c r="N20" s="1008"/>
      <c r="O20" s="1009"/>
      <c r="P20" s="1009"/>
      <c r="Q20" s="1009"/>
      <c r="R20" s="1009"/>
      <c r="S20" s="1009"/>
    </row>
    <row r="21" spans="1:21" s="523" customFormat="1" ht="21" customHeight="1">
      <c r="A21" s="1000">
        <v>2018</v>
      </c>
      <c r="B21" s="1010" t="s">
        <v>222</v>
      </c>
      <c r="C21" s="1001">
        <v>18.81717334402714</v>
      </c>
      <c r="D21" s="1001">
        <v>17.364803460300717</v>
      </c>
      <c r="E21" s="1001">
        <v>5.5929951767817006</v>
      </c>
      <c r="F21" s="1001">
        <v>51.950821838748084</v>
      </c>
      <c r="G21" s="1001">
        <v>0.33163521804297857</v>
      </c>
      <c r="H21" s="1001">
        <v>2.4735884897334799</v>
      </c>
      <c r="I21" s="1004">
        <v>25.504520242284961</v>
      </c>
      <c r="J21" s="1001">
        <v>72.708934790581182</v>
      </c>
      <c r="K21" s="1008"/>
      <c r="L21" s="1008"/>
      <c r="M21" s="1008"/>
      <c r="N21" s="1009"/>
      <c r="O21" s="1009"/>
      <c r="P21" s="1009"/>
      <c r="Q21" s="1009"/>
      <c r="R21" s="1009"/>
      <c r="S21" s="1009"/>
    </row>
    <row r="22" spans="1:21" s="523" customFormat="1" ht="16.5" customHeight="1">
      <c r="A22" s="1000"/>
      <c r="B22" s="1010" t="s">
        <v>223</v>
      </c>
      <c r="C22" s="1001">
        <v>19.215600067345008</v>
      </c>
      <c r="D22" s="1001">
        <v>17.76585987365322</v>
      </c>
      <c r="E22" s="1001">
        <v>5.5582706294509565</v>
      </c>
      <c r="F22" s="1001">
        <v>58.187117296104262</v>
      </c>
      <c r="G22" s="1001">
        <v>0.55612543218785293</v>
      </c>
      <c r="H22" s="1001">
        <v>4.002540890321753</v>
      </c>
      <c r="I22" s="1004">
        <v>24.050758013264304</v>
      </c>
      <c r="J22" s="1001">
        <v>73.238413728979722</v>
      </c>
      <c r="K22" s="1007"/>
      <c r="L22" s="1008"/>
      <c r="M22" s="1008"/>
      <c r="N22" s="1008"/>
      <c r="O22" s="1009"/>
      <c r="P22" s="1009"/>
      <c r="Q22" s="1009"/>
      <c r="R22" s="1009"/>
      <c r="S22" s="1009"/>
    </row>
    <row r="23" spans="1:21" s="523" customFormat="1" ht="16.5" customHeight="1">
      <c r="A23" s="1000"/>
      <c r="B23" s="1010" t="s">
        <v>224</v>
      </c>
      <c r="C23" s="1001">
        <v>19.400348585013816</v>
      </c>
      <c r="D23" s="1001">
        <v>18.027076860045028</v>
      </c>
      <c r="E23" s="1001">
        <v>5.4616134259193272</v>
      </c>
      <c r="F23" s="1001">
        <v>61.152687759983159</v>
      </c>
      <c r="G23" s="1001">
        <v>0.68706782602676253</v>
      </c>
      <c r="H23" s="1001">
        <v>5.3168866980265381</v>
      </c>
      <c r="I23" s="1004">
        <v>24.516723125019084</v>
      </c>
      <c r="J23" s="1001">
        <v>71.101134625863537</v>
      </c>
      <c r="K23" s="1007"/>
      <c r="L23" s="1008"/>
      <c r="M23" s="1008"/>
      <c r="N23" s="1008"/>
      <c r="O23" s="1008"/>
      <c r="P23" s="1008"/>
      <c r="Q23" s="1008"/>
      <c r="R23" s="1008"/>
      <c r="S23" s="1008"/>
      <c r="T23" s="550"/>
      <c r="U23" s="550"/>
    </row>
    <row r="24" spans="1:21" s="523" customFormat="1" ht="16.5" customHeight="1">
      <c r="A24" s="1000"/>
      <c r="B24" s="1010" t="s">
        <v>225</v>
      </c>
      <c r="C24" s="1001">
        <v>18.915073073036428</v>
      </c>
      <c r="D24" s="1001">
        <v>17.598240043315467</v>
      </c>
      <c r="E24" s="1001">
        <v>5.5003195418057613</v>
      </c>
      <c r="F24" s="1001">
        <v>61.162225836007586</v>
      </c>
      <c r="G24" s="1001">
        <v>0.97588209001592852</v>
      </c>
      <c r="H24" s="1001">
        <v>6.7140487103032758</v>
      </c>
      <c r="I24" s="1004">
        <v>24.068476746837828</v>
      </c>
      <c r="J24" s="1001">
        <v>72.102470225648986</v>
      </c>
      <c r="K24" s="1007"/>
      <c r="L24" s="1008"/>
      <c r="M24" s="1008"/>
      <c r="N24" s="1008"/>
      <c r="O24" s="1009"/>
      <c r="P24" s="1009"/>
      <c r="Q24" s="1009"/>
      <c r="R24" s="1009"/>
      <c r="S24" s="1009"/>
    </row>
    <row r="25" spans="1:21" s="1009" customFormat="1" ht="21.2" customHeight="1">
      <c r="A25" s="1011">
        <v>2019</v>
      </c>
      <c r="B25" s="1012" t="s">
        <v>222</v>
      </c>
      <c r="C25" s="1001">
        <v>18</v>
      </c>
      <c r="D25" s="1001">
        <v>16.7</v>
      </c>
      <c r="E25" s="1001">
        <v>5.5</v>
      </c>
      <c r="F25" s="1001">
        <v>61.4</v>
      </c>
      <c r="G25" s="1001">
        <v>0.22488680257272964</v>
      </c>
      <c r="H25" s="1001">
        <v>2.1</v>
      </c>
      <c r="I25" s="1004">
        <v>25</v>
      </c>
      <c r="J25" s="1001">
        <v>70.8</v>
      </c>
      <c r="K25" s="1008"/>
      <c r="L25" s="1008"/>
      <c r="M25" s="1008"/>
      <c r="N25" s="1008"/>
      <c r="O25" s="1008"/>
      <c r="P25" s="1008"/>
      <c r="Q25" s="1008"/>
      <c r="R25" s="1008"/>
    </row>
    <row r="26" spans="1:21" s="1009" customFormat="1" ht="16.5" customHeight="1">
      <c r="A26" s="1011"/>
      <c r="B26" s="1012" t="s">
        <v>223</v>
      </c>
      <c r="C26" s="1001">
        <v>19</v>
      </c>
      <c r="D26" s="1001">
        <v>17.7</v>
      </c>
      <c r="E26" s="1001">
        <v>5.2</v>
      </c>
      <c r="F26" s="1001">
        <v>64.653203785098583</v>
      </c>
      <c r="G26" s="1001">
        <v>0.55270227967502805</v>
      </c>
      <c r="H26" s="1001">
        <v>4.8</v>
      </c>
      <c r="I26" s="1004">
        <v>25.1</v>
      </c>
      <c r="J26" s="1001">
        <v>70.8</v>
      </c>
    </row>
    <row r="27" spans="1:21" s="1009" customFormat="1" ht="16.5" customHeight="1">
      <c r="A27" s="1011"/>
      <c r="B27" s="1031" t="s">
        <v>224</v>
      </c>
      <c r="C27" s="1001">
        <v>18.7</v>
      </c>
      <c r="D27" s="1001">
        <v>17.399999999999999</v>
      </c>
      <c r="E27" s="1001">
        <v>5.1840382636392279</v>
      </c>
      <c r="F27" s="1001">
        <v>64.900000000000006</v>
      </c>
      <c r="G27" s="1001">
        <v>0.8</v>
      </c>
      <c r="H27" s="1001">
        <v>6.5</v>
      </c>
      <c r="I27" s="1004">
        <v>24.6</v>
      </c>
      <c r="J27" s="1001">
        <v>71.5</v>
      </c>
    </row>
    <row r="28" spans="1:21" s="1009" customFormat="1" ht="16.5" customHeight="1">
      <c r="A28" s="1013"/>
      <c r="B28" s="1025" t="s">
        <v>1127</v>
      </c>
      <c r="C28" s="1001">
        <v>19.2</v>
      </c>
      <c r="D28" s="1001">
        <v>17.899999999999999</v>
      </c>
      <c r="E28" s="1001">
        <v>4.8</v>
      </c>
      <c r="F28" s="1001">
        <v>62</v>
      </c>
      <c r="G28" s="1001">
        <v>1.1000000000000001</v>
      </c>
      <c r="H28" s="1001">
        <v>7.9</v>
      </c>
      <c r="I28" s="1004">
        <v>25.5</v>
      </c>
      <c r="J28" s="1001">
        <v>71.5</v>
      </c>
    </row>
    <row r="29" spans="1:21" ht="21.2" customHeight="1">
      <c r="A29" s="495" t="s">
        <v>1128</v>
      </c>
      <c r="B29" s="495"/>
      <c r="C29" s="495"/>
      <c r="D29" s="495"/>
      <c r="E29" s="495"/>
      <c r="F29" s="495"/>
      <c r="G29" s="495"/>
      <c r="H29" s="495"/>
      <c r="I29" s="495"/>
      <c r="J29" s="1029" t="s">
        <v>1129</v>
      </c>
    </row>
    <row r="30" spans="1:21" ht="13.15" customHeight="1">
      <c r="A30" s="477" t="s">
        <v>1130</v>
      </c>
      <c r="J30" s="1030" t="s">
        <v>1131</v>
      </c>
    </row>
    <row r="31" spans="1:21" ht="13.7" customHeight="1"/>
    <row r="32" spans="1:21" ht="13.7" customHeight="1"/>
    <row r="33" spans="1:18" ht="13.7" customHeight="1"/>
    <row r="34" spans="1:18" ht="13.7" customHeight="1"/>
    <row r="35" spans="1:18" ht="13.7" customHeight="1"/>
    <row r="36" spans="1:18" ht="13.7" customHeight="1"/>
    <row r="37" spans="1:18" ht="13.7" customHeight="1"/>
    <row r="38" spans="1:18" ht="13.7" customHeight="1"/>
    <row r="39" spans="1:18" ht="13.7" customHeight="1"/>
    <row r="40" spans="1:18" ht="13.7" customHeight="1"/>
    <row r="41" spans="1:18" ht="14.25">
      <c r="A41" s="1416" t="s">
        <v>1132</v>
      </c>
      <c r="B41" s="476"/>
      <c r="C41" s="476"/>
      <c r="D41" s="476"/>
      <c r="E41" s="476"/>
      <c r="F41" s="476"/>
      <c r="G41" s="476"/>
      <c r="H41" s="476"/>
      <c r="I41" s="476"/>
      <c r="J41" s="476"/>
    </row>
    <row r="42" spans="1:18" s="1421" customFormat="1" ht="14.25">
      <c r="A42" s="1417"/>
      <c r="B42" s="1418"/>
      <c r="C42" s="1418"/>
      <c r="D42" s="1418"/>
      <c r="E42" s="1418"/>
      <c r="F42" s="1418"/>
      <c r="G42" s="1418"/>
      <c r="H42" s="1418"/>
      <c r="I42" s="1418"/>
      <c r="J42" s="1418"/>
      <c r="K42" s="1419"/>
      <c r="L42" s="1420"/>
      <c r="M42" s="1419"/>
      <c r="N42" s="1419"/>
      <c r="O42" s="1419"/>
      <c r="P42" s="1419"/>
      <c r="Q42" s="1419"/>
      <c r="R42" s="1419"/>
    </row>
  </sheetData>
  <mergeCells count="11">
    <mergeCell ref="C11:D11"/>
    <mergeCell ref="E11:F11"/>
    <mergeCell ref="G11:H11"/>
    <mergeCell ref="I11:J11"/>
    <mergeCell ref="A4:J4"/>
    <mergeCell ref="A5:J5"/>
    <mergeCell ref="A9:B9"/>
    <mergeCell ref="C10:D10"/>
    <mergeCell ref="E10:F10"/>
    <mergeCell ref="G10:H10"/>
    <mergeCell ref="I10:J10"/>
  </mergeCells>
  <printOptions horizontalCentered="1"/>
  <pageMargins left="0.45" right="0.45" top="0.75" bottom="0.75" header="0.3" footer="0.3"/>
  <pageSetup paperSize="9" scale="73"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1">
    <pageSetUpPr fitToPage="1"/>
  </sheetPr>
  <dimension ref="A1:AC42"/>
  <sheetViews>
    <sheetView zoomScale="80" zoomScaleNormal="80" workbookViewId="0">
      <selection activeCell="A49" sqref="A1:XFD1048576"/>
    </sheetView>
  </sheetViews>
  <sheetFormatPr defaultColWidth="9.140625" defaultRowHeight="12.75"/>
  <cols>
    <col min="1" max="2" width="9.7109375" style="477" customWidth="1"/>
    <col min="3" max="18" width="12.85546875" style="477" customWidth="1"/>
    <col min="19" max="16384" width="9.140625" style="477"/>
  </cols>
  <sheetData>
    <row r="1" spans="1:18" ht="18" customHeight="1">
      <c r="A1" s="991" t="s">
        <v>1133</v>
      </c>
      <c r="B1" s="991"/>
      <c r="C1" s="991"/>
      <c r="D1" s="991"/>
      <c r="E1" s="991"/>
      <c r="F1" s="991"/>
      <c r="G1" s="991"/>
      <c r="H1" s="991"/>
      <c r="I1" s="991"/>
      <c r="J1" s="991"/>
      <c r="K1" s="991"/>
      <c r="L1" s="991"/>
      <c r="M1" s="991"/>
      <c r="N1" s="991"/>
      <c r="O1" s="991"/>
      <c r="P1" s="991"/>
      <c r="Q1" s="991"/>
      <c r="R1" s="991"/>
    </row>
    <row r="2" spans="1:18" ht="18" customHeight="1">
      <c r="A2" s="991" t="s">
        <v>63</v>
      </c>
      <c r="B2" s="991"/>
      <c r="C2" s="991"/>
      <c r="D2" s="991"/>
      <c r="E2" s="991"/>
      <c r="F2" s="991"/>
      <c r="G2" s="991"/>
      <c r="H2" s="991"/>
      <c r="I2" s="991"/>
      <c r="J2" s="991"/>
      <c r="K2" s="991"/>
      <c r="L2" s="991"/>
      <c r="M2" s="991"/>
      <c r="N2" s="991"/>
      <c r="O2" s="991"/>
      <c r="P2" s="991"/>
      <c r="Q2" s="991"/>
      <c r="R2" s="991"/>
    </row>
    <row r="3" spans="1:18" ht="15.95" customHeight="1">
      <c r="A3" s="992" t="s">
        <v>62</v>
      </c>
      <c r="B3" s="519"/>
      <c r="C3" s="519"/>
      <c r="D3" s="519"/>
      <c r="E3" s="519"/>
      <c r="F3" s="519"/>
      <c r="G3" s="519"/>
      <c r="H3" s="519"/>
      <c r="I3" s="519"/>
      <c r="J3" s="519"/>
      <c r="K3" s="519"/>
      <c r="L3" s="519"/>
      <c r="M3" s="519"/>
      <c r="N3" s="519"/>
      <c r="O3" s="519"/>
      <c r="P3" s="519"/>
      <c r="Q3" s="519"/>
      <c r="R3" s="519"/>
    </row>
    <row r="4" spans="1:18" ht="18">
      <c r="A4" s="2168" t="s">
        <v>1134</v>
      </c>
      <c r="B4" s="2168"/>
      <c r="C4" s="2168"/>
      <c r="D4" s="2168"/>
      <c r="E4" s="2168"/>
      <c r="F4" s="2168"/>
      <c r="G4" s="2168"/>
      <c r="H4" s="2168"/>
      <c r="I4" s="2168"/>
      <c r="J4" s="2168"/>
      <c r="K4" s="2168"/>
      <c r="L4" s="2168"/>
      <c r="M4" s="2168"/>
      <c r="N4" s="2168"/>
      <c r="O4" s="2168"/>
      <c r="P4" s="2168"/>
      <c r="Q4" s="2168"/>
      <c r="R4" s="2168"/>
    </row>
    <row r="5" spans="1:18" ht="15.95" customHeight="1">
      <c r="A5" s="2169" t="s">
        <v>1135</v>
      </c>
      <c r="B5" s="2169"/>
      <c r="C5" s="2169"/>
      <c r="D5" s="2169"/>
      <c r="E5" s="2169"/>
      <c r="F5" s="2169"/>
      <c r="G5" s="2169"/>
      <c r="H5" s="2169"/>
      <c r="I5" s="2169"/>
      <c r="J5" s="2169"/>
      <c r="K5" s="2169"/>
      <c r="L5" s="2169"/>
      <c r="M5" s="2169"/>
      <c r="N5" s="2169"/>
      <c r="O5" s="2169"/>
      <c r="P5" s="2169"/>
      <c r="Q5" s="2169"/>
      <c r="R5" s="2169"/>
    </row>
    <row r="6" spans="1:18" ht="15.95" customHeight="1">
      <c r="A6" s="992"/>
      <c r="B6" s="519"/>
      <c r="C6" s="519"/>
      <c r="D6" s="519"/>
      <c r="E6" s="519"/>
      <c r="F6" s="519"/>
      <c r="G6" s="519"/>
      <c r="H6" s="519"/>
      <c r="I6" s="519"/>
      <c r="J6" s="519"/>
      <c r="K6" s="519"/>
      <c r="L6" s="519"/>
      <c r="M6" s="519"/>
      <c r="N6" s="519"/>
      <c r="O6" s="519"/>
      <c r="P6" s="519"/>
      <c r="Q6" s="519"/>
      <c r="R6" s="519"/>
    </row>
    <row r="7" spans="1:18" s="480" customFormat="1" ht="14.85" customHeight="1">
      <c r="A7" s="2158" t="s">
        <v>959</v>
      </c>
      <c r="B7" s="2156"/>
      <c r="C7" s="479"/>
      <c r="D7" s="479"/>
      <c r="E7" s="479"/>
      <c r="F7" s="479"/>
      <c r="G7" s="479"/>
      <c r="H7" s="479"/>
      <c r="I7" s="479"/>
      <c r="J7" s="479"/>
      <c r="K7" s="479"/>
      <c r="L7" s="479"/>
      <c r="M7" s="479"/>
      <c r="N7" s="479"/>
      <c r="O7" s="479"/>
      <c r="P7" s="479"/>
      <c r="Q7" s="479"/>
      <c r="R7" s="994" t="s">
        <v>960</v>
      </c>
    </row>
    <row r="8" spans="1:18" s="523" customFormat="1" ht="14.45" customHeight="1">
      <c r="A8" s="520"/>
      <c r="B8" s="521"/>
      <c r="C8" s="2159" t="s">
        <v>371</v>
      </c>
      <c r="D8" s="2170"/>
      <c r="E8" s="2170"/>
      <c r="F8" s="2160"/>
      <c r="G8" s="2159" t="s">
        <v>1104</v>
      </c>
      <c r="H8" s="2170"/>
      <c r="I8" s="2170"/>
      <c r="J8" s="2160"/>
      <c r="K8" s="2159" t="s">
        <v>1105</v>
      </c>
      <c r="L8" s="2170"/>
      <c r="M8" s="2170"/>
      <c r="N8" s="2160"/>
      <c r="O8" s="2159" t="s">
        <v>1106</v>
      </c>
      <c r="P8" s="2170"/>
      <c r="Q8" s="2170"/>
      <c r="R8" s="2160"/>
    </row>
    <row r="9" spans="1:18" s="523" customFormat="1" ht="14.25" customHeight="1">
      <c r="A9" s="995"/>
      <c r="B9" s="996"/>
      <c r="C9" s="2150" t="s">
        <v>1107</v>
      </c>
      <c r="D9" s="2165"/>
      <c r="E9" s="2165"/>
      <c r="F9" s="2151"/>
      <c r="G9" s="2150" t="s">
        <v>1108</v>
      </c>
      <c r="H9" s="2165"/>
      <c r="I9" s="2165"/>
      <c r="J9" s="2151"/>
      <c r="K9" s="2150" t="s">
        <v>1109</v>
      </c>
      <c r="L9" s="2165"/>
      <c r="M9" s="2165"/>
      <c r="N9" s="2151"/>
      <c r="O9" s="2150" t="s">
        <v>1110</v>
      </c>
      <c r="P9" s="2165" t="s">
        <v>1110</v>
      </c>
      <c r="Q9" s="2165"/>
      <c r="R9" s="2151"/>
    </row>
    <row r="10" spans="1:18" s="523" customFormat="1" ht="51.75" customHeight="1">
      <c r="A10" s="995" t="s">
        <v>364</v>
      </c>
      <c r="B10" s="996"/>
      <c r="C10" s="2166" t="s">
        <v>1111</v>
      </c>
      <c r="D10" s="2167"/>
      <c r="E10" s="2166" t="s">
        <v>1112</v>
      </c>
      <c r="F10" s="2167"/>
      <c r="G10" s="2166" t="s">
        <v>1113</v>
      </c>
      <c r="H10" s="2167"/>
      <c r="I10" s="2166" t="s">
        <v>1114</v>
      </c>
      <c r="J10" s="2167"/>
      <c r="K10" s="2166" t="s">
        <v>1115</v>
      </c>
      <c r="L10" s="2167"/>
      <c r="M10" s="2166" t="s">
        <v>1116</v>
      </c>
      <c r="N10" s="2167"/>
      <c r="O10" s="2166" t="s">
        <v>1117</v>
      </c>
      <c r="P10" s="2167"/>
      <c r="Q10" s="2166" t="s">
        <v>1118</v>
      </c>
      <c r="R10" s="2167"/>
    </row>
    <row r="11" spans="1:18" s="537" customFormat="1" ht="40.5" customHeight="1">
      <c r="A11" s="997" t="s">
        <v>372</v>
      </c>
      <c r="B11" s="998"/>
      <c r="C11" s="2161" t="s">
        <v>1119</v>
      </c>
      <c r="D11" s="2162"/>
      <c r="E11" s="2161" t="s">
        <v>1120</v>
      </c>
      <c r="F11" s="2162"/>
      <c r="G11" s="2161" t="s">
        <v>1121</v>
      </c>
      <c r="H11" s="2162"/>
      <c r="I11" s="2161" t="s">
        <v>1122</v>
      </c>
      <c r="J11" s="2162"/>
      <c r="K11" s="2161" t="s">
        <v>1123</v>
      </c>
      <c r="L11" s="2162"/>
      <c r="M11" s="2161" t="s">
        <v>1124</v>
      </c>
      <c r="N11" s="2162"/>
      <c r="O11" s="2163" t="s">
        <v>1125</v>
      </c>
      <c r="P11" s="2164"/>
      <c r="Q11" s="2163" t="s">
        <v>1126</v>
      </c>
      <c r="R11" s="2164"/>
    </row>
    <row r="12" spans="1:18" s="537" customFormat="1" ht="15.75">
      <c r="A12" s="997"/>
      <c r="B12" s="998"/>
      <c r="C12" s="528" t="s">
        <v>1136</v>
      </c>
      <c r="D12" s="529" t="s">
        <v>1137</v>
      </c>
      <c r="E12" s="528" t="s">
        <v>1136</v>
      </c>
      <c r="F12" s="529" t="s">
        <v>1137</v>
      </c>
      <c r="G12" s="528" t="s">
        <v>1136</v>
      </c>
      <c r="H12" s="529" t="s">
        <v>1137</v>
      </c>
      <c r="I12" s="528" t="s">
        <v>1136</v>
      </c>
      <c r="J12" s="529" t="s">
        <v>1137</v>
      </c>
      <c r="K12" s="528" t="s">
        <v>1136</v>
      </c>
      <c r="L12" s="529" t="s">
        <v>1137</v>
      </c>
      <c r="M12" s="528" t="s">
        <v>1136</v>
      </c>
      <c r="N12" s="529" t="s">
        <v>1137</v>
      </c>
      <c r="O12" s="528" t="s">
        <v>1136</v>
      </c>
      <c r="P12" s="529" t="s">
        <v>1137</v>
      </c>
      <c r="Q12" s="528" t="s">
        <v>1136</v>
      </c>
      <c r="R12" s="529" t="s">
        <v>1137</v>
      </c>
    </row>
    <row r="13" spans="1:18" s="537" customFormat="1" ht="15">
      <c r="A13" s="531"/>
      <c r="B13" s="532"/>
      <c r="C13" s="571" t="s">
        <v>484</v>
      </c>
      <c r="D13" s="572" t="s">
        <v>1138</v>
      </c>
      <c r="E13" s="571" t="s">
        <v>484</v>
      </c>
      <c r="F13" s="572" t="s">
        <v>1138</v>
      </c>
      <c r="G13" s="571" t="s">
        <v>484</v>
      </c>
      <c r="H13" s="572" t="s">
        <v>1138</v>
      </c>
      <c r="I13" s="571" t="s">
        <v>484</v>
      </c>
      <c r="J13" s="572" t="s">
        <v>1138</v>
      </c>
      <c r="K13" s="571" t="s">
        <v>484</v>
      </c>
      <c r="L13" s="572" t="s">
        <v>1138</v>
      </c>
      <c r="M13" s="571" t="s">
        <v>484</v>
      </c>
      <c r="N13" s="572" t="s">
        <v>1138</v>
      </c>
      <c r="O13" s="571" t="s">
        <v>484</v>
      </c>
      <c r="P13" s="572" t="s">
        <v>1138</v>
      </c>
      <c r="Q13" s="571" t="s">
        <v>484</v>
      </c>
      <c r="R13" s="572" t="s">
        <v>1138</v>
      </c>
    </row>
    <row r="14" spans="1:18" s="550" customFormat="1" ht="21" customHeight="1">
      <c r="A14" s="1000">
        <v>2012</v>
      </c>
      <c r="B14" s="551"/>
      <c r="C14" s="1001">
        <v>19.324481972850684</v>
      </c>
      <c r="D14" s="1001">
        <v>23.615918692208044</v>
      </c>
      <c r="E14" s="1001">
        <v>15.811465857370605</v>
      </c>
      <c r="F14" s="1001">
        <v>19.921617574735716</v>
      </c>
      <c r="G14" s="1001">
        <v>4.2387325791186514</v>
      </c>
      <c r="H14" s="1001">
        <v>8.1400245980792079</v>
      </c>
      <c r="I14" s="1001">
        <v>51.761180679124152</v>
      </c>
      <c r="J14" s="1001">
        <v>79.461814551223725</v>
      </c>
      <c r="K14" s="1001">
        <v>1.2517209226560182</v>
      </c>
      <c r="L14" s="1001">
        <v>0.3767400167259578</v>
      </c>
      <c r="M14" s="1001">
        <v>11.546506694176838</v>
      </c>
      <c r="N14" s="1001">
        <v>4.6295325349470069</v>
      </c>
      <c r="O14" s="1001">
        <v>24.5431003501654</v>
      </c>
      <c r="P14" s="1001">
        <v>17.235413976315137</v>
      </c>
      <c r="Q14" s="1001">
        <v>67.082852631129668</v>
      </c>
      <c r="R14" s="1001">
        <v>64.145796724412037</v>
      </c>
    </row>
    <row r="15" spans="1:18" s="550" customFormat="1" ht="15.95" customHeight="1">
      <c r="A15" s="1000">
        <v>2013</v>
      </c>
      <c r="B15" s="551"/>
      <c r="C15" s="1001">
        <v>19.218268814085263</v>
      </c>
      <c r="D15" s="1001">
        <v>22.222885343726187</v>
      </c>
      <c r="E15" s="1001">
        <v>14.984947582055003</v>
      </c>
      <c r="F15" s="1001">
        <v>19.031374242170333</v>
      </c>
      <c r="G15" s="1001">
        <v>4.1217672368269787</v>
      </c>
      <c r="H15" s="1001">
        <v>6.9055035861711271</v>
      </c>
      <c r="I15" s="1001">
        <v>53.510355650187222</v>
      </c>
      <c r="J15" s="1001">
        <v>65.586187487204512</v>
      </c>
      <c r="K15" s="1001">
        <v>1.7599178895551955</v>
      </c>
      <c r="L15" s="1001">
        <v>1.2918803668716756</v>
      </c>
      <c r="M15" s="1001">
        <v>17.159570025263715</v>
      </c>
      <c r="N15" s="1001">
        <v>8.05997423605851</v>
      </c>
      <c r="O15" s="1001">
        <v>26.987090002182136</v>
      </c>
      <c r="P15" s="1001">
        <v>21.043475486937758</v>
      </c>
      <c r="Q15" s="1001">
        <v>68.947372143128916</v>
      </c>
      <c r="R15" s="1001">
        <v>62.62192740746422</v>
      </c>
    </row>
    <row r="16" spans="1:18" s="550" customFormat="1" ht="15.95" customHeight="1">
      <c r="A16" s="1000">
        <v>2014</v>
      </c>
      <c r="B16" s="551"/>
      <c r="C16" s="1001">
        <v>18.314808789512892</v>
      </c>
      <c r="D16" s="1001">
        <v>21.445727988347063</v>
      </c>
      <c r="E16" s="1001">
        <v>15.588936123304938</v>
      </c>
      <c r="F16" s="1001">
        <v>18.63309058898313</v>
      </c>
      <c r="G16" s="1001">
        <v>3.682443858142701</v>
      </c>
      <c r="H16" s="1001">
        <v>5.9377237116679984</v>
      </c>
      <c r="I16" s="1001">
        <v>55.970852908092375</v>
      </c>
      <c r="J16" s="1001">
        <v>72.962193882645948</v>
      </c>
      <c r="K16" s="1001">
        <v>1.4956791169081842</v>
      </c>
      <c r="L16" s="1001">
        <v>0.88031561280105197</v>
      </c>
      <c r="M16" s="1001">
        <v>13.223207230749297</v>
      </c>
      <c r="N16" s="1001">
        <v>5.4912925921353164</v>
      </c>
      <c r="O16" s="1001">
        <v>25.709560361461325</v>
      </c>
      <c r="P16" s="1001">
        <v>21.156259470878087</v>
      </c>
      <c r="Q16" s="1001">
        <v>64.79241066299673</v>
      </c>
      <c r="R16" s="1001">
        <v>72.379876502924404</v>
      </c>
    </row>
    <row r="17" spans="1:29" s="550" customFormat="1" ht="15.95" customHeight="1">
      <c r="A17" s="1000">
        <v>2015</v>
      </c>
      <c r="B17" s="551"/>
      <c r="C17" s="1001">
        <v>18.600730625169383</v>
      </c>
      <c r="D17" s="1001">
        <v>19.832341893840574</v>
      </c>
      <c r="E17" s="1001">
        <v>16.735271421881436</v>
      </c>
      <c r="F17" s="1001">
        <v>18.216900006380616</v>
      </c>
      <c r="G17" s="1001">
        <v>3.8767955535909802</v>
      </c>
      <c r="H17" s="1001">
        <v>5.2026089376128049</v>
      </c>
      <c r="I17" s="1001">
        <v>54.279327151034288</v>
      </c>
      <c r="J17" s="1001">
        <v>66.987571281917397</v>
      </c>
      <c r="K17" s="1001">
        <v>1.4271060079241626</v>
      </c>
      <c r="L17" s="1001">
        <v>0.83190298773612792</v>
      </c>
      <c r="M17" s="1001">
        <v>13.332618958819719</v>
      </c>
      <c r="N17" s="1001">
        <v>4.3221548984051239</v>
      </c>
      <c r="O17" s="1001">
        <v>25.546143932287723</v>
      </c>
      <c r="P17" s="1001">
        <v>24.201462878733036</v>
      </c>
      <c r="Q17" s="1001">
        <v>72.398712145977498</v>
      </c>
      <c r="R17" s="1001">
        <v>66.029843309930087</v>
      </c>
    </row>
    <row r="18" spans="1:29" s="550" customFormat="1" ht="15.95" customHeight="1">
      <c r="A18" s="1000">
        <v>2016</v>
      </c>
      <c r="B18" s="551"/>
      <c r="C18" s="1001">
        <v>20.132937220848717</v>
      </c>
      <c r="D18" s="1001">
        <v>19.41763389135777</v>
      </c>
      <c r="E18" s="1001">
        <v>18.448911185340449</v>
      </c>
      <c r="F18" s="1001">
        <v>18.05515620594743</v>
      </c>
      <c r="G18" s="1001">
        <v>5.3442401063207665</v>
      </c>
      <c r="H18" s="1001">
        <v>5.6705282198017173</v>
      </c>
      <c r="I18" s="1001">
        <v>49.902124060724972</v>
      </c>
      <c r="J18" s="1001">
        <v>65.735301348842341</v>
      </c>
      <c r="K18" s="1001">
        <v>1.534867873411764</v>
      </c>
      <c r="L18" s="1001">
        <v>0.65309785930408182</v>
      </c>
      <c r="M18" s="1001">
        <v>13.328455676449014</v>
      </c>
      <c r="N18" s="1001">
        <v>3.6546757959464138</v>
      </c>
      <c r="O18" s="1001">
        <v>24.111922536187013</v>
      </c>
      <c r="P18" s="1001">
        <v>23.233689884262404</v>
      </c>
      <c r="Q18" s="1001">
        <v>71.278134542096566</v>
      </c>
      <c r="R18" s="1001">
        <v>64.028813855861145</v>
      </c>
    </row>
    <row r="19" spans="1:29" s="550" customFormat="1" ht="15.95" customHeight="1">
      <c r="A19" s="1000">
        <v>2017</v>
      </c>
      <c r="B19" s="551"/>
      <c r="C19" s="1001">
        <v>20.965353748732102</v>
      </c>
      <c r="D19" s="1001">
        <v>19.167046567839776</v>
      </c>
      <c r="E19" s="1001">
        <v>19.395197227044527</v>
      </c>
      <c r="F19" s="1001">
        <v>18.267932103582609</v>
      </c>
      <c r="G19" s="1001">
        <v>5.4504189274211772</v>
      </c>
      <c r="H19" s="1001">
        <v>5.3808341955838879</v>
      </c>
      <c r="I19" s="1001">
        <v>50.642033148029327</v>
      </c>
      <c r="J19" s="1001">
        <v>59.047647890653955</v>
      </c>
      <c r="K19" s="1001">
        <v>1.5326388471594066</v>
      </c>
      <c r="L19" s="1001">
        <v>0.92254108170727323</v>
      </c>
      <c r="M19" s="1001">
        <v>12.956486553317401</v>
      </c>
      <c r="N19" s="1001">
        <v>3.7635475030266132</v>
      </c>
      <c r="O19" s="1001">
        <v>34.05332975638494</v>
      </c>
      <c r="P19" s="1001">
        <v>19.611375856445154</v>
      </c>
      <c r="Q19" s="1001">
        <v>71.332263282446732</v>
      </c>
      <c r="R19" s="1001">
        <v>66.357627316329271</v>
      </c>
    </row>
    <row r="20" spans="1:29" s="523" customFormat="1" ht="16.5" customHeight="1">
      <c r="A20" s="1005">
        <v>2018</v>
      </c>
      <c r="B20" s="1006"/>
      <c r="C20" s="1016">
        <v>20.85016921915404</v>
      </c>
      <c r="D20" s="1016">
        <v>18.080339545476839</v>
      </c>
      <c r="E20" s="1016">
        <v>19.367881570224394</v>
      </c>
      <c r="F20" s="1016">
        <v>17.256340091937979</v>
      </c>
      <c r="G20" s="1016">
        <v>5.5493795016287741</v>
      </c>
      <c r="H20" s="1016">
        <v>5.7387919613228675</v>
      </c>
      <c r="I20" s="1016">
        <v>63.79183666278746</v>
      </c>
      <c r="J20" s="1016">
        <v>67.887756770078482</v>
      </c>
      <c r="K20" s="1016">
        <v>1.5195436850237836</v>
      </c>
      <c r="L20" s="1016">
        <v>0.66153861010394821</v>
      </c>
      <c r="M20" s="1016">
        <v>14.279429920961498</v>
      </c>
      <c r="N20" s="1016">
        <v>0.78793657667363981</v>
      </c>
      <c r="O20" s="1016">
        <v>32.886618071955347</v>
      </c>
      <c r="P20" s="1016">
        <v>23.015286628829053</v>
      </c>
      <c r="Q20" s="1016">
        <v>69.553061726235725</v>
      </c>
      <c r="R20" s="1016">
        <v>64.206840601979636</v>
      </c>
      <c r="S20" s="1007"/>
      <c r="T20" s="1008"/>
      <c r="U20" s="1008"/>
      <c r="V20" s="1008"/>
      <c r="W20" s="1009"/>
      <c r="X20" s="1009"/>
      <c r="Y20" s="1009"/>
      <c r="Z20" s="1009"/>
      <c r="AA20" s="1009"/>
    </row>
    <row r="21" spans="1:29" s="523" customFormat="1" ht="21" customHeight="1">
      <c r="A21" s="1000">
        <v>2018</v>
      </c>
      <c r="B21" s="1010" t="s">
        <v>222</v>
      </c>
      <c r="C21" s="1001">
        <v>19.630604032456045</v>
      </c>
      <c r="D21" s="1001">
        <v>18.60326520452131</v>
      </c>
      <c r="E21" s="1001">
        <v>18.060724054478765</v>
      </c>
      <c r="F21" s="1001">
        <v>17.57984154462617</v>
      </c>
      <c r="G21" s="1001">
        <v>5.8599566990428249</v>
      </c>
      <c r="H21" s="1001">
        <v>5.3007232896759859</v>
      </c>
      <c r="I21" s="1001">
        <v>47.815853324712457</v>
      </c>
      <c r="J21" s="1001">
        <v>59.891250701444811</v>
      </c>
      <c r="K21" s="1001">
        <v>0.41654869297946756</v>
      </c>
      <c r="L21" s="1001">
        <v>0.30998015148469416</v>
      </c>
      <c r="M21" s="1001">
        <v>4.1395241688618789</v>
      </c>
      <c r="N21" s="1001">
        <v>2.1198738321021238</v>
      </c>
      <c r="O21" s="1001">
        <v>33.610753550747162</v>
      </c>
      <c r="P21" s="1001">
        <v>23.196833818209424</v>
      </c>
      <c r="Q21" s="1001">
        <v>73.434774599647113</v>
      </c>
      <c r="R21" s="1001">
        <v>69.239475459348256</v>
      </c>
      <c r="S21" s="1008"/>
      <c r="T21" s="1008"/>
      <c r="U21" s="1008"/>
      <c r="V21" s="1009"/>
      <c r="W21" s="1009"/>
      <c r="X21" s="1009"/>
      <c r="Y21" s="1009"/>
      <c r="Z21" s="1009"/>
      <c r="AA21" s="1009"/>
    </row>
    <row r="22" spans="1:29" s="523" customFormat="1" ht="16.5" customHeight="1">
      <c r="A22" s="1000"/>
      <c r="B22" s="1010" t="s">
        <v>223</v>
      </c>
      <c r="C22" s="1001">
        <v>19.953640323997689</v>
      </c>
      <c r="D22" s="1001">
        <v>18.389261103803477</v>
      </c>
      <c r="E22" s="1001">
        <v>18.40920983380855</v>
      </c>
      <c r="F22" s="1001">
        <v>17.409976728263171</v>
      </c>
      <c r="G22" s="1001">
        <v>5.769747371521321</v>
      </c>
      <c r="H22" s="1001">
        <v>5.321162698115943</v>
      </c>
      <c r="I22" s="1001">
        <v>54.344614120934985</v>
      </c>
      <c r="J22" s="1001">
        <v>66.572651592377426</v>
      </c>
      <c r="K22" s="1001">
        <v>0.77457271188227372</v>
      </c>
      <c r="L22" s="1001">
        <v>0.44169767689216921</v>
      </c>
      <c r="M22" s="1001">
        <v>7.9817927820649626</v>
      </c>
      <c r="N22" s="1001">
        <v>1.7178959054660579</v>
      </c>
      <c r="O22" s="1001">
        <v>33.908131301146476</v>
      </c>
      <c r="P22" s="1001">
        <v>21.94210853840714</v>
      </c>
      <c r="Q22" s="1001">
        <v>69.598303184440198</v>
      </c>
      <c r="R22" s="1001">
        <v>65.790749514052848</v>
      </c>
      <c r="S22" s="1007"/>
      <c r="T22" s="1008"/>
      <c r="U22" s="1008"/>
      <c r="V22" s="1008"/>
      <c r="W22" s="1009"/>
      <c r="X22" s="1009"/>
      <c r="Y22" s="1009"/>
      <c r="Z22" s="1009"/>
      <c r="AA22" s="1009"/>
    </row>
    <row r="23" spans="1:29" s="523" customFormat="1" ht="16.5" customHeight="1">
      <c r="A23" s="1000"/>
      <c r="B23" s="1010" t="s">
        <v>224</v>
      </c>
      <c r="C23" s="1001">
        <v>20.358161548958055</v>
      </c>
      <c r="D23" s="1001">
        <v>18.56398973625296</v>
      </c>
      <c r="E23" s="1001">
        <v>18.854657995614517</v>
      </c>
      <c r="F23" s="1001">
        <v>17.710843590466329</v>
      </c>
      <c r="G23" s="1001">
        <v>5.8230211337598998</v>
      </c>
      <c r="H23" s="1001">
        <v>5.4642825547929252</v>
      </c>
      <c r="I23" s="1001">
        <v>59.136184873850482</v>
      </c>
      <c r="J23" s="1001">
        <v>67.46512523039307</v>
      </c>
      <c r="K23" s="1001">
        <v>1.077902567052222</v>
      </c>
      <c r="L23" s="1001">
        <v>0.42068031990316751</v>
      </c>
      <c r="M23" s="1001">
        <v>11.136588847723607</v>
      </c>
      <c r="N23" s="1001">
        <v>1.1914657358657086</v>
      </c>
      <c r="O23" s="1001">
        <v>32.822679013991639</v>
      </c>
      <c r="P23" s="1001">
        <v>23.380235006288498</v>
      </c>
      <c r="Q23" s="1001">
        <v>70.152146218819851</v>
      </c>
      <c r="R23" s="1001">
        <v>60.274652178815991</v>
      </c>
      <c r="S23" s="1007"/>
      <c r="T23" s="1008"/>
      <c r="U23" s="1008"/>
      <c r="V23" s="1008"/>
      <c r="W23" s="1008"/>
      <c r="X23" s="1008"/>
      <c r="Y23" s="1008"/>
      <c r="Z23" s="1008"/>
      <c r="AA23" s="1008"/>
      <c r="AB23" s="550"/>
      <c r="AC23" s="550"/>
    </row>
    <row r="24" spans="1:29" s="523" customFormat="1" ht="16.149999999999999" customHeight="1">
      <c r="A24" s="1000"/>
      <c r="B24" s="1010" t="s">
        <v>225</v>
      </c>
      <c r="C24" s="1001">
        <v>20.85016921915404</v>
      </c>
      <c r="D24" s="1001">
        <v>18.080339545476839</v>
      </c>
      <c r="E24" s="1001">
        <v>19.367881570224394</v>
      </c>
      <c r="F24" s="1001">
        <v>17.256340091937979</v>
      </c>
      <c r="G24" s="1001">
        <v>5.5493795016287741</v>
      </c>
      <c r="H24" s="1001">
        <v>5.7387919613228675</v>
      </c>
      <c r="I24" s="1001">
        <v>63.79183666278746</v>
      </c>
      <c r="J24" s="1001">
        <v>67.887756770078482</v>
      </c>
      <c r="K24" s="1001">
        <v>1.5195436850237836</v>
      </c>
      <c r="L24" s="1001">
        <v>0.66153861010394821</v>
      </c>
      <c r="M24" s="1001">
        <v>14.279429920961498</v>
      </c>
      <c r="N24" s="1001">
        <v>0.78793657667363981</v>
      </c>
      <c r="O24" s="1001">
        <v>32.886618071955347</v>
      </c>
      <c r="P24" s="1001">
        <v>23.015286628829053</v>
      </c>
      <c r="Q24" s="1001">
        <v>69.553061726235725</v>
      </c>
      <c r="R24" s="1001">
        <v>64.206840601979636</v>
      </c>
      <c r="S24" s="1007"/>
      <c r="T24" s="1008"/>
      <c r="U24" s="1008"/>
      <c r="V24" s="1008"/>
      <c r="W24" s="1009"/>
      <c r="X24" s="1009"/>
      <c r="Y24" s="1009"/>
      <c r="Z24" s="1009"/>
      <c r="AA24" s="1009"/>
    </row>
    <row r="25" spans="1:29" s="1009" customFormat="1" ht="21.2" customHeight="1">
      <c r="A25" s="1011">
        <v>2019</v>
      </c>
      <c r="B25" s="1012" t="s">
        <v>222</v>
      </c>
      <c r="C25" s="1001">
        <v>19.571265035175934</v>
      </c>
      <c r="D25" s="1001">
        <v>17.783092787870107</v>
      </c>
      <c r="E25" s="1001">
        <v>18.121151853358004</v>
      </c>
      <c r="F25" s="1001">
        <v>16.921739435193288</v>
      </c>
      <c r="G25" s="1001">
        <v>5.4644647849897758</v>
      </c>
      <c r="H25" s="1001">
        <v>5.6061275646608166</v>
      </c>
      <c r="I25" s="1001">
        <v>63.285873995406092</v>
      </c>
      <c r="J25" s="1001">
        <v>69.344606035273543</v>
      </c>
      <c r="K25" s="1001">
        <v>0.16227260223223861</v>
      </c>
      <c r="L25" s="1001">
        <v>0.38289151333916088</v>
      </c>
      <c r="M25" s="1001">
        <v>4.2686911124821627</v>
      </c>
      <c r="N25" s="1001">
        <v>2.4523139960788787</v>
      </c>
      <c r="O25" s="1001">
        <v>34.868391842422582</v>
      </c>
      <c r="P25" s="1001">
        <v>22.475674388177929</v>
      </c>
      <c r="Q25" s="1001">
        <v>67.983338405322741</v>
      </c>
      <c r="R25" s="1001">
        <v>64.344573271955554</v>
      </c>
      <c r="S25" s="1008"/>
      <c r="T25" s="1008"/>
      <c r="U25" s="1008"/>
      <c r="V25" s="1008"/>
      <c r="W25" s="1008"/>
      <c r="X25" s="1008"/>
      <c r="Y25" s="1008"/>
      <c r="Z25" s="1008"/>
    </row>
    <row r="26" spans="1:29" s="1009" customFormat="1" ht="16.5" customHeight="1">
      <c r="A26" s="1011"/>
      <c r="B26" s="1012" t="s">
        <v>223</v>
      </c>
      <c r="C26" s="1001">
        <v>19.821383699619798</v>
      </c>
      <c r="D26" s="1001">
        <v>19.413908213912599</v>
      </c>
      <c r="E26" s="1001">
        <v>18.48654676919363</v>
      </c>
      <c r="F26" s="1001">
        <v>18.517521629716093</v>
      </c>
      <c r="G26" s="1001">
        <v>5.4585415678692595</v>
      </c>
      <c r="H26" s="1001">
        <v>5.2517177724663959</v>
      </c>
      <c r="I26" s="1001">
        <v>65.998981359692422</v>
      </c>
      <c r="J26" s="1001">
        <v>74.279124795853477</v>
      </c>
      <c r="K26" s="1001">
        <v>0.88349886692942681</v>
      </c>
      <c r="L26" s="1001">
        <v>0.57515075767023782</v>
      </c>
      <c r="M26" s="1001">
        <v>8.0367993421288411</v>
      </c>
      <c r="N26" s="1001">
        <v>4.0530783356340052</v>
      </c>
      <c r="O26" s="1001">
        <v>35.94536615342593</v>
      </c>
      <c r="P26" s="1001">
        <v>20.93427273177128</v>
      </c>
      <c r="Q26" s="1001">
        <v>67.866828512474669</v>
      </c>
      <c r="R26" s="1001">
        <v>63.431108413598835</v>
      </c>
    </row>
    <row r="27" spans="1:29" s="1009" customFormat="1" ht="16.5" customHeight="1">
      <c r="A27" s="1011"/>
      <c r="B27" s="1031" t="s">
        <v>224</v>
      </c>
      <c r="C27" s="1001">
        <v>20.463515721381473</v>
      </c>
      <c r="D27" s="1001">
        <v>18.399983654459408</v>
      </c>
      <c r="E27" s="1001">
        <v>19.129068827355265</v>
      </c>
      <c r="F27" s="1001">
        <v>17.419300594256327</v>
      </c>
      <c r="G27" s="1001">
        <v>5.4333281730751697</v>
      </c>
      <c r="H27" s="1001">
        <v>5.1467367461759466</v>
      </c>
      <c r="I27" s="1001">
        <v>67.782621676887416</v>
      </c>
      <c r="J27" s="1001">
        <v>74.610712732161915</v>
      </c>
      <c r="K27" s="1001">
        <v>1.317941862444598</v>
      </c>
      <c r="L27" s="1001">
        <v>0.58684737284362232</v>
      </c>
      <c r="M27" s="1001">
        <v>11.326366379686478</v>
      </c>
      <c r="N27" s="1001">
        <v>3.8767738300691921</v>
      </c>
      <c r="O27" s="1001">
        <v>34.251481206557202</v>
      </c>
      <c r="P27" s="1001">
        <v>21.054940835415742</v>
      </c>
      <c r="Q27" s="1001">
        <v>67.668022280267166</v>
      </c>
      <c r="R27" s="1001">
        <v>65.41576630474043</v>
      </c>
    </row>
    <row r="28" spans="1:29" s="1009" customFormat="1" ht="16.5" customHeight="1">
      <c r="A28" s="1013"/>
      <c r="B28" s="1025" t="s">
        <v>1127</v>
      </c>
      <c r="C28" s="1001">
        <v>21.1</v>
      </c>
      <c r="D28" s="1001">
        <v>18.600000000000001</v>
      </c>
      <c r="E28" s="1001">
        <v>19.7</v>
      </c>
      <c r="F28" s="1001">
        <v>17.7</v>
      </c>
      <c r="G28" s="1001">
        <v>4.9000000000000004</v>
      </c>
      <c r="H28" s="1001">
        <v>4.5</v>
      </c>
      <c r="I28" s="1001">
        <v>66.099999999999994</v>
      </c>
      <c r="J28" s="1001">
        <v>70.8</v>
      </c>
      <c r="K28" s="1001">
        <v>1.8</v>
      </c>
      <c r="L28" s="1001">
        <v>0.9</v>
      </c>
      <c r="M28" s="1001">
        <v>14.2</v>
      </c>
      <c r="N28" s="1001">
        <v>4.8</v>
      </c>
      <c r="O28" s="1001">
        <v>36</v>
      </c>
      <c r="P28" s="1001">
        <v>21.3</v>
      </c>
      <c r="Q28" s="1001">
        <v>65.8</v>
      </c>
      <c r="R28" s="1001">
        <v>68.5</v>
      </c>
    </row>
    <row r="29" spans="1:29" ht="21.2" customHeight="1">
      <c r="A29" s="495" t="s">
        <v>1128</v>
      </c>
      <c r="B29" s="495"/>
      <c r="C29" s="495"/>
      <c r="D29" s="495"/>
      <c r="E29" s="495"/>
      <c r="F29" s="495"/>
      <c r="G29" s="495"/>
      <c r="H29" s="495"/>
      <c r="I29" s="495"/>
      <c r="J29" s="495"/>
      <c r="K29" s="495"/>
      <c r="L29" s="495"/>
      <c r="M29" s="495"/>
      <c r="N29" s="495"/>
      <c r="O29" s="495"/>
      <c r="P29" s="495"/>
      <c r="Q29" s="1028"/>
      <c r="R29" s="1029" t="s">
        <v>1139</v>
      </c>
    </row>
    <row r="30" spans="1:29" ht="13.7" customHeight="1">
      <c r="A30" s="477" t="s">
        <v>1130</v>
      </c>
      <c r="C30" s="1027"/>
      <c r="D30" s="1027"/>
      <c r="E30" s="1027"/>
      <c r="F30" s="1027"/>
      <c r="G30" s="1027"/>
      <c r="H30" s="1027"/>
      <c r="I30" s="1027"/>
      <c r="J30" s="1027"/>
      <c r="K30" s="1027"/>
      <c r="L30" s="1027"/>
      <c r="M30" s="1027"/>
      <c r="N30" s="1027"/>
      <c r="O30" s="1027"/>
      <c r="P30" s="1027"/>
      <c r="Q30" s="1027"/>
      <c r="R30" s="1026" t="s">
        <v>1131</v>
      </c>
    </row>
    <row r="31" spans="1:29" ht="13.7" customHeight="1"/>
    <row r="32" spans="1:29" ht="13.7" customHeight="1"/>
    <row r="33" spans="1:18" ht="13.7" customHeight="1"/>
    <row r="34" spans="1:18" ht="13.7" customHeight="1"/>
    <row r="35" spans="1:18" ht="13.7" customHeight="1"/>
    <row r="36" spans="1:18" ht="13.7" customHeight="1"/>
    <row r="37" spans="1:18" ht="13.7" customHeight="1"/>
    <row r="38" spans="1:18" ht="13.7" customHeight="1"/>
    <row r="39" spans="1:18" ht="13.7" customHeight="1"/>
    <row r="40" spans="1:18" ht="13.7" customHeight="1"/>
    <row r="41" spans="1:18" ht="14.25">
      <c r="A41" s="1416" t="s">
        <v>1140</v>
      </c>
      <c r="B41" s="476"/>
      <c r="C41" s="476"/>
      <c r="D41" s="476"/>
      <c r="E41" s="476"/>
      <c r="F41" s="476"/>
      <c r="G41" s="476"/>
      <c r="H41" s="476"/>
      <c r="I41" s="476"/>
      <c r="J41" s="476"/>
      <c r="K41" s="476"/>
      <c r="L41" s="476"/>
      <c r="M41" s="476"/>
      <c r="N41" s="476"/>
      <c r="O41" s="476"/>
      <c r="P41" s="476"/>
      <c r="Q41" s="476"/>
      <c r="R41" s="476"/>
    </row>
    <row r="42" spans="1:18" ht="14.25">
      <c r="A42" s="1014"/>
      <c r="B42" s="476"/>
      <c r="C42" s="476"/>
      <c r="D42" s="476"/>
      <c r="E42" s="476"/>
      <c r="F42" s="476"/>
      <c r="G42" s="476"/>
      <c r="H42" s="476"/>
      <c r="I42" s="476"/>
      <c r="J42" s="476"/>
      <c r="K42" s="476"/>
      <c r="L42" s="476"/>
      <c r="M42" s="476"/>
      <c r="N42" s="476"/>
      <c r="O42" s="476"/>
      <c r="P42" s="476"/>
      <c r="Q42" s="476"/>
      <c r="R42" s="476"/>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scale="6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0"/>
  <sheetViews>
    <sheetView tabSelected="1" topLeftCell="A4" zoomScale="80" zoomScaleNormal="80" workbookViewId="0">
      <pane ySplit="9" topLeftCell="A26" activePane="bottomLeft" state="frozen"/>
      <selection activeCell="A49" sqref="A1:XFD1048576"/>
      <selection pane="bottomLeft" activeCell="A49" sqref="A1:XFD1048576"/>
    </sheetView>
  </sheetViews>
  <sheetFormatPr defaultRowHeight="12.75"/>
  <cols>
    <col min="1" max="2" width="9.7109375" style="29" customWidth="1"/>
    <col min="3" max="3" width="8.85546875" style="29" customWidth="1"/>
    <col min="4" max="4" width="14.28515625" style="29" customWidth="1"/>
    <col min="5" max="5" width="13.7109375" style="29" customWidth="1"/>
    <col min="6" max="6" width="12.7109375" style="29" customWidth="1"/>
    <col min="7" max="7" width="11.85546875" style="29" customWidth="1"/>
    <col min="8" max="8" width="13.7109375" style="29" customWidth="1"/>
    <col min="9" max="9" width="11.28515625" style="29" customWidth="1"/>
    <col min="10" max="11" width="13.7109375" style="29" customWidth="1"/>
    <col min="12" max="13" width="12.7109375" style="29" customWidth="1"/>
    <col min="14" max="14" width="11.85546875" style="29" customWidth="1"/>
    <col min="15" max="15" width="11.7109375" style="29" customWidth="1"/>
    <col min="16" max="16" width="9.28515625" style="1995" customWidth="1"/>
    <col min="17" max="16384" width="9.140625" style="29"/>
  </cols>
  <sheetData>
    <row r="1" spans="1:25" s="26" customFormat="1" ht="18">
      <c r="A1" s="18" t="s">
        <v>1636</v>
      </c>
      <c r="B1" s="4"/>
      <c r="C1" s="4"/>
      <c r="D1" s="4"/>
      <c r="E1" s="4"/>
      <c r="F1" s="4"/>
      <c r="G1" s="4"/>
      <c r="H1" s="4"/>
      <c r="I1" s="4"/>
      <c r="J1" s="4"/>
      <c r="K1" s="4"/>
      <c r="L1" s="4"/>
      <c r="M1" s="4"/>
      <c r="N1" s="4"/>
      <c r="O1" s="4"/>
      <c r="P1" s="1974"/>
    </row>
    <row r="2" spans="1:25" s="26" customFormat="1" ht="18">
      <c r="A2" s="1881" t="s">
        <v>350</v>
      </c>
      <c r="B2" s="4"/>
      <c r="C2" s="4"/>
      <c r="D2" s="4"/>
      <c r="E2" s="4"/>
      <c r="F2" s="4"/>
      <c r="G2" s="4"/>
      <c r="H2" s="4"/>
      <c r="I2" s="4"/>
      <c r="J2" s="4"/>
      <c r="K2" s="4"/>
      <c r="L2" s="4"/>
      <c r="M2" s="4"/>
      <c r="N2" s="4"/>
      <c r="O2" s="4"/>
      <c r="P2" s="1974"/>
    </row>
    <row r="3" spans="1:25" s="26" customFormat="1" ht="19.5">
      <c r="A3" s="1975" t="s">
        <v>351</v>
      </c>
      <c r="B3" s="4"/>
      <c r="C3" s="4"/>
      <c r="D3" s="4"/>
      <c r="E3" s="4"/>
      <c r="F3" s="4"/>
      <c r="G3" s="4"/>
      <c r="H3" s="4"/>
      <c r="I3" s="4"/>
      <c r="J3" s="4"/>
      <c r="K3" s="4"/>
      <c r="L3" s="4"/>
      <c r="M3" s="4"/>
      <c r="N3" s="4"/>
      <c r="O3" s="4"/>
      <c r="P3" s="1974"/>
    </row>
    <row r="4" spans="1:25" s="26" customFormat="1" ht="18">
      <c r="A4" s="1881" t="s">
        <v>352</v>
      </c>
      <c r="B4" s="4"/>
      <c r="C4" s="4"/>
      <c r="D4" s="4"/>
      <c r="E4" s="4"/>
      <c r="F4" s="4"/>
      <c r="G4" s="4"/>
      <c r="H4" s="4"/>
      <c r="I4" s="4"/>
      <c r="J4" s="4"/>
      <c r="K4" s="4"/>
      <c r="L4" s="4"/>
      <c r="M4" s="4"/>
      <c r="N4" s="4"/>
      <c r="O4" s="4"/>
      <c r="P4" s="1974"/>
    </row>
    <row r="5" spans="1:25" s="26" customFormat="1" ht="19.5">
      <c r="A5" s="1975" t="s">
        <v>353</v>
      </c>
      <c r="B5" s="4"/>
      <c r="C5" s="4"/>
      <c r="D5" s="4"/>
      <c r="E5" s="4"/>
      <c r="F5" s="4"/>
      <c r="G5" s="4"/>
      <c r="H5" s="4"/>
      <c r="I5" s="4"/>
      <c r="J5" s="4"/>
      <c r="K5" s="4"/>
      <c r="L5" s="4"/>
      <c r="M5" s="4"/>
      <c r="N5" s="4"/>
      <c r="O5" s="4"/>
      <c r="P5" s="1974"/>
    </row>
    <row r="6" spans="1:25" s="9" customFormat="1" ht="15">
      <c r="A6" s="184" t="s">
        <v>354</v>
      </c>
      <c r="B6" s="184"/>
      <c r="C6" s="184"/>
      <c r="D6" s="184"/>
      <c r="E6" s="184"/>
      <c r="F6" s="184"/>
      <c r="G6" s="184"/>
      <c r="H6" s="184"/>
      <c r="I6" s="184"/>
      <c r="J6" s="184"/>
      <c r="K6" s="184"/>
      <c r="L6" s="184"/>
      <c r="M6" s="184"/>
      <c r="N6" s="184"/>
      <c r="O6" s="41" t="s">
        <v>355</v>
      </c>
      <c r="P6" s="251"/>
    </row>
    <row r="7" spans="1:25" s="9" customFormat="1" ht="18" customHeight="1">
      <c r="A7" s="222"/>
      <c r="B7" s="31"/>
      <c r="C7" s="318" t="s">
        <v>356</v>
      </c>
      <c r="D7" s="184"/>
      <c r="E7" s="184"/>
      <c r="F7" s="184"/>
      <c r="G7" s="319" t="s">
        <v>357</v>
      </c>
      <c r="H7" s="226"/>
      <c r="I7" s="318" t="s">
        <v>358</v>
      </c>
      <c r="J7" s="184"/>
      <c r="K7" s="184"/>
      <c r="L7" s="184"/>
      <c r="M7" s="184"/>
      <c r="N7" s="184"/>
      <c r="O7" s="319" t="s">
        <v>359</v>
      </c>
      <c r="P7" s="251"/>
    </row>
    <row r="8" spans="1:25" s="39" customFormat="1" ht="18" customHeight="1">
      <c r="A8" s="62"/>
      <c r="B8" s="128"/>
      <c r="C8" s="293" t="s">
        <v>360</v>
      </c>
      <c r="D8" s="60"/>
      <c r="E8" s="225" t="s">
        <v>361</v>
      </c>
      <c r="F8" s="292"/>
      <c r="G8" s="332" t="s">
        <v>362</v>
      </c>
      <c r="H8" s="227"/>
      <c r="I8" s="217"/>
      <c r="J8" s="640" t="s">
        <v>363</v>
      </c>
      <c r="K8" s="219"/>
      <c r="L8" s="216"/>
      <c r="M8" s="219"/>
      <c r="N8" s="224"/>
      <c r="O8" s="641" t="s">
        <v>362</v>
      </c>
      <c r="P8" s="258"/>
    </row>
    <row r="9" spans="1:25" s="39" customFormat="1" ht="18" customHeight="1">
      <c r="A9" s="27" t="s">
        <v>364</v>
      </c>
      <c r="B9" s="80"/>
      <c r="C9" s="94" t="s">
        <v>365</v>
      </c>
      <c r="D9" s="95"/>
      <c r="E9" s="329" t="s">
        <v>366</v>
      </c>
      <c r="F9" s="65" t="s">
        <v>366</v>
      </c>
      <c r="G9" s="218"/>
      <c r="H9" s="334" t="s">
        <v>367</v>
      </c>
      <c r="I9" s="220"/>
      <c r="J9" s="330" t="s">
        <v>7</v>
      </c>
      <c r="K9" s="65" t="s">
        <v>368</v>
      </c>
      <c r="L9" s="65" t="s">
        <v>369</v>
      </c>
      <c r="M9" s="65" t="s">
        <v>370</v>
      </c>
      <c r="N9" s="294"/>
      <c r="O9" s="67" t="s">
        <v>371</v>
      </c>
      <c r="P9" s="258"/>
    </row>
    <row r="10" spans="1:25" s="39" customFormat="1" ht="18" customHeight="1">
      <c r="A10" s="89" t="s">
        <v>372</v>
      </c>
      <c r="B10" s="135"/>
      <c r="C10" s="328" t="s">
        <v>373</v>
      </c>
      <c r="D10" s="65" t="s">
        <v>374</v>
      </c>
      <c r="E10" s="67" t="s">
        <v>375</v>
      </c>
      <c r="F10" s="67" t="s">
        <v>376</v>
      </c>
      <c r="G10" s="221" t="s">
        <v>377</v>
      </c>
      <c r="H10" s="187" t="s">
        <v>378</v>
      </c>
      <c r="I10" s="333" t="s">
        <v>360</v>
      </c>
      <c r="J10" s="331" t="s">
        <v>379</v>
      </c>
      <c r="K10" s="67" t="s">
        <v>380</v>
      </c>
      <c r="L10" s="65" t="s">
        <v>376</v>
      </c>
      <c r="M10" s="67" t="s">
        <v>381</v>
      </c>
      <c r="N10" s="221" t="s">
        <v>377</v>
      </c>
      <c r="O10" s="67" t="s">
        <v>382</v>
      </c>
      <c r="P10" s="258"/>
    </row>
    <row r="11" spans="1:25" s="44" customFormat="1" ht="18" customHeight="1">
      <c r="A11" s="105"/>
      <c r="B11" s="66"/>
      <c r="C11" s="136" t="s">
        <v>383</v>
      </c>
      <c r="D11" s="91" t="s">
        <v>365</v>
      </c>
      <c r="E11" s="118" t="s">
        <v>384</v>
      </c>
      <c r="F11" s="118" t="s">
        <v>384</v>
      </c>
      <c r="G11" s="90" t="s">
        <v>385</v>
      </c>
      <c r="H11" s="187"/>
      <c r="I11" s="91" t="s">
        <v>365</v>
      </c>
      <c r="J11" s="90" t="s">
        <v>386</v>
      </c>
      <c r="K11" s="90" t="s">
        <v>387</v>
      </c>
      <c r="L11" s="90" t="s">
        <v>388</v>
      </c>
      <c r="M11" s="118" t="s">
        <v>387</v>
      </c>
      <c r="N11" s="118" t="s">
        <v>385</v>
      </c>
      <c r="O11" s="118" t="s">
        <v>389</v>
      </c>
      <c r="P11" s="259"/>
    </row>
    <row r="12" spans="1:25" s="39" customFormat="1" ht="18" customHeight="1">
      <c r="A12" s="71"/>
      <c r="B12" s="72"/>
      <c r="C12" s="223"/>
      <c r="D12" s="96" t="s">
        <v>390</v>
      </c>
      <c r="E12" s="97" t="s">
        <v>391</v>
      </c>
      <c r="F12" s="97" t="s">
        <v>392</v>
      </c>
      <c r="G12" s="97"/>
      <c r="H12" s="228"/>
      <c r="I12" s="96"/>
      <c r="J12" s="97" t="s">
        <v>393</v>
      </c>
      <c r="K12" s="97" t="s">
        <v>391</v>
      </c>
      <c r="L12" s="97" t="s">
        <v>394</v>
      </c>
      <c r="M12" s="97" t="s">
        <v>395</v>
      </c>
      <c r="N12" s="97"/>
      <c r="O12" s="97" t="s">
        <v>396</v>
      </c>
      <c r="P12" s="260" t="s">
        <v>397</v>
      </c>
    </row>
    <row r="13" spans="1:25" s="327" customFormat="1" ht="20.25" customHeight="1">
      <c r="A13" s="432">
        <v>2010</v>
      </c>
      <c r="B13" s="1976"/>
      <c r="C13" s="1977">
        <v>2.5</v>
      </c>
      <c r="D13" s="1562">
        <v>1798.1</v>
      </c>
      <c r="E13" s="951">
        <v>477.9</v>
      </c>
      <c r="F13" s="1978">
        <v>29.9</v>
      </c>
      <c r="G13" s="984">
        <v>80.8</v>
      </c>
      <c r="H13" s="1979">
        <v>2389.2000000000003</v>
      </c>
      <c r="I13" s="1681">
        <v>0</v>
      </c>
      <c r="J13" s="1980">
        <v>437</v>
      </c>
      <c r="K13" s="951">
        <v>1289.4000000000001</v>
      </c>
      <c r="L13" s="1981">
        <v>0.4</v>
      </c>
      <c r="M13" s="1982">
        <v>80.7</v>
      </c>
      <c r="N13" s="1981">
        <v>90.7</v>
      </c>
      <c r="O13" s="1983">
        <v>491</v>
      </c>
      <c r="P13" s="945">
        <f>H13-I13-J13-K13-L13-M13-N13-O13</f>
        <v>0</v>
      </c>
    </row>
    <row r="14" spans="1:25" s="1646" customFormat="1" ht="14.25" customHeight="1">
      <c r="A14" s="1984">
        <v>2011</v>
      </c>
      <c r="B14" s="1591"/>
      <c r="C14" s="807">
        <v>2.5</v>
      </c>
      <c r="D14" s="807">
        <v>1593.7</v>
      </c>
      <c r="E14" s="1036">
        <v>621.4</v>
      </c>
      <c r="F14" s="1037">
        <v>0</v>
      </c>
      <c r="G14" s="1038">
        <v>97.1</v>
      </c>
      <c r="H14" s="1039">
        <v>2314.6999999999998</v>
      </c>
      <c r="I14" s="1040">
        <v>0</v>
      </c>
      <c r="J14" s="1033">
        <v>509</v>
      </c>
      <c r="K14" s="1036">
        <v>1037.5999999999999</v>
      </c>
      <c r="L14" s="1041">
        <v>76.2</v>
      </c>
      <c r="M14" s="898">
        <v>104</v>
      </c>
      <c r="N14" s="1042">
        <v>89.4</v>
      </c>
      <c r="O14" s="1043">
        <v>498.5</v>
      </c>
      <c r="P14" s="945">
        <v>0</v>
      </c>
      <c r="Q14" s="411"/>
      <c r="R14" s="411"/>
      <c r="S14" s="411"/>
      <c r="T14" s="411"/>
      <c r="U14" s="411"/>
      <c r="V14" s="411"/>
      <c r="W14" s="411"/>
      <c r="X14" s="411"/>
      <c r="Y14" s="411"/>
    </row>
    <row r="15" spans="1:25" s="1646" customFormat="1" ht="14.25" customHeight="1">
      <c r="A15" s="1984">
        <v>2012</v>
      </c>
      <c r="B15" s="1591"/>
      <c r="C15" s="807">
        <v>2.5</v>
      </c>
      <c r="D15" s="807">
        <v>1841.5</v>
      </c>
      <c r="E15" s="1036">
        <v>586.4</v>
      </c>
      <c r="F15" s="1037">
        <v>0</v>
      </c>
      <c r="G15" s="1038">
        <v>92.1</v>
      </c>
      <c r="H15" s="1039">
        <v>2522.5</v>
      </c>
      <c r="I15" s="1040">
        <v>0</v>
      </c>
      <c r="J15" s="1033">
        <v>522.5</v>
      </c>
      <c r="K15" s="1036">
        <v>1339.5</v>
      </c>
      <c r="L15" s="1041">
        <v>2.2999999999999998</v>
      </c>
      <c r="M15" s="898">
        <v>63.2</v>
      </c>
      <c r="N15" s="1042">
        <v>89.9</v>
      </c>
      <c r="O15" s="1043">
        <v>505.1</v>
      </c>
      <c r="P15" s="945">
        <v>0</v>
      </c>
      <c r="Q15" s="411"/>
      <c r="R15" s="411"/>
      <c r="S15" s="411"/>
      <c r="T15" s="411"/>
      <c r="U15" s="411"/>
      <c r="V15" s="411"/>
      <c r="W15" s="411"/>
      <c r="X15" s="411"/>
      <c r="Y15" s="411"/>
    </row>
    <row r="16" spans="1:25" s="1646" customFormat="1" ht="14.25" customHeight="1">
      <c r="A16" s="1984">
        <v>2013</v>
      </c>
      <c r="B16" s="1591"/>
      <c r="C16" s="807">
        <v>2.5</v>
      </c>
      <c r="D16" s="807">
        <v>1894.2</v>
      </c>
      <c r="E16" s="1036">
        <v>569.9</v>
      </c>
      <c r="F16" s="1037">
        <v>0</v>
      </c>
      <c r="G16" s="1038">
        <v>13.1</v>
      </c>
      <c r="H16" s="1039">
        <v>2479.6999999999998</v>
      </c>
      <c r="I16" s="1040">
        <v>0</v>
      </c>
      <c r="J16" s="1033">
        <v>578</v>
      </c>
      <c r="K16" s="1036">
        <v>1259.4000000000001</v>
      </c>
      <c r="L16" s="1041">
        <v>85.4</v>
      </c>
      <c r="M16" s="898">
        <v>0</v>
      </c>
      <c r="N16" s="1042">
        <v>114.2</v>
      </c>
      <c r="O16" s="1043">
        <v>442.7</v>
      </c>
      <c r="P16" s="945">
        <v>0</v>
      </c>
      <c r="Q16" s="411"/>
      <c r="R16" s="411"/>
      <c r="S16" s="411"/>
      <c r="T16" s="411"/>
      <c r="U16" s="411"/>
      <c r="V16" s="411"/>
      <c r="W16" s="411"/>
      <c r="X16" s="411"/>
      <c r="Y16" s="411"/>
    </row>
    <row r="17" spans="1:25" s="1646" customFormat="1" ht="14.25" customHeight="1">
      <c r="A17" s="1984">
        <v>2014</v>
      </c>
      <c r="B17" s="1591"/>
      <c r="C17" s="807">
        <v>2.5</v>
      </c>
      <c r="D17" s="807">
        <v>2164.8000000000002</v>
      </c>
      <c r="E17" s="1036">
        <v>532.5</v>
      </c>
      <c r="F17" s="1037">
        <v>0</v>
      </c>
      <c r="G17" s="1038">
        <v>12.9</v>
      </c>
      <c r="H17" s="1039">
        <v>2712.7000000000003</v>
      </c>
      <c r="I17" s="1040">
        <v>0</v>
      </c>
      <c r="J17" s="1033">
        <v>610.5</v>
      </c>
      <c r="K17" s="1036">
        <v>1546.2</v>
      </c>
      <c r="L17" s="1041">
        <v>0.6</v>
      </c>
      <c r="M17" s="898">
        <v>0</v>
      </c>
      <c r="N17" s="1042">
        <v>110.6</v>
      </c>
      <c r="O17" s="1043">
        <v>444.8</v>
      </c>
      <c r="P17" s="945">
        <v>0</v>
      </c>
      <c r="Q17" s="411"/>
      <c r="R17" s="411"/>
      <c r="S17" s="411"/>
      <c r="T17" s="411"/>
      <c r="U17" s="411"/>
      <c r="V17" s="411"/>
      <c r="W17" s="411"/>
      <c r="X17" s="411"/>
      <c r="Y17" s="411"/>
    </row>
    <row r="18" spans="1:25" s="1646" customFormat="1" ht="14.25" customHeight="1">
      <c r="A18" s="1984">
        <v>2015</v>
      </c>
      <c r="B18" s="1591"/>
      <c r="C18" s="807">
        <v>2.5</v>
      </c>
      <c r="D18" s="807">
        <v>1168.9000000000001</v>
      </c>
      <c r="E18" s="1036">
        <v>380.2</v>
      </c>
      <c r="F18" s="1037">
        <v>496.7</v>
      </c>
      <c r="G18" s="1038">
        <v>442.6</v>
      </c>
      <c r="H18" s="1039">
        <v>2490.9</v>
      </c>
      <c r="I18" s="1040">
        <v>0</v>
      </c>
      <c r="J18" s="1033">
        <v>650.1</v>
      </c>
      <c r="K18" s="1036">
        <v>1267.5999999999999</v>
      </c>
      <c r="L18" s="1041">
        <v>0.6</v>
      </c>
      <c r="M18" s="898">
        <v>0</v>
      </c>
      <c r="N18" s="1042">
        <v>112.9</v>
      </c>
      <c r="O18" s="1043">
        <v>459.7</v>
      </c>
      <c r="P18" s="945">
        <v>0</v>
      </c>
      <c r="Q18" s="411"/>
      <c r="R18" s="411"/>
      <c r="S18" s="411"/>
      <c r="T18" s="411"/>
      <c r="U18" s="411"/>
      <c r="V18" s="411"/>
      <c r="W18" s="411"/>
      <c r="X18" s="411"/>
      <c r="Y18" s="411"/>
    </row>
    <row r="19" spans="1:25" s="1646" customFormat="1" ht="14.25" customHeight="1">
      <c r="A19" s="1984">
        <v>2016</v>
      </c>
      <c r="B19" s="1591"/>
      <c r="C19" s="807">
        <v>2.5</v>
      </c>
      <c r="D19" s="807">
        <v>815.9</v>
      </c>
      <c r="E19" s="1036">
        <v>365.3</v>
      </c>
      <c r="F19" s="1037">
        <v>990.6</v>
      </c>
      <c r="G19" s="1038">
        <v>484.8</v>
      </c>
      <c r="H19" s="1039">
        <v>2659.1000000000004</v>
      </c>
      <c r="I19" s="1040">
        <v>0</v>
      </c>
      <c r="J19" s="1033">
        <v>670.6</v>
      </c>
      <c r="K19" s="1036">
        <v>1086.8</v>
      </c>
      <c r="L19" s="1041">
        <v>5.0999999999999996</v>
      </c>
      <c r="M19" s="898">
        <v>0</v>
      </c>
      <c r="N19" s="1042">
        <v>389.6</v>
      </c>
      <c r="O19" s="1043">
        <v>507</v>
      </c>
      <c r="P19" s="945">
        <v>4.5474735088646412E-13</v>
      </c>
      <c r="Q19" s="411"/>
      <c r="R19" s="411"/>
      <c r="S19" s="411"/>
      <c r="T19" s="411"/>
      <c r="U19" s="411"/>
      <c r="V19" s="411"/>
      <c r="W19" s="411"/>
      <c r="X19" s="411"/>
      <c r="Y19" s="411"/>
    </row>
    <row r="20" spans="1:25" s="1646" customFormat="1" ht="14.25" customHeight="1">
      <c r="A20" s="1984">
        <v>2017</v>
      </c>
      <c r="B20" s="1591"/>
      <c r="C20" s="807">
        <v>2.5</v>
      </c>
      <c r="D20" s="807">
        <v>880.6</v>
      </c>
      <c r="E20" s="1036">
        <v>252.6</v>
      </c>
      <c r="F20" s="1037">
        <v>1024</v>
      </c>
      <c r="G20" s="1038">
        <v>549.5</v>
      </c>
      <c r="H20" s="1039">
        <v>2709.2</v>
      </c>
      <c r="I20" s="1040">
        <v>0</v>
      </c>
      <c r="J20" s="1033">
        <v>662.7</v>
      </c>
      <c r="K20" s="1036">
        <v>1218.8</v>
      </c>
      <c r="L20" s="1041">
        <v>10.7</v>
      </c>
      <c r="M20" s="898">
        <v>0</v>
      </c>
      <c r="N20" s="1042">
        <v>321.10000000000002</v>
      </c>
      <c r="O20" s="1043">
        <v>495.9</v>
      </c>
      <c r="P20" s="945">
        <v>0</v>
      </c>
      <c r="Q20" s="411"/>
      <c r="R20" s="411"/>
      <c r="S20" s="411"/>
      <c r="T20" s="411"/>
      <c r="U20" s="411"/>
      <c r="V20" s="411"/>
      <c r="W20" s="411"/>
      <c r="X20" s="411"/>
      <c r="Y20" s="411"/>
    </row>
    <row r="21" spans="1:25" s="411" customFormat="1" ht="14.25" customHeight="1">
      <c r="A21" s="905">
        <v>2018</v>
      </c>
      <c r="B21" s="1985"/>
      <c r="C21" s="807">
        <f t="shared" ref="C21:O21" si="0">C25</f>
        <v>2.5</v>
      </c>
      <c r="D21" s="807">
        <f t="shared" si="0"/>
        <v>699.8</v>
      </c>
      <c r="E21" s="1036">
        <f t="shared" si="0"/>
        <v>130.9</v>
      </c>
      <c r="F21" s="1037">
        <f t="shared" si="0"/>
        <v>1005.6</v>
      </c>
      <c r="G21" s="1038">
        <f t="shared" si="0"/>
        <v>617.70000000000005</v>
      </c>
      <c r="H21" s="1039">
        <f t="shared" si="0"/>
        <v>2456.5</v>
      </c>
      <c r="I21" s="1040">
        <f t="shared" si="0"/>
        <v>0</v>
      </c>
      <c r="J21" s="1033">
        <f t="shared" si="0"/>
        <v>681.7</v>
      </c>
      <c r="K21" s="1036">
        <f t="shared" si="0"/>
        <v>1028.7</v>
      </c>
      <c r="L21" s="1041">
        <f t="shared" si="0"/>
        <v>5.9</v>
      </c>
      <c r="M21" s="898">
        <f t="shared" si="0"/>
        <v>0</v>
      </c>
      <c r="N21" s="1042">
        <f t="shared" si="0"/>
        <v>199.1</v>
      </c>
      <c r="O21" s="1043">
        <f t="shared" si="0"/>
        <v>541.1</v>
      </c>
      <c r="P21" s="945">
        <f>H21-I21-J21-K21-L21-M21-N21-O21</f>
        <v>0</v>
      </c>
    </row>
    <row r="22" spans="1:25" s="411" customFormat="1" ht="14.25" customHeight="1">
      <c r="A22" s="1193">
        <v>2019</v>
      </c>
      <c r="B22" s="1986"/>
      <c r="C22" s="1569">
        <f t="shared" ref="C22:O22" si="1">C29</f>
        <v>2.5</v>
      </c>
      <c r="D22" s="1569">
        <f t="shared" si="1"/>
        <v>1276.0999999999999</v>
      </c>
      <c r="E22" s="1795">
        <f t="shared" si="1"/>
        <v>415</v>
      </c>
      <c r="F22" s="1987">
        <f t="shared" si="1"/>
        <v>1085.9000000000001</v>
      </c>
      <c r="G22" s="1988">
        <f t="shared" si="1"/>
        <v>418.3</v>
      </c>
      <c r="H22" s="1989">
        <f t="shared" si="1"/>
        <v>3197.8</v>
      </c>
      <c r="I22" s="1684">
        <f t="shared" si="1"/>
        <v>0</v>
      </c>
      <c r="J22" s="1990">
        <f t="shared" si="1"/>
        <v>687.1</v>
      </c>
      <c r="K22" s="1795">
        <f t="shared" si="1"/>
        <v>1603.1</v>
      </c>
      <c r="L22" s="1991">
        <f t="shared" si="1"/>
        <v>4.2</v>
      </c>
      <c r="M22" s="1568">
        <f t="shared" si="1"/>
        <v>0</v>
      </c>
      <c r="N22" s="1992">
        <f t="shared" si="1"/>
        <v>317.39999999999998</v>
      </c>
      <c r="O22" s="1993">
        <f t="shared" si="1"/>
        <v>586</v>
      </c>
      <c r="P22" s="945">
        <f>H22-I22-J22-K22-L22-M22-N22-O22</f>
        <v>0</v>
      </c>
    </row>
    <row r="23" spans="1:25" s="411" customFormat="1" ht="20.25" customHeight="1">
      <c r="A23" s="905">
        <v>2018</v>
      </c>
      <c r="B23" s="1985" t="s">
        <v>223</v>
      </c>
      <c r="C23" s="807">
        <v>2.5</v>
      </c>
      <c r="D23" s="807">
        <v>818.1</v>
      </c>
      <c r="E23" s="1036">
        <v>159.30000000000001</v>
      </c>
      <c r="F23" s="1037">
        <v>1148.3</v>
      </c>
      <c r="G23" s="1038">
        <v>583.20000000000005</v>
      </c>
      <c r="H23" s="1039">
        <v>2711.3999999999996</v>
      </c>
      <c r="I23" s="1040">
        <v>0</v>
      </c>
      <c r="J23" s="1033">
        <v>718.7</v>
      </c>
      <c r="K23" s="1036">
        <v>1225.3</v>
      </c>
      <c r="L23" s="1041">
        <v>10.8</v>
      </c>
      <c r="M23" s="898">
        <v>0</v>
      </c>
      <c r="N23" s="1042">
        <v>239.7</v>
      </c>
      <c r="O23" s="1043">
        <v>516.9</v>
      </c>
      <c r="P23" s="945">
        <f t="shared" ref="P23" si="2">H23-I23-J23-K23-L23-M23-N23-O23</f>
        <v>0</v>
      </c>
    </row>
    <row r="24" spans="1:25" s="411" customFormat="1" ht="14.25" customHeight="1">
      <c r="A24" s="905"/>
      <c r="B24" s="1985" t="s">
        <v>224</v>
      </c>
      <c r="C24" s="807">
        <v>2.5</v>
      </c>
      <c r="D24" s="807">
        <v>558.9</v>
      </c>
      <c r="E24" s="1036">
        <v>88.5</v>
      </c>
      <c r="F24" s="1037">
        <v>915.2</v>
      </c>
      <c r="G24" s="1038">
        <v>797.2</v>
      </c>
      <c r="H24" s="1039">
        <v>2362.3000000000002</v>
      </c>
      <c r="I24" s="1040">
        <v>0</v>
      </c>
      <c r="J24" s="1033">
        <v>664.1</v>
      </c>
      <c r="K24" s="1036">
        <v>956.4</v>
      </c>
      <c r="L24" s="1041">
        <v>1.6</v>
      </c>
      <c r="M24" s="898">
        <v>0</v>
      </c>
      <c r="N24" s="1042">
        <v>210.1</v>
      </c>
      <c r="O24" s="1043">
        <v>530.1</v>
      </c>
      <c r="P24" s="945">
        <v>0</v>
      </c>
    </row>
    <row r="25" spans="1:25" s="411" customFormat="1" ht="14.25" customHeight="1">
      <c r="A25" s="905"/>
      <c r="B25" s="1985" t="s">
        <v>225</v>
      </c>
      <c r="C25" s="807">
        <v>2.5</v>
      </c>
      <c r="D25" s="807">
        <v>699.8</v>
      </c>
      <c r="E25" s="1036">
        <v>130.9</v>
      </c>
      <c r="F25" s="1037">
        <v>1005.6</v>
      </c>
      <c r="G25" s="1038">
        <v>617.70000000000005</v>
      </c>
      <c r="H25" s="1039">
        <v>2456.5</v>
      </c>
      <c r="I25" s="1040">
        <v>0</v>
      </c>
      <c r="J25" s="1033">
        <v>681.7</v>
      </c>
      <c r="K25" s="1036">
        <v>1028.7</v>
      </c>
      <c r="L25" s="1041">
        <v>5.9</v>
      </c>
      <c r="M25" s="898">
        <v>0</v>
      </c>
      <c r="N25" s="1042">
        <v>199.1</v>
      </c>
      <c r="O25" s="1043">
        <v>541.1</v>
      </c>
      <c r="P25" s="945">
        <v>0</v>
      </c>
    </row>
    <row r="26" spans="1:25" s="411" customFormat="1" ht="20.25" customHeight="1">
      <c r="A26" s="905">
        <v>2019</v>
      </c>
      <c r="B26" s="1985" t="s">
        <v>222</v>
      </c>
      <c r="C26" s="807">
        <v>2.5</v>
      </c>
      <c r="D26" s="807">
        <v>1105.9000000000001</v>
      </c>
      <c r="E26" s="1036">
        <v>170.4</v>
      </c>
      <c r="F26" s="1037">
        <v>1586.4</v>
      </c>
      <c r="G26" s="1038">
        <v>242.2</v>
      </c>
      <c r="H26" s="1039">
        <v>3107.4</v>
      </c>
      <c r="I26" s="1040">
        <v>0</v>
      </c>
      <c r="J26" s="1033">
        <v>688.3</v>
      </c>
      <c r="K26" s="1036">
        <v>1607.8</v>
      </c>
      <c r="L26" s="1041">
        <v>2.2999999999999998</v>
      </c>
      <c r="M26" s="898">
        <v>0</v>
      </c>
      <c r="N26" s="1042">
        <v>252</v>
      </c>
      <c r="O26" s="1043">
        <v>557</v>
      </c>
      <c r="P26" s="945">
        <v>0</v>
      </c>
    </row>
    <row r="27" spans="1:25" s="411" customFormat="1" ht="14.25" customHeight="1">
      <c r="A27" s="905"/>
      <c r="B27" s="1985" t="s">
        <v>223</v>
      </c>
      <c r="C27" s="807">
        <f t="shared" ref="C27:O27" si="3">C33</f>
        <v>2.5</v>
      </c>
      <c r="D27" s="807">
        <f t="shared" si="3"/>
        <v>1273</v>
      </c>
      <c r="E27" s="1036">
        <f t="shared" si="3"/>
        <v>291.8</v>
      </c>
      <c r="F27" s="1037">
        <f t="shared" si="3"/>
        <v>1202.2</v>
      </c>
      <c r="G27" s="1038">
        <f t="shared" si="3"/>
        <v>125.6</v>
      </c>
      <c r="H27" s="1039">
        <f t="shared" si="3"/>
        <v>2895.1</v>
      </c>
      <c r="I27" s="1040">
        <f t="shared" si="3"/>
        <v>0</v>
      </c>
      <c r="J27" s="1033">
        <f t="shared" si="3"/>
        <v>705.1</v>
      </c>
      <c r="K27" s="1036">
        <f t="shared" si="3"/>
        <v>1402.6</v>
      </c>
      <c r="L27" s="1041">
        <f t="shared" si="3"/>
        <v>2.6</v>
      </c>
      <c r="M27" s="898">
        <f t="shared" si="3"/>
        <v>0</v>
      </c>
      <c r="N27" s="1042">
        <f t="shared" si="3"/>
        <v>215.8</v>
      </c>
      <c r="O27" s="1043">
        <f t="shared" si="3"/>
        <v>569</v>
      </c>
      <c r="P27" s="945">
        <f t="shared" ref="P27" si="4">H27-I27-J27-K27-L27-M27-N27-O27</f>
        <v>0</v>
      </c>
    </row>
    <row r="28" spans="1:25" s="411" customFormat="1" ht="14.25" customHeight="1">
      <c r="A28" s="905"/>
      <c r="B28" s="1985" t="s">
        <v>224</v>
      </c>
      <c r="C28" s="807">
        <f t="shared" ref="C28:O28" si="5">C36</f>
        <v>2.5</v>
      </c>
      <c r="D28" s="807">
        <f t="shared" si="5"/>
        <v>1368.9</v>
      </c>
      <c r="E28" s="1036">
        <f t="shared" si="5"/>
        <v>403</v>
      </c>
      <c r="F28" s="1037">
        <f t="shared" si="5"/>
        <v>925.9</v>
      </c>
      <c r="G28" s="1038">
        <f t="shared" si="5"/>
        <v>136.69999999999999</v>
      </c>
      <c r="H28" s="1039">
        <f t="shared" si="5"/>
        <v>2837</v>
      </c>
      <c r="I28" s="1040">
        <f t="shared" si="5"/>
        <v>0</v>
      </c>
      <c r="J28" s="1033">
        <f t="shared" si="5"/>
        <v>672.6</v>
      </c>
      <c r="K28" s="1036">
        <f t="shared" si="5"/>
        <v>1354</v>
      </c>
      <c r="L28" s="1041">
        <f t="shared" si="5"/>
        <v>1.1000000000000001</v>
      </c>
      <c r="M28" s="898">
        <f t="shared" si="5"/>
        <v>0</v>
      </c>
      <c r="N28" s="1042">
        <f t="shared" si="5"/>
        <v>227.4</v>
      </c>
      <c r="O28" s="1043">
        <f t="shared" si="5"/>
        <v>581.9</v>
      </c>
      <c r="P28" s="945">
        <f t="shared" ref="P28" si="6">H28-I28-J28-K28-L28-M28-N28-O28</f>
        <v>0</v>
      </c>
    </row>
    <row r="29" spans="1:25" s="411" customFormat="1" ht="14.25" customHeight="1">
      <c r="A29" s="905"/>
      <c r="B29" s="1985" t="s">
        <v>225</v>
      </c>
      <c r="C29" s="807">
        <f t="shared" ref="C29:O29" si="7">C39</f>
        <v>2.5</v>
      </c>
      <c r="D29" s="807">
        <f t="shared" si="7"/>
        <v>1276.0999999999999</v>
      </c>
      <c r="E29" s="1036">
        <f t="shared" si="7"/>
        <v>415</v>
      </c>
      <c r="F29" s="1037">
        <f t="shared" si="7"/>
        <v>1085.9000000000001</v>
      </c>
      <c r="G29" s="1038">
        <f t="shared" si="7"/>
        <v>418.3</v>
      </c>
      <c r="H29" s="1039">
        <f t="shared" si="7"/>
        <v>3197.8</v>
      </c>
      <c r="I29" s="1040">
        <f t="shared" si="7"/>
        <v>0</v>
      </c>
      <c r="J29" s="1033">
        <f t="shared" si="7"/>
        <v>687.1</v>
      </c>
      <c r="K29" s="1036">
        <f t="shared" si="7"/>
        <v>1603.1</v>
      </c>
      <c r="L29" s="1041">
        <f t="shared" si="7"/>
        <v>4.2</v>
      </c>
      <c r="M29" s="898">
        <f t="shared" si="7"/>
        <v>0</v>
      </c>
      <c r="N29" s="1042">
        <f t="shared" si="7"/>
        <v>317.39999999999998</v>
      </c>
      <c r="O29" s="1043">
        <f t="shared" si="7"/>
        <v>586</v>
      </c>
      <c r="P29" s="945">
        <f t="shared" ref="P29" si="8">H29-I29-J29-K29-L29-M29-N29-O29</f>
        <v>0</v>
      </c>
    </row>
    <row r="30" spans="1:25" s="411" customFormat="1" ht="21" customHeight="1">
      <c r="A30" s="1193">
        <v>2020</v>
      </c>
      <c r="B30" s="1986" t="s">
        <v>222</v>
      </c>
      <c r="C30" s="1569">
        <f t="shared" ref="C30:O30" si="9">C42</f>
        <v>2.5</v>
      </c>
      <c r="D30" s="1569">
        <f t="shared" si="9"/>
        <v>614.6</v>
      </c>
      <c r="E30" s="1795">
        <f t="shared" si="9"/>
        <v>584.29999999999995</v>
      </c>
      <c r="F30" s="1987">
        <f t="shared" si="9"/>
        <v>1698</v>
      </c>
      <c r="G30" s="1988">
        <f t="shared" si="9"/>
        <v>369</v>
      </c>
      <c r="H30" s="1989">
        <f t="shared" si="9"/>
        <v>3268.4</v>
      </c>
      <c r="I30" s="1684">
        <f t="shared" si="9"/>
        <v>0</v>
      </c>
      <c r="J30" s="1990">
        <f t="shared" si="9"/>
        <v>726.1</v>
      </c>
      <c r="K30" s="1795">
        <f t="shared" si="9"/>
        <v>1708.5</v>
      </c>
      <c r="L30" s="1991">
        <f t="shared" si="9"/>
        <v>1.4</v>
      </c>
      <c r="M30" s="1568">
        <f t="shared" si="9"/>
        <v>0</v>
      </c>
      <c r="N30" s="1992">
        <f t="shared" si="9"/>
        <v>236.9</v>
      </c>
      <c r="O30" s="1993">
        <f t="shared" si="9"/>
        <v>595.5</v>
      </c>
      <c r="P30" s="945">
        <f t="shared" ref="P30" si="10">H30-I30-J30-K30-L30-M30-N30-O30</f>
        <v>0</v>
      </c>
    </row>
    <row r="31" spans="1:25" s="411" customFormat="1" ht="20.25" customHeight="1">
      <c r="A31" s="905">
        <v>2019</v>
      </c>
      <c r="B31" s="906" t="s">
        <v>399</v>
      </c>
      <c r="C31" s="807">
        <v>2.5</v>
      </c>
      <c r="D31" s="807">
        <v>918.3</v>
      </c>
      <c r="E31" s="1036">
        <v>217.1</v>
      </c>
      <c r="F31" s="1037">
        <v>1662.3</v>
      </c>
      <c r="G31" s="1038">
        <v>169.1</v>
      </c>
      <c r="H31" s="1039">
        <f t="shared" ref="H31" si="11">SUM(C31:G31)</f>
        <v>2969.2999999999997</v>
      </c>
      <c r="I31" s="1040">
        <v>0</v>
      </c>
      <c r="J31" s="1033">
        <v>697.9</v>
      </c>
      <c r="K31" s="1036">
        <v>1445</v>
      </c>
      <c r="L31" s="1041">
        <v>10.5</v>
      </c>
      <c r="M31" s="898">
        <v>0</v>
      </c>
      <c r="N31" s="1042">
        <v>254.9</v>
      </c>
      <c r="O31" s="1043">
        <v>561</v>
      </c>
      <c r="P31" s="945">
        <f t="shared" ref="P31" si="12">H31-I31-J31-K31-L31-M31-N31-O31</f>
        <v>0</v>
      </c>
    </row>
    <row r="32" spans="1:25" s="411" customFormat="1" ht="14.25" customHeight="1">
      <c r="A32" s="905"/>
      <c r="B32" s="906" t="s">
        <v>400</v>
      </c>
      <c r="C32" s="807">
        <v>2.5</v>
      </c>
      <c r="D32" s="807">
        <v>1448.6</v>
      </c>
      <c r="E32" s="1036">
        <v>314.39999999999998</v>
      </c>
      <c r="F32" s="1037">
        <v>1199.9000000000001</v>
      </c>
      <c r="G32" s="1038">
        <v>147.30000000000001</v>
      </c>
      <c r="H32" s="1039">
        <f t="shared" ref="H32" si="13">SUM(C32:G32)</f>
        <v>3112.7000000000003</v>
      </c>
      <c r="I32" s="1040">
        <v>0</v>
      </c>
      <c r="J32" s="1033">
        <v>724.9</v>
      </c>
      <c r="K32" s="1036">
        <v>1585.9</v>
      </c>
      <c r="L32" s="1041">
        <v>2.8</v>
      </c>
      <c r="M32" s="898">
        <v>0</v>
      </c>
      <c r="N32" s="1042">
        <v>233.8</v>
      </c>
      <c r="O32" s="1043">
        <v>565.29999999999995</v>
      </c>
      <c r="P32" s="945">
        <f t="shared" ref="P32" si="14">H32-I32-J32-K32-L32-M32-N32-O32</f>
        <v>0</v>
      </c>
    </row>
    <row r="33" spans="1:16" s="411" customFormat="1" ht="14.25" customHeight="1">
      <c r="A33" s="905"/>
      <c r="B33" s="906" t="s">
        <v>401</v>
      </c>
      <c r="C33" s="807">
        <v>2.5</v>
      </c>
      <c r="D33" s="807">
        <v>1273</v>
      </c>
      <c r="E33" s="1036">
        <v>291.8</v>
      </c>
      <c r="F33" s="1037">
        <v>1202.2</v>
      </c>
      <c r="G33" s="1038">
        <v>125.6</v>
      </c>
      <c r="H33" s="1039">
        <f t="shared" ref="H33" si="15">SUM(C33:G33)</f>
        <v>2895.1</v>
      </c>
      <c r="I33" s="1040">
        <v>0</v>
      </c>
      <c r="J33" s="1033">
        <v>705.1</v>
      </c>
      <c r="K33" s="1036">
        <v>1402.6</v>
      </c>
      <c r="L33" s="1041">
        <v>2.6</v>
      </c>
      <c r="M33" s="898">
        <v>0</v>
      </c>
      <c r="N33" s="1042">
        <v>215.8</v>
      </c>
      <c r="O33" s="1043">
        <v>569</v>
      </c>
      <c r="P33" s="945">
        <f t="shared" ref="P33" si="16">H33-I33-J33-K33-L33-M33-N33-O33</f>
        <v>0</v>
      </c>
    </row>
    <row r="34" spans="1:16" s="411" customFormat="1" ht="14.25" customHeight="1">
      <c r="A34" s="905"/>
      <c r="B34" s="906" t="s">
        <v>402</v>
      </c>
      <c r="C34" s="807">
        <v>2.5</v>
      </c>
      <c r="D34" s="807">
        <v>1101.8</v>
      </c>
      <c r="E34" s="1036">
        <v>256.10000000000002</v>
      </c>
      <c r="F34" s="1037">
        <v>1409.6</v>
      </c>
      <c r="G34" s="1038">
        <v>169.5</v>
      </c>
      <c r="H34" s="1039">
        <f t="shared" ref="H34" si="17">SUM(C34:G34)</f>
        <v>2939.5</v>
      </c>
      <c r="I34" s="1040">
        <v>0</v>
      </c>
      <c r="J34" s="1033">
        <v>687.6</v>
      </c>
      <c r="K34" s="1036">
        <v>1444.5</v>
      </c>
      <c r="L34" s="1041">
        <v>2.1</v>
      </c>
      <c r="M34" s="898">
        <v>0</v>
      </c>
      <c r="N34" s="1042">
        <v>231.5</v>
      </c>
      <c r="O34" s="1043">
        <v>573.79999999999995</v>
      </c>
      <c r="P34" s="945">
        <f t="shared" ref="P34" si="18">H34-I34-J34-K34-L34-M34-N34-O34</f>
        <v>0</v>
      </c>
    </row>
    <row r="35" spans="1:16" s="411" customFormat="1" ht="14.25" customHeight="1">
      <c r="A35" s="905"/>
      <c r="B35" s="906" t="s">
        <v>403</v>
      </c>
      <c r="C35" s="807">
        <v>2.5</v>
      </c>
      <c r="D35" s="807">
        <v>1044.0999999999999</v>
      </c>
      <c r="E35" s="1036">
        <v>258.3</v>
      </c>
      <c r="F35" s="1037">
        <v>1465.9</v>
      </c>
      <c r="G35" s="1038">
        <v>164.5</v>
      </c>
      <c r="H35" s="1039">
        <f t="shared" ref="H35" si="19">SUM(C35:G35)</f>
        <v>2935.3</v>
      </c>
      <c r="I35" s="1040">
        <v>0</v>
      </c>
      <c r="J35" s="1033">
        <v>686</v>
      </c>
      <c r="K35" s="1036">
        <v>1449.7</v>
      </c>
      <c r="L35" s="1041">
        <v>0.3</v>
      </c>
      <c r="M35" s="898">
        <v>0</v>
      </c>
      <c r="N35" s="1042">
        <v>221.2</v>
      </c>
      <c r="O35" s="1043">
        <v>578.1</v>
      </c>
      <c r="P35" s="945">
        <f t="shared" ref="P35" si="20">H35-I35-J35-K35-L35-M35-N35-O35</f>
        <v>0</v>
      </c>
    </row>
    <row r="36" spans="1:16" s="411" customFormat="1" ht="14.25" customHeight="1">
      <c r="A36" s="905"/>
      <c r="B36" s="906" t="s">
        <v>404</v>
      </c>
      <c r="C36" s="807">
        <v>2.5</v>
      </c>
      <c r="D36" s="807">
        <v>1368.9</v>
      </c>
      <c r="E36" s="1036">
        <v>403</v>
      </c>
      <c r="F36" s="1037">
        <v>925.9</v>
      </c>
      <c r="G36" s="1038">
        <v>136.69999999999999</v>
      </c>
      <c r="H36" s="1039">
        <f t="shared" ref="H36" si="21">SUM(C36:G36)</f>
        <v>2837</v>
      </c>
      <c r="I36" s="1040">
        <v>0</v>
      </c>
      <c r="J36" s="1033">
        <v>672.6</v>
      </c>
      <c r="K36" s="1036">
        <v>1354</v>
      </c>
      <c r="L36" s="1041">
        <v>1.1000000000000001</v>
      </c>
      <c r="M36" s="898">
        <v>0</v>
      </c>
      <c r="N36" s="1042">
        <v>227.4</v>
      </c>
      <c r="O36" s="1043">
        <v>581.9</v>
      </c>
      <c r="P36" s="945">
        <f t="shared" ref="P36" si="22">H36-I36-J36-K36-L36-M36-N36-O36</f>
        <v>0</v>
      </c>
    </row>
    <row r="37" spans="1:16" s="411" customFormat="1" ht="14.25" customHeight="1">
      <c r="A37" s="905"/>
      <c r="B37" s="906" t="s">
        <v>405</v>
      </c>
      <c r="C37" s="807">
        <v>2.5</v>
      </c>
      <c r="D37" s="807">
        <v>1357.4</v>
      </c>
      <c r="E37" s="1036">
        <v>417.3</v>
      </c>
      <c r="F37" s="1037">
        <v>1085.4000000000001</v>
      </c>
      <c r="G37" s="1038">
        <v>180.7</v>
      </c>
      <c r="H37" s="1039">
        <f t="shared" ref="H37" si="23">SUM(C37:G37)</f>
        <v>3043.3</v>
      </c>
      <c r="I37" s="1040">
        <v>0</v>
      </c>
      <c r="J37" s="1033">
        <v>680.1</v>
      </c>
      <c r="K37" s="1036">
        <v>1484.4</v>
      </c>
      <c r="L37" s="1041">
        <v>1</v>
      </c>
      <c r="M37" s="898">
        <v>0</v>
      </c>
      <c r="N37" s="1042">
        <v>292.3</v>
      </c>
      <c r="O37" s="1043">
        <v>585.5</v>
      </c>
      <c r="P37" s="945">
        <f t="shared" ref="P37" si="24">H37-I37-J37-K37-L37-M37-N37-O37</f>
        <v>0</v>
      </c>
    </row>
    <row r="38" spans="1:16" s="411" customFormat="1" ht="14.25" customHeight="1">
      <c r="A38" s="905"/>
      <c r="B38" s="906" t="s">
        <v>406</v>
      </c>
      <c r="C38" s="807">
        <v>2.5</v>
      </c>
      <c r="D38" s="807">
        <v>1312.6</v>
      </c>
      <c r="E38" s="1036">
        <v>419.7</v>
      </c>
      <c r="F38" s="1037">
        <v>1119.7</v>
      </c>
      <c r="G38" s="1038">
        <v>273.10000000000002</v>
      </c>
      <c r="H38" s="1039">
        <f t="shared" ref="H38" si="25">SUM(C38:G38)</f>
        <v>3127.6</v>
      </c>
      <c r="I38" s="1040">
        <v>0</v>
      </c>
      <c r="J38" s="1033">
        <v>686.7</v>
      </c>
      <c r="K38" s="1036">
        <v>1569.5</v>
      </c>
      <c r="L38" s="1041">
        <v>0.7</v>
      </c>
      <c r="M38" s="898">
        <v>0</v>
      </c>
      <c r="N38" s="1042">
        <v>281</v>
      </c>
      <c r="O38" s="1043">
        <v>589.70000000000005</v>
      </c>
      <c r="P38" s="945">
        <f t="shared" ref="P38" si="26">H38-I38-J38-K38-L38-M38-N38-O38</f>
        <v>0</v>
      </c>
    </row>
    <row r="39" spans="1:16" s="411" customFormat="1" ht="14.25" customHeight="1">
      <c r="A39" s="905"/>
      <c r="B39" s="906" t="s">
        <v>407</v>
      </c>
      <c r="C39" s="807">
        <v>2.5</v>
      </c>
      <c r="D39" s="807">
        <v>1276.0999999999999</v>
      </c>
      <c r="E39" s="1036">
        <v>415</v>
      </c>
      <c r="F39" s="1037">
        <v>1085.9000000000001</v>
      </c>
      <c r="G39" s="1038">
        <v>418.3</v>
      </c>
      <c r="H39" s="1039">
        <f t="shared" ref="H39" si="27">SUM(C39:G39)</f>
        <v>3197.8</v>
      </c>
      <c r="I39" s="1040">
        <v>0</v>
      </c>
      <c r="J39" s="1033">
        <v>687.1</v>
      </c>
      <c r="K39" s="1036">
        <v>1603.1</v>
      </c>
      <c r="L39" s="1041">
        <v>4.2</v>
      </c>
      <c r="M39" s="898">
        <v>0</v>
      </c>
      <c r="N39" s="1042">
        <v>317.39999999999998</v>
      </c>
      <c r="O39" s="1043">
        <v>586</v>
      </c>
      <c r="P39" s="945">
        <f t="shared" ref="P39" si="28">H39-I39-J39-K39-L39-M39-N39-O39</f>
        <v>0</v>
      </c>
    </row>
    <row r="40" spans="1:16" s="411" customFormat="1" ht="20.25" customHeight="1">
      <c r="A40" s="905">
        <v>2020</v>
      </c>
      <c r="B40" s="906" t="s">
        <v>408</v>
      </c>
      <c r="C40" s="807">
        <v>2.5</v>
      </c>
      <c r="D40" s="807">
        <v>1243.5</v>
      </c>
      <c r="E40" s="1036">
        <v>401.5</v>
      </c>
      <c r="F40" s="1037">
        <v>1310.9</v>
      </c>
      <c r="G40" s="1038">
        <v>351.2</v>
      </c>
      <c r="H40" s="1039">
        <f t="shared" ref="H40" si="29">SUM(C40:G40)</f>
        <v>3309.6</v>
      </c>
      <c r="I40" s="1040">
        <v>0</v>
      </c>
      <c r="J40" s="1033">
        <v>688.5</v>
      </c>
      <c r="K40" s="1036">
        <v>1751.6</v>
      </c>
      <c r="L40" s="1041">
        <v>0.7</v>
      </c>
      <c r="M40" s="898">
        <v>0</v>
      </c>
      <c r="N40" s="1042">
        <v>278.7</v>
      </c>
      <c r="O40" s="1043">
        <v>590.1</v>
      </c>
      <c r="P40" s="945">
        <f t="shared" ref="P40" si="30">H40-I40-J40-K40-L40-M40-N40-O40</f>
        <v>0</v>
      </c>
    </row>
    <row r="41" spans="1:16" s="411" customFormat="1" ht="14.25" customHeight="1">
      <c r="A41" s="1082"/>
      <c r="B41" s="906" t="s">
        <v>409</v>
      </c>
      <c r="C41" s="807">
        <v>2.5</v>
      </c>
      <c r="D41" s="807">
        <v>1291.0999999999999</v>
      </c>
      <c r="E41" s="1036">
        <v>327.9</v>
      </c>
      <c r="F41" s="1037">
        <v>1357.4</v>
      </c>
      <c r="G41" s="1038">
        <v>265.39999999999998</v>
      </c>
      <c r="H41" s="1039">
        <f t="shared" ref="H41" si="31">SUM(C41:G41)</f>
        <v>3244.3</v>
      </c>
      <c r="I41" s="1040">
        <v>0</v>
      </c>
      <c r="J41" s="1033">
        <v>684.1</v>
      </c>
      <c r="K41" s="1036">
        <v>1692.1</v>
      </c>
      <c r="L41" s="1041">
        <v>3.7</v>
      </c>
      <c r="M41" s="898">
        <v>0</v>
      </c>
      <c r="N41" s="1042">
        <v>271.39999999999998</v>
      </c>
      <c r="O41" s="1043">
        <v>593</v>
      </c>
      <c r="P41" s="945">
        <f t="shared" ref="P41" si="32">H41-I41-J41-K41-L41-M41-N41-O41</f>
        <v>0</v>
      </c>
    </row>
    <row r="42" spans="1:16" s="411" customFormat="1" ht="14.25" customHeight="1">
      <c r="A42" s="1082"/>
      <c r="B42" s="906" t="s">
        <v>398</v>
      </c>
      <c r="C42" s="807">
        <v>2.5</v>
      </c>
      <c r="D42" s="807">
        <v>614.6</v>
      </c>
      <c r="E42" s="1036">
        <v>584.29999999999995</v>
      </c>
      <c r="F42" s="1037">
        <v>1698</v>
      </c>
      <c r="G42" s="1038">
        <v>369</v>
      </c>
      <c r="H42" s="1039">
        <f t="shared" ref="H42" si="33">SUM(C42:G42)</f>
        <v>3268.4</v>
      </c>
      <c r="I42" s="1040">
        <v>0</v>
      </c>
      <c r="J42" s="1033">
        <v>726.1</v>
      </c>
      <c r="K42" s="1036">
        <v>1708.5</v>
      </c>
      <c r="L42" s="1041">
        <v>1.4</v>
      </c>
      <c r="M42" s="898">
        <v>0</v>
      </c>
      <c r="N42" s="1042">
        <v>236.9</v>
      </c>
      <c r="O42" s="1043">
        <v>595.5</v>
      </c>
      <c r="P42" s="945">
        <f t="shared" ref="P42" si="34">H42-I42-J42-K42-L42-M42-N42-O42</f>
        <v>0</v>
      </c>
    </row>
    <row r="43" spans="1:16" s="411" customFormat="1" ht="14.25" customHeight="1">
      <c r="A43" s="1082"/>
      <c r="B43" s="906" t="s">
        <v>399</v>
      </c>
      <c r="C43" s="807">
        <v>2.5</v>
      </c>
      <c r="D43" s="807">
        <v>290.3</v>
      </c>
      <c r="E43" s="1036">
        <v>676.5</v>
      </c>
      <c r="F43" s="1037">
        <v>1851.2</v>
      </c>
      <c r="G43" s="1038">
        <v>427.1</v>
      </c>
      <c r="H43" s="1039">
        <f t="shared" ref="H43" si="35">SUM(C43:G43)</f>
        <v>3247.6</v>
      </c>
      <c r="I43" s="1040">
        <v>0</v>
      </c>
      <c r="J43" s="1033">
        <v>770.2</v>
      </c>
      <c r="K43" s="1036">
        <v>1621.5</v>
      </c>
      <c r="L43" s="1041">
        <v>5.7</v>
      </c>
      <c r="M43" s="898">
        <v>0</v>
      </c>
      <c r="N43" s="1042">
        <v>253.5</v>
      </c>
      <c r="O43" s="1043">
        <v>596.70000000000005</v>
      </c>
      <c r="P43" s="945">
        <f t="shared" ref="P43" si="36">H43-I43-J43-K43-L43-M43-N43-O43</f>
        <v>0</v>
      </c>
    </row>
    <row r="44" spans="1:16" ht="12.2" customHeight="1">
      <c r="A44" s="236"/>
      <c r="B44" s="236"/>
      <c r="C44" s="236"/>
      <c r="D44" s="236"/>
      <c r="E44" s="236"/>
      <c r="F44" s="1994"/>
      <c r="G44" s="236"/>
      <c r="H44" s="236" t="s">
        <v>107</v>
      </c>
      <c r="I44" s="236"/>
      <c r="J44" s="236"/>
      <c r="K44" s="236"/>
      <c r="L44" s="236"/>
      <c r="M44" s="236"/>
      <c r="N44" s="236"/>
      <c r="O44" s="234"/>
    </row>
    <row r="45" spans="1:16" ht="12.75" customHeight="1">
      <c r="N45" s="157"/>
      <c r="O45" s="3"/>
    </row>
    <row r="46" spans="1:16" ht="14.25">
      <c r="A46" s="340" t="s">
        <v>410</v>
      </c>
      <c r="B46" s="3"/>
      <c r="C46" s="3"/>
      <c r="D46" s="3"/>
      <c r="E46" s="3"/>
      <c r="F46" s="3"/>
      <c r="G46" s="3"/>
      <c r="H46" s="3"/>
      <c r="I46" s="3"/>
      <c r="J46" s="3"/>
      <c r="K46" s="3"/>
      <c r="L46" s="3"/>
      <c r="M46" s="3"/>
      <c r="N46" s="157"/>
      <c r="O46" s="3"/>
    </row>
    <row r="50" spans="3:16">
      <c r="C50" s="1996"/>
      <c r="D50" s="1996"/>
      <c r="E50" s="1996"/>
      <c r="F50" s="1996"/>
      <c r="G50" s="1996"/>
      <c r="H50" s="1996"/>
      <c r="I50" s="1997"/>
      <c r="J50" s="1996"/>
      <c r="K50" s="1996"/>
      <c r="L50" s="1996"/>
      <c r="M50" s="1996"/>
      <c r="N50" s="1996"/>
      <c r="O50" s="1996"/>
      <c r="P50" s="29"/>
    </row>
  </sheetData>
  <phoneticPr fontId="0" type="noConversion"/>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2">
    <pageSetUpPr fitToPage="1"/>
  </sheetPr>
  <dimension ref="A1:AC42"/>
  <sheetViews>
    <sheetView topLeftCell="A13" zoomScale="90" zoomScaleNormal="90" workbookViewId="0">
      <selection activeCell="A49" sqref="A1:XFD1048576"/>
    </sheetView>
  </sheetViews>
  <sheetFormatPr defaultColWidth="9.140625" defaultRowHeight="12.75"/>
  <cols>
    <col min="1" max="2" width="9.7109375" style="477" customWidth="1"/>
    <col min="3" max="16" width="12.85546875" style="477" customWidth="1"/>
    <col min="17" max="17" width="13.7109375" style="477" customWidth="1"/>
    <col min="18" max="18" width="12.85546875" style="477" customWidth="1"/>
    <col min="19" max="16384" width="9.140625" style="477"/>
  </cols>
  <sheetData>
    <row r="1" spans="1:18" ht="18" customHeight="1">
      <c r="A1" s="991" t="s">
        <v>1141</v>
      </c>
      <c r="B1" s="991"/>
      <c r="C1" s="991"/>
      <c r="D1" s="991"/>
      <c r="E1" s="991"/>
      <c r="F1" s="991"/>
      <c r="G1" s="991"/>
      <c r="H1" s="991"/>
      <c r="I1" s="991"/>
      <c r="J1" s="991"/>
      <c r="K1" s="991"/>
      <c r="L1" s="991"/>
      <c r="M1" s="991"/>
      <c r="N1" s="991"/>
      <c r="O1" s="991"/>
      <c r="P1" s="991"/>
      <c r="Q1" s="991"/>
      <c r="R1" s="991"/>
    </row>
    <row r="2" spans="1:18" ht="18" customHeight="1">
      <c r="A2" s="991" t="s">
        <v>63</v>
      </c>
      <c r="B2" s="991"/>
      <c r="C2" s="991"/>
      <c r="D2" s="991"/>
      <c r="E2" s="991"/>
      <c r="F2" s="991"/>
      <c r="G2" s="991"/>
      <c r="H2" s="991"/>
      <c r="I2" s="991"/>
      <c r="J2" s="991"/>
      <c r="K2" s="991"/>
      <c r="L2" s="991"/>
      <c r="M2" s="991"/>
      <c r="N2" s="991"/>
      <c r="O2" s="991"/>
      <c r="P2" s="991"/>
      <c r="Q2" s="991"/>
      <c r="R2" s="991"/>
    </row>
    <row r="3" spans="1:18" ht="15.95" customHeight="1">
      <c r="A3" s="992" t="s">
        <v>62</v>
      </c>
      <c r="B3" s="519"/>
      <c r="C3" s="519"/>
      <c r="D3" s="519"/>
      <c r="E3" s="519"/>
      <c r="F3" s="519"/>
      <c r="G3" s="519"/>
      <c r="H3" s="519"/>
      <c r="I3" s="519"/>
      <c r="J3" s="519"/>
      <c r="K3" s="519"/>
      <c r="L3" s="519"/>
      <c r="M3" s="519"/>
      <c r="N3" s="519"/>
      <c r="O3" s="519"/>
      <c r="P3" s="519"/>
      <c r="Q3" s="519"/>
      <c r="R3" s="519"/>
    </row>
    <row r="4" spans="1:18" ht="18">
      <c r="A4" s="2168" t="s">
        <v>59</v>
      </c>
      <c r="B4" s="2168"/>
      <c r="C4" s="2168"/>
      <c r="D4" s="2168"/>
      <c r="E4" s="2168"/>
      <c r="F4" s="2168"/>
      <c r="G4" s="2168"/>
      <c r="H4" s="2168"/>
      <c r="I4" s="2168"/>
      <c r="J4" s="2168"/>
      <c r="K4" s="2168"/>
      <c r="L4" s="2168"/>
      <c r="M4" s="2168"/>
      <c r="N4" s="2168"/>
      <c r="O4" s="2168"/>
      <c r="P4" s="2168"/>
      <c r="Q4" s="2168"/>
      <c r="R4" s="2168"/>
    </row>
    <row r="5" spans="1:18" ht="15.95" customHeight="1">
      <c r="A5" s="2169" t="s">
        <v>58</v>
      </c>
      <c r="B5" s="2169"/>
      <c r="C5" s="2169"/>
      <c r="D5" s="2169"/>
      <c r="E5" s="2169"/>
      <c r="F5" s="2169"/>
      <c r="G5" s="2169"/>
      <c r="H5" s="2169"/>
      <c r="I5" s="2169"/>
      <c r="J5" s="2169"/>
      <c r="K5" s="2169"/>
      <c r="L5" s="2169"/>
      <c r="M5" s="2169"/>
      <c r="N5" s="2169"/>
      <c r="O5" s="2169"/>
      <c r="P5" s="2169"/>
      <c r="Q5" s="2169"/>
      <c r="R5" s="2169"/>
    </row>
    <row r="6" spans="1:18" ht="15.95" customHeight="1">
      <c r="A6" s="992"/>
      <c r="B6" s="519"/>
      <c r="C6" s="519"/>
      <c r="D6" s="519"/>
      <c r="E6" s="519"/>
      <c r="F6" s="519"/>
      <c r="G6" s="519"/>
      <c r="H6" s="519"/>
      <c r="I6" s="519"/>
      <c r="J6" s="519"/>
      <c r="K6" s="519"/>
      <c r="L6" s="519"/>
      <c r="M6" s="519"/>
      <c r="N6" s="519"/>
      <c r="O6" s="519"/>
      <c r="P6" s="519"/>
      <c r="Q6" s="519"/>
      <c r="R6" s="519"/>
    </row>
    <row r="7" spans="1:18" s="480" customFormat="1" ht="14.85" customHeight="1">
      <c r="A7" s="2158" t="s">
        <v>959</v>
      </c>
      <c r="B7" s="2156"/>
      <c r="C7" s="479"/>
      <c r="D7" s="479"/>
      <c r="E7" s="479"/>
      <c r="F7" s="479"/>
      <c r="G7" s="479"/>
      <c r="H7" s="479"/>
      <c r="I7" s="479"/>
      <c r="J7" s="479"/>
      <c r="K7" s="479"/>
      <c r="L7" s="479"/>
      <c r="M7" s="479"/>
      <c r="N7" s="479"/>
      <c r="O7" s="479"/>
      <c r="P7" s="479"/>
      <c r="Q7" s="479"/>
      <c r="R7" s="994" t="s">
        <v>960</v>
      </c>
    </row>
    <row r="8" spans="1:18" s="523" customFormat="1" ht="14.45" customHeight="1">
      <c r="A8" s="520"/>
      <c r="B8" s="521"/>
      <c r="C8" s="2159" t="s">
        <v>371</v>
      </c>
      <c r="D8" s="2170"/>
      <c r="E8" s="2170"/>
      <c r="F8" s="2160"/>
      <c r="G8" s="2159" t="s">
        <v>1104</v>
      </c>
      <c r="H8" s="2170"/>
      <c r="I8" s="2170"/>
      <c r="J8" s="2160"/>
      <c r="K8" s="2159" t="s">
        <v>1105</v>
      </c>
      <c r="L8" s="2170"/>
      <c r="M8" s="2170"/>
      <c r="N8" s="2160"/>
      <c r="O8" s="2159" t="s">
        <v>1106</v>
      </c>
      <c r="P8" s="2170"/>
      <c r="Q8" s="2170"/>
      <c r="R8" s="2160"/>
    </row>
    <row r="9" spans="1:18" s="523" customFormat="1" ht="14.25" customHeight="1">
      <c r="A9" s="995"/>
      <c r="B9" s="996"/>
      <c r="C9" s="2150" t="s">
        <v>1107</v>
      </c>
      <c r="D9" s="2165"/>
      <c r="E9" s="2165"/>
      <c r="F9" s="2151"/>
      <c r="G9" s="2150" t="s">
        <v>1108</v>
      </c>
      <c r="H9" s="2165"/>
      <c r="I9" s="2165"/>
      <c r="J9" s="2151"/>
      <c r="K9" s="2150" t="s">
        <v>1109</v>
      </c>
      <c r="L9" s="2165"/>
      <c r="M9" s="2165"/>
      <c r="N9" s="2151"/>
      <c r="O9" s="2150" t="s">
        <v>1110</v>
      </c>
      <c r="P9" s="2165" t="s">
        <v>1110</v>
      </c>
      <c r="Q9" s="2165"/>
      <c r="R9" s="2151"/>
    </row>
    <row r="10" spans="1:18" s="523" customFormat="1" ht="51" customHeight="1">
      <c r="A10" s="995" t="s">
        <v>364</v>
      </c>
      <c r="B10" s="996"/>
      <c r="C10" s="2166" t="s">
        <v>1111</v>
      </c>
      <c r="D10" s="2167"/>
      <c r="E10" s="2166" t="s">
        <v>1112</v>
      </c>
      <c r="F10" s="2167"/>
      <c r="G10" s="2166" t="s">
        <v>1113</v>
      </c>
      <c r="H10" s="2167"/>
      <c r="I10" s="2166" t="s">
        <v>1114</v>
      </c>
      <c r="J10" s="2167"/>
      <c r="K10" s="2166" t="s">
        <v>1115</v>
      </c>
      <c r="L10" s="2167"/>
      <c r="M10" s="2166" t="s">
        <v>1116</v>
      </c>
      <c r="N10" s="2167"/>
      <c r="O10" s="2166" t="s">
        <v>1117</v>
      </c>
      <c r="P10" s="2167"/>
      <c r="Q10" s="2166" t="s">
        <v>1118</v>
      </c>
      <c r="R10" s="2167"/>
    </row>
    <row r="11" spans="1:18" s="537" customFormat="1" ht="31.5" customHeight="1">
      <c r="A11" s="997" t="s">
        <v>372</v>
      </c>
      <c r="B11" s="998"/>
      <c r="C11" s="2161" t="s">
        <v>1119</v>
      </c>
      <c r="D11" s="2162"/>
      <c r="E11" s="2161" t="s">
        <v>1120</v>
      </c>
      <c r="F11" s="2162"/>
      <c r="G11" s="2161" t="s">
        <v>1121</v>
      </c>
      <c r="H11" s="2162"/>
      <c r="I11" s="2161" t="s">
        <v>1122</v>
      </c>
      <c r="J11" s="2162"/>
      <c r="K11" s="2161" t="s">
        <v>1123</v>
      </c>
      <c r="L11" s="2162"/>
      <c r="M11" s="2161" t="s">
        <v>1124</v>
      </c>
      <c r="N11" s="2162"/>
      <c r="O11" s="2163" t="s">
        <v>1125</v>
      </c>
      <c r="P11" s="2164"/>
      <c r="Q11" s="2163" t="s">
        <v>1126</v>
      </c>
      <c r="R11" s="2164"/>
    </row>
    <row r="12" spans="1:18" s="537" customFormat="1" ht="15.75">
      <c r="A12" s="997"/>
      <c r="B12" s="998"/>
      <c r="C12" s="528" t="s">
        <v>1136</v>
      </c>
      <c r="D12" s="529" t="s">
        <v>1137</v>
      </c>
      <c r="E12" s="528" t="s">
        <v>1136</v>
      </c>
      <c r="F12" s="529" t="s">
        <v>1137</v>
      </c>
      <c r="G12" s="528" t="s">
        <v>1136</v>
      </c>
      <c r="H12" s="529" t="s">
        <v>1137</v>
      </c>
      <c r="I12" s="528" t="s">
        <v>1136</v>
      </c>
      <c r="J12" s="529" t="s">
        <v>1137</v>
      </c>
      <c r="K12" s="528" t="s">
        <v>1136</v>
      </c>
      <c r="L12" s="529" t="s">
        <v>1137</v>
      </c>
      <c r="M12" s="528" t="s">
        <v>1136</v>
      </c>
      <c r="N12" s="529" t="s">
        <v>1137</v>
      </c>
      <c r="O12" s="528" t="s">
        <v>1136</v>
      </c>
      <c r="P12" s="529" t="s">
        <v>1137</v>
      </c>
      <c r="Q12" s="528" t="s">
        <v>1136</v>
      </c>
      <c r="R12" s="529" t="s">
        <v>1137</v>
      </c>
    </row>
    <row r="13" spans="1:18" s="537" customFormat="1" ht="15">
      <c r="A13" s="531"/>
      <c r="B13" s="532"/>
      <c r="C13" s="571" t="s">
        <v>484</v>
      </c>
      <c r="D13" s="572" t="s">
        <v>1138</v>
      </c>
      <c r="E13" s="571" t="s">
        <v>484</v>
      </c>
      <c r="F13" s="572" t="s">
        <v>1138</v>
      </c>
      <c r="G13" s="571" t="s">
        <v>484</v>
      </c>
      <c r="H13" s="572" t="s">
        <v>1138</v>
      </c>
      <c r="I13" s="571" t="s">
        <v>484</v>
      </c>
      <c r="J13" s="572" t="s">
        <v>1138</v>
      </c>
      <c r="K13" s="571" t="s">
        <v>484</v>
      </c>
      <c r="L13" s="572" t="s">
        <v>1138</v>
      </c>
      <c r="M13" s="571" t="s">
        <v>484</v>
      </c>
      <c r="N13" s="572" t="s">
        <v>1138</v>
      </c>
      <c r="O13" s="571" t="s">
        <v>484</v>
      </c>
      <c r="P13" s="572" t="s">
        <v>1138</v>
      </c>
      <c r="Q13" s="571" t="s">
        <v>484</v>
      </c>
      <c r="R13" s="572" t="s">
        <v>1138</v>
      </c>
    </row>
    <row r="14" spans="1:18" s="550" customFormat="1" ht="21" customHeight="1">
      <c r="A14" s="1000">
        <v>2012</v>
      </c>
      <c r="B14" s="551"/>
      <c r="C14" s="1001">
        <v>18.476896227204254</v>
      </c>
      <c r="D14" s="1001">
        <v>9.3895116197560444</v>
      </c>
      <c r="E14" s="1001">
        <v>15.389636402823747</v>
      </c>
      <c r="F14" s="1001">
        <v>7.7376543111238689</v>
      </c>
      <c r="G14" s="1001">
        <v>15.045031220303612</v>
      </c>
      <c r="H14" s="1001">
        <v>6.2329378654993715</v>
      </c>
      <c r="I14" s="1001">
        <v>40.04469800948354</v>
      </c>
      <c r="J14" s="1001">
        <v>52.798528512989598</v>
      </c>
      <c r="K14" s="1001">
        <v>-0.31626270084428071</v>
      </c>
      <c r="L14" s="1001">
        <v>0.34784802010230981</v>
      </c>
      <c r="M14" s="1001">
        <v>-2.745381450156859</v>
      </c>
      <c r="N14" s="1001">
        <v>7.1209050207434066</v>
      </c>
      <c r="O14" s="1001">
        <v>11.809892507694892</v>
      </c>
      <c r="P14" s="1001">
        <v>23.07527557895413</v>
      </c>
      <c r="Q14" s="1001">
        <v>78.740656119931458</v>
      </c>
      <c r="R14" s="1001">
        <v>69.787805783792393</v>
      </c>
    </row>
    <row r="15" spans="1:18" s="550" customFormat="1" ht="15.95" customHeight="1">
      <c r="A15" s="1000">
        <v>2013</v>
      </c>
      <c r="B15" s="551"/>
      <c r="C15" s="1001">
        <v>17.280177757431101</v>
      </c>
      <c r="D15" s="1001">
        <v>25.801272498853006</v>
      </c>
      <c r="E15" s="1001">
        <v>14.806426854848793</v>
      </c>
      <c r="F15" s="1001">
        <v>24.832794056964151</v>
      </c>
      <c r="G15" s="1001">
        <v>12.142052766270686</v>
      </c>
      <c r="H15" s="1001">
        <v>5.1874528820653039</v>
      </c>
      <c r="I15" s="1001">
        <v>41.509205112303263</v>
      </c>
      <c r="J15" s="1001">
        <v>73.430113945622026</v>
      </c>
      <c r="K15" s="1001">
        <v>4.5510564107580649E-2</v>
      </c>
      <c r="L15" s="1001">
        <v>0.82329987702564578</v>
      </c>
      <c r="M15" s="1001">
        <v>0.42601950883255901</v>
      </c>
      <c r="N15" s="1001">
        <v>5.1310515893713076</v>
      </c>
      <c r="O15" s="1001">
        <v>13.169288461833817</v>
      </c>
      <c r="P15" s="1001">
        <v>23.409396371582723</v>
      </c>
      <c r="Q15" s="1001">
        <v>77.230259574746029</v>
      </c>
      <c r="R15" s="1001">
        <v>67.190319033236875</v>
      </c>
    </row>
    <row r="16" spans="1:18" s="550" customFormat="1" ht="15.95" customHeight="1">
      <c r="A16" s="1000">
        <v>2014</v>
      </c>
      <c r="B16" s="551"/>
      <c r="C16" s="1001">
        <v>16.90911805053225</v>
      </c>
      <c r="D16" s="1001">
        <v>23.957469906856282</v>
      </c>
      <c r="E16" s="1001">
        <v>14.566289804373156</v>
      </c>
      <c r="F16" s="1001">
        <v>22.933939511535762</v>
      </c>
      <c r="G16" s="1001">
        <v>12.526106188652911</v>
      </c>
      <c r="H16" s="1001">
        <v>4.6021220732897588</v>
      </c>
      <c r="I16" s="1001">
        <v>39.172041508547181</v>
      </c>
      <c r="J16" s="1001">
        <v>75.324314841506322</v>
      </c>
      <c r="K16" s="1001">
        <v>0.45708580274439869</v>
      </c>
      <c r="L16" s="1001">
        <v>0.47735312216613163</v>
      </c>
      <c r="M16" s="1001">
        <v>4.6897803284536854</v>
      </c>
      <c r="N16" s="1001">
        <v>3.2260962536527389</v>
      </c>
      <c r="O16" s="1001">
        <v>13.330559547715964</v>
      </c>
      <c r="P16" s="1001">
        <v>22.17619354053441</v>
      </c>
      <c r="Q16" s="1001">
        <v>79.862339808354946</v>
      </c>
      <c r="R16" s="1001">
        <v>65.572940396564348</v>
      </c>
    </row>
    <row r="17" spans="1:29" s="550" customFormat="1" ht="15.95" customHeight="1">
      <c r="A17" s="1000">
        <v>2015</v>
      </c>
      <c r="B17" s="551"/>
      <c r="C17" s="1001">
        <v>15.866674999204399</v>
      </c>
      <c r="D17" s="1001">
        <v>20.653148923608512</v>
      </c>
      <c r="E17" s="1001">
        <v>13.688763867893289</v>
      </c>
      <c r="F17" s="1001">
        <v>20.124081212441915</v>
      </c>
      <c r="G17" s="1001">
        <v>11.998646386462864</v>
      </c>
      <c r="H17" s="1001">
        <v>4.6153306132940806</v>
      </c>
      <c r="I17" s="1001">
        <v>39.571990435885354</v>
      </c>
      <c r="J17" s="1001">
        <v>81.197252147161763</v>
      </c>
      <c r="K17" s="1001">
        <v>0.18822912640583137</v>
      </c>
      <c r="L17" s="1001">
        <v>-0.50760509587381952</v>
      </c>
      <c r="M17" s="1001">
        <v>1.4393591464685849</v>
      </c>
      <c r="N17" s="1001">
        <v>-3.3881915176292567</v>
      </c>
      <c r="O17" s="1001">
        <v>9.9088814254713213</v>
      </c>
      <c r="P17" s="1001">
        <v>20.794402618314141</v>
      </c>
      <c r="Q17" s="1001">
        <v>77.996852868137296</v>
      </c>
      <c r="R17" s="1001">
        <v>61.764121864178712</v>
      </c>
    </row>
    <row r="18" spans="1:29" s="550" customFormat="1" ht="15.95" customHeight="1">
      <c r="A18" s="1000">
        <v>2016</v>
      </c>
      <c r="B18" s="551"/>
      <c r="C18" s="1001">
        <v>17.235010613901544</v>
      </c>
      <c r="D18" s="1001">
        <v>19.195597694432092</v>
      </c>
      <c r="E18" s="1001">
        <v>15.200791663737846</v>
      </c>
      <c r="F18" s="1001">
        <v>18.573701670315472</v>
      </c>
      <c r="G18" s="1001">
        <v>11.421567325948594</v>
      </c>
      <c r="H18" s="1001">
        <v>3.6854713826939078</v>
      </c>
      <c r="I18" s="1001">
        <v>40.088893374435472</v>
      </c>
      <c r="J18" s="1001">
        <v>81.42067251375633</v>
      </c>
      <c r="K18" s="1001">
        <v>0.39021737603055284</v>
      </c>
      <c r="L18" s="1001">
        <v>1.0753047579929509</v>
      </c>
      <c r="M18" s="1001">
        <v>3.2030190190818222</v>
      </c>
      <c r="N18" s="1001">
        <v>7.2424147601870752</v>
      </c>
      <c r="O18" s="1001">
        <v>13.63983692123395</v>
      </c>
      <c r="P18" s="1001">
        <v>17.702170846722652</v>
      </c>
      <c r="Q18" s="1001">
        <v>78.655391286876878</v>
      </c>
      <c r="R18" s="1001">
        <v>59.486552984480824</v>
      </c>
    </row>
    <row r="19" spans="1:29" s="550" customFormat="1" ht="15.95" customHeight="1">
      <c r="A19" s="1000">
        <v>2017</v>
      </c>
      <c r="B19" s="551"/>
      <c r="C19" s="1001">
        <v>18.597231289337422</v>
      </c>
      <c r="D19" s="1001">
        <v>18.256519584134733</v>
      </c>
      <c r="E19" s="1001">
        <v>15.489628314855583</v>
      </c>
      <c r="F19" s="1001">
        <v>17.665646107729323</v>
      </c>
      <c r="G19" s="1001">
        <v>10.001790659536855</v>
      </c>
      <c r="H19" s="1001">
        <v>2.5504962755369753</v>
      </c>
      <c r="I19" s="1001">
        <v>35.892064303069681</v>
      </c>
      <c r="J19" s="1001">
        <v>86.467674417408233</v>
      </c>
      <c r="K19" s="1001">
        <v>0.60140260754106067</v>
      </c>
      <c r="L19" s="1001">
        <v>0.9041736033411083</v>
      </c>
      <c r="M19" s="1001">
        <v>6.1433541797606832</v>
      </c>
      <c r="N19" s="1001">
        <v>6.2411490755842713</v>
      </c>
      <c r="O19" s="1001">
        <v>11.984584750580849</v>
      </c>
      <c r="P19" s="1001">
        <v>22.386654156278023</v>
      </c>
      <c r="Q19" s="1001">
        <v>89.757001255076247</v>
      </c>
      <c r="R19" s="1001">
        <v>60.439351421679909</v>
      </c>
    </row>
    <row r="20" spans="1:29" s="523" customFormat="1" ht="16.5" customHeight="1">
      <c r="A20" s="1005">
        <v>2018</v>
      </c>
      <c r="B20" s="1006"/>
      <c r="C20" s="1016">
        <v>17.820521748592487</v>
      </c>
      <c r="D20" s="1016">
        <v>17.912539877450765</v>
      </c>
      <c r="E20" s="1016">
        <v>14.894230734552643</v>
      </c>
      <c r="F20" s="1016">
        <v>16.875409007939091</v>
      </c>
      <c r="G20" s="1016">
        <v>9.4648173983528459</v>
      </c>
      <c r="H20" s="1016">
        <v>1.3227958000890094</v>
      </c>
      <c r="I20" s="1016">
        <v>39.393036203526087</v>
      </c>
      <c r="J20" s="1016">
        <v>79.569502273446403</v>
      </c>
      <c r="K20" s="1016">
        <v>0.58109528168399305</v>
      </c>
      <c r="L20" s="1016">
        <v>0.93238599218401996</v>
      </c>
      <c r="M20" s="1016">
        <v>6.6578710751986501</v>
      </c>
      <c r="N20" s="1016">
        <v>6.8950305444323128</v>
      </c>
      <c r="O20" s="1016">
        <v>14.056915885673401</v>
      </c>
      <c r="P20" s="1016">
        <v>12.639113874506464</v>
      </c>
      <c r="Q20" s="1016">
        <v>94.753776689689857</v>
      </c>
      <c r="R20" s="1016">
        <v>75.077777735309525</v>
      </c>
      <c r="S20" s="1007"/>
      <c r="T20" s="1008"/>
      <c r="U20" s="1008"/>
      <c r="V20" s="1008"/>
      <c r="W20" s="1009"/>
      <c r="X20" s="1009"/>
      <c r="Y20" s="1009"/>
      <c r="Z20" s="1009"/>
      <c r="AA20" s="1009"/>
    </row>
    <row r="21" spans="1:29" s="523" customFormat="1" ht="21" customHeight="1">
      <c r="A21" s="1000">
        <v>2018</v>
      </c>
      <c r="B21" s="1010" t="s">
        <v>222</v>
      </c>
      <c r="C21" s="1001">
        <v>17.971627163961028</v>
      </c>
      <c r="D21" s="1001">
        <v>18.483498220695154</v>
      </c>
      <c r="E21" s="1001">
        <v>14.837181678678851</v>
      </c>
      <c r="F21" s="1001">
        <v>17.406608127310772</v>
      </c>
      <c r="G21" s="1001">
        <v>10.007905340811844</v>
      </c>
      <c r="H21" s="1001">
        <v>1.3532723934552615</v>
      </c>
      <c r="I21" s="1001">
        <v>41.316704871654068</v>
      </c>
      <c r="J21" s="1001">
        <v>75.682955253223994</v>
      </c>
      <c r="K21" s="1001">
        <v>0.17781593372857346</v>
      </c>
      <c r="L21" s="1001">
        <v>0.30251739579741416</v>
      </c>
      <c r="M21" s="1001">
        <v>1.523855665669053</v>
      </c>
      <c r="N21" s="1001">
        <v>2.0214162630078456</v>
      </c>
      <c r="O21" s="1001">
        <v>14.500636276481821</v>
      </c>
      <c r="P21" s="1001">
        <v>20.976880453583117</v>
      </c>
      <c r="Q21" s="1001">
        <v>94.388438536531424</v>
      </c>
      <c r="R21" s="1001">
        <v>67.911854518818885</v>
      </c>
      <c r="S21" s="1008"/>
      <c r="T21" s="1008"/>
      <c r="U21" s="1008"/>
      <c r="V21" s="1009"/>
      <c r="W21" s="1009"/>
      <c r="X21" s="1009"/>
      <c r="Y21" s="1009"/>
      <c r="Z21" s="1009"/>
      <c r="AA21" s="1009"/>
    </row>
    <row r="22" spans="1:29" s="523" customFormat="1" ht="16.5" customHeight="1">
      <c r="A22" s="1000"/>
      <c r="B22" s="1010" t="s">
        <v>223</v>
      </c>
      <c r="C22" s="1001">
        <v>18.143709301203938</v>
      </c>
      <c r="D22" s="1001">
        <v>20.194338847071116</v>
      </c>
      <c r="E22" s="1001">
        <v>15.100488309681825</v>
      </c>
      <c r="F22" s="1001">
        <v>18.995265826066856</v>
      </c>
      <c r="G22" s="1001">
        <v>10.387740476814947</v>
      </c>
      <c r="H22" s="1001">
        <v>1.8405860672331738</v>
      </c>
      <c r="I22" s="1001">
        <v>43.507306177482661</v>
      </c>
      <c r="J22" s="1001">
        <v>85.251949538820412</v>
      </c>
      <c r="K22" s="1001">
        <v>0.27880193897022953</v>
      </c>
      <c r="L22" s="1001">
        <v>0.59156023853838924</v>
      </c>
      <c r="M22" s="1001">
        <v>2.4513260007566826</v>
      </c>
      <c r="N22" s="1001">
        <v>3.9293985128096365</v>
      </c>
      <c r="O22" s="1001">
        <v>14.495946165476187</v>
      </c>
      <c r="P22" s="1001">
        <v>13.360576035982547</v>
      </c>
      <c r="Q22" s="1001">
        <v>92.090069593184126</v>
      </c>
      <c r="R22" s="1001">
        <v>80.43297668754505</v>
      </c>
      <c r="S22" s="1007"/>
      <c r="T22" s="1008"/>
      <c r="U22" s="1008"/>
      <c r="V22" s="1008"/>
      <c r="W22" s="1009"/>
      <c r="X22" s="1009"/>
      <c r="Y22" s="1009"/>
      <c r="Z22" s="1009"/>
      <c r="AA22" s="1009"/>
    </row>
    <row r="23" spans="1:29" s="523" customFormat="1" ht="16.5" customHeight="1">
      <c r="A23" s="1000"/>
      <c r="B23" s="1010" t="s">
        <v>224</v>
      </c>
      <c r="C23" s="1001">
        <v>18.238887848634061</v>
      </c>
      <c r="D23" s="1001">
        <v>20.017414944063997</v>
      </c>
      <c r="E23" s="1001">
        <v>15.293773293359239</v>
      </c>
      <c r="F23" s="1001">
        <v>18.860057170809359</v>
      </c>
      <c r="G23" s="1001">
        <v>8.8680200302850878</v>
      </c>
      <c r="H23" s="1001">
        <v>1.6915250592088031</v>
      </c>
      <c r="I23" s="1001">
        <v>44.350991991494148</v>
      </c>
      <c r="J23" s="1001">
        <v>92.511360636178992</v>
      </c>
      <c r="K23" s="1001">
        <v>0.40419462503841913</v>
      </c>
      <c r="L23" s="1001">
        <v>0.84444730038413884</v>
      </c>
      <c r="M23" s="1001">
        <v>3.5231391108483736</v>
      </c>
      <c r="N23" s="1001">
        <v>5.5796725229515278</v>
      </c>
      <c r="O23" s="1001">
        <v>13.888152979720383</v>
      </c>
      <c r="P23" s="1001">
        <v>14.860718199950115</v>
      </c>
      <c r="Q23" s="1001">
        <v>97.932092158049642</v>
      </c>
      <c r="R23" s="1001">
        <v>80.46922784238707</v>
      </c>
      <c r="S23" s="1007"/>
      <c r="T23" s="1008"/>
      <c r="U23" s="1008"/>
      <c r="V23" s="1008"/>
      <c r="W23" s="1008"/>
      <c r="X23" s="1008"/>
      <c r="Y23" s="1008"/>
      <c r="Z23" s="1008"/>
      <c r="AA23" s="1008"/>
      <c r="AB23" s="550"/>
      <c r="AC23" s="550"/>
    </row>
    <row r="24" spans="1:29" s="523" customFormat="1" ht="16.149999999999999" customHeight="1">
      <c r="A24" s="1000"/>
      <c r="B24" s="1010" t="s">
        <v>225</v>
      </c>
      <c r="C24" s="1001">
        <v>17.820521748592487</v>
      </c>
      <c r="D24" s="1001">
        <v>17.912539877450765</v>
      </c>
      <c r="E24" s="1001">
        <v>14.894230734552643</v>
      </c>
      <c r="F24" s="1001">
        <v>16.875409007939091</v>
      </c>
      <c r="G24" s="1001">
        <v>9.4648173983528459</v>
      </c>
      <c r="H24" s="1001">
        <v>1.3227958000890094</v>
      </c>
      <c r="I24" s="1001">
        <v>39.393036203526087</v>
      </c>
      <c r="J24" s="1001">
        <v>79.569502273446403</v>
      </c>
      <c r="K24" s="1001">
        <v>0.58109528168399305</v>
      </c>
      <c r="L24" s="1001">
        <v>0.93238599218401996</v>
      </c>
      <c r="M24" s="1001">
        <v>6.6578710751986501</v>
      </c>
      <c r="N24" s="1001">
        <v>6.8950305444323128</v>
      </c>
      <c r="O24" s="1001">
        <v>14.056915885673401</v>
      </c>
      <c r="P24" s="1001">
        <v>12.639113874506464</v>
      </c>
      <c r="Q24" s="1001">
        <v>94.753776689689857</v>
      </c>
      <c r="R24" s="1001">
        <v>75.077777735309525</v>
      </c>
      <c r="S24" s="1007"/>
      <c r="T24" s="1008"/>
      <c r="U24" s="1008"/>
      <c r="V24" s="1008"/>
      <c r="W24" s="1009"/>
      <c r="X24" s="1009"/>
      <c r="Y24" s="1009"/>
      <c r="Z24" s="1009"/>
      <c r="AA24" s="1009"/>
    </row>
    <row r="25" spans="1:29" s="1009" customFormat="1" ht="21.2" customHeight="1">
      <c r="A25" s="1011">
        <v>2019</v>
      </c>
      <c r="B25" s="1012" t="s">
        <v>222</v>
      </c>
      <c r="C25" s="1001">
        <v>16.96530928675697</v>
      </c>
      <c r="D25" s="1001">
        <v>16.681065377360053</v>
      </c>
      <c r="E25" s="1001">
        <v>14.080328690163931</v>
      </c>
      <c r="F25" s="1001">
        <v>15.674220822414961</v>
      </c>
      <c r="G25" s="1001">
        <v>9.923399589009481</v>
      </c>
      <c r="H25" s="1001">
        <v>1.155727060415862</v>
      </c>
      <c r="I25" s="1001">
        <v>37.823884361519589</v>
      </c>
      <c r="J25" s="1001">
        <v>89.836688278393993</v>
      </c>
      <c r="K25" s="1001">
        <v>0.14977723960874034</v>
      </c>
      <c r="L25" s="1001">
        <v>0.13485717500842356</v>
      </c>
      <c r="M25" s="1001">
        <v>1.8506991799498915</v>
      </c>
      <c r="N25" s="1001">
        <v>1.0779728579233427</v>
      </c>
      <c r="O25" s="1001">
        <v>16.473839775166205</v>
      </c>
      <c r="P25" s="1001">
        <v>14.373576509233729</v>
      </c>
      <c r="Q25" s="1001">
        <v>100.6810267902821</v>
      </c>
      <c r="R25" s="1001">
        <v>72.050399579392206</v>
      </c>
      <c r="S25" s="1008"/>
      <c r="T25" s="1008"/>
      <c r="U25" s="1008"/>
      <c r="V25" s="1008"/>
      <c r="W25" s="1008"/>
      <c r="X25" s="1008"/>
      <c r="Y25" s="1008"/>
      <c r="Z25" s="1008"/>
    </row>
    <row r="26" spans="1:29" s="1009" customFormat="1" ht="16.5" customHeight="1">
      <c r="A26" s="1011"/>
      <c r="B26" s="1012" t="s">
        <v>223</v>
      </c>
      <c r="C26" s="1001">
        <v>17.296391875571132</v>
      </c>
      <c r="D26" s="1001">
        <v>17.957481321889492</v>
      </c>
      <c r="E26" s="1001">
        <v>14.530389585078558</v>
      </c>
      <c r="F26" s="1001">
        <v>16.853036496311596</v>
      </c>
      <c r="G26" s="1001">
        <v>9.5474528551502544</v>
      </c>
      <c r="H26" s="1001">
        <v>1.0717622709610792</v>
      </c>
      <c r="I26" s="1001">
        <v>38.023645680986526</v>
      </c>
      <c r="J26" s="1001">
        <v>91.723581453481657</v>
      </c>
      <c r="K26" s="1001">
        <v>0.33129473086215494</v>
      </c>
      <c r="L26" s="1001">
        <v>0.35769495587821343</v>
      </c>
      <c r="M26" s="1001">
        <v>3.9293150153259813</v>
      </c>
      <c r="N26" s="1001">
        <v>2.9386560360482794</v>
      </c>
      <c r="O26" s="1001">
        <v>17.697574685838418</v>
      </c>
      <c r="P26" s="1001">
        <v>17.205567416459917</v>
      </c>
      <c r="Q26" s="1001">
        <v>95.902161025843199</v>
      </c>
      <c r="R26" s="1001">
        <v>73.049672801290939</v>
      </c>
    </row>
    <row r="27" spans="1:29" s="1009" customFormat="1" ht="16.5" customHeight="1">
      <c r="A27" s="1011"/>
      <c r="B27" s="1031" t="s">
        <v>224</v>
      </c>
      <c r="C27" s="1001">
        <v>18.530626897325003</v>
      </c>
      <c r="D27" s="1001">
        <v>16.5</v>
      </c>
      <c r="E27" s="1001">
        <v>15.808097572580879</v>
      </c>
      <c r="F27" s="1001">
        <v>15.5</v>
      </c>
      <c r="G27" s="1001">
        <v>9.6630990412755171</v>
      </c>
      <c r="H27" s="1001">
        <v>1.2320223226195577</v>
      </c>
      <c r="I27" s="1001">
        <v>36.799999999999997</v>
      </c>
      <c r="J27" s="1001">
        <v>84.6</v>
      </c>
      <c r="K27" s="1001">
        <v>0.48591492517740698</v>
      </c>
      <c r="L27" s="1001">
        <v>0.69218237695241214</v>
      </c>
      <c r="M27" s="1001">
        <v>5.4210352163032418</v>
      </c>
      <c r="N27" s="1001">
        <v>5.7</v>
      </c>
      <c r="O27" s="1001">
        <v>16.509431083642554</v>
      </c>
      <c r="P27" s="1001">
        <v>17.2</v>
      </c>
      <c r="Q27" s="1001">
        <v>95.1</v>
      </c>
      <c r="R27" s="1001">
        <v>71.7</v>
      </c>
    </row>
    <row r="28" spans="1:29" s="1009" customFormat="1" ht="16.5" customHeight="1">
      <c r="A28" s="1013"/>
      <c r="B28" s="1025" t="s">
        <v>1127</v>
      </c>
      <c r="C28" s="1001">
        <v>18.3</v>
      </c>
      <c r="D28" s="1001">
        <v>17.399999999999999</v>
      </c>
      <c r="E28" s="1001">
        <v>15.7</v>
      </c>
      <c r="F28" s="1001">
        <v>16.3</v>
      </c>
      <c r="G28" s="1001">
        <v>10.4</v>
      </c>
      <c r="H28" s="1001">
        <v>1.1000000000000001</v>
      </c>
      <c r="I28" s="1001">
        <v>36.700000000000003</v>
      </c>
      <c r="J28" s="1001">
        <v>93.8</v>
      </c>
      <c r="K28" s="1001">
        <v>0.4</v>
      </c>
      <c r="L28" s="1001">
        <v>0.7</v>
      </c>
      <c r="M28" s="1001">
        <v>4.7</v>
      </c>
      <c r="N28" s="1001">
        <v>6.3</v>
      </c>
      <c r="O28" s="1001">
        <v>17.5</v>
      </c>
      <c r="P28" s="1001">
        <v>17.7</v>
      </c>
      <c r="Q28" s="1001">
        <v>92.5</v>
      </c>
      <c r="R28" s="1001">
        <v>69.900000000000006</v>
      </c>
    </row>
    <row r="29" spans="1:29" ht="21.2" customHeight="1">
      <c r="A29" s="495" t="s">
        <v>1128</v>
      </c>
      <c r="B29" s="495"/>
      <c r="C29" s="495"/>
      <c r="D29" s="495"/>
      <c r="E29" s="495"/>
      <c r="F29" s="495"/>
      <c r="G29" s="495"/>
      <c r="H29" s="495"/>
      <c r="I29" s="495"/>
      <c r="J29" s="495"/>
      <c r="K29" s="495"/>
      <c r="L29" s="495"/>
      <c r="M29" s="495"/>
      <c r="N29" s="495"/>
      <c r="O29" s="495"/>
      <c r="P29" s="495"/>
      <c r="Q29" s="1015"/>
      <c r="R29" s="1029" t="s">
        <v>1129</v>
      </c>
    </row>
    <row r="30" spans="1:29" ht="13.7" customHeight="1">
      <c r="A30" s="477" t="s">
        <v>1130</v>
      </c>
      <c r="C30" s="1027"/>
      <c r="D30" s="1027"/>
      <c r="E30" s="1027"/>
      <c r="F30" s="1027"/>
      <c r="G30" s="1027"/>
      <c r="H30" s="1027"/>
      <c r="I30" s="1027"/>
      <c r="J30" s="1027"/>
      <c r="K30" s="1027"/>
      <c r="L30" s="1027"/>
      <c r="M30" s="1027"/>
      <c r="N30" s="1027"/>
      <c r="O30" s="1027"/>
      <c r="P30" s="1027"/>
      <c r="Q30" s="1027"/>
      <c r="R30" s="1026" t="s">
        <v>1131</v>
      </c>
    </row>
    <row r="31" spans="1:29" ht="13.7" customHeight="1"/>
    <row r="32" spans="1:29" ht="13.7" customHeight="1"/>
    <row r="33" spans="1:18" ht="13.7" customHeight="1"/>
    <row r="34" spans="1:18" ht="13.7" customHeight="1"/>
    <row r="35" spans="1:18" ht="13.7" customHeight="1"/>
    <row r="36" spans="1:18" ht="13.7" customHeight="1"/>
    <row r="37" spans="1:18" ht="13.7" customHeight="1"/>
    <row r="38" spans="1:18" ht="13.7" customHeight="1"/>
    <row r="39" spans="1:18" ht="13.7" customHeight="1"/>
    <row r="40" spans="1:18" ht="13.7" customHeight="1"/>
    <row r="41" spans="1:18" ht="14.25">
      <c r="A41" s="1416" t="s">
        <v>1142</v>
      </c>
      <c r="B41" s="476"/>
      <c r="C41" s="476"/>
      <c r="D41" s="476"/>
      <c r="E41" s="476"/>
      <c r="F41" s="476"/>
      <c r="G41" s="476"/>
      <c r="H41" s="476"/>
      <c r="I41" s="476"/>
      <c r="J41" s="476"/>
      <c r="K41" s="476"/>
      <c r="L41" s="476"/>
      <c r="M41" s="476"/>
      <c r="N41" s="476"/>
      <c r="O41" s="476"/>
      <c r="P41" s="476"/>
      <c r="Q41" s="476"/>
      <c r="R41" s="476"/>
    </row>
    <row r="42" spans="1:18" ht="14.25">
      <c r="A42" s="1014"/>
      <c r="B42" s="476"/>
      <c r="C42" s="476"/>
      <c r="D42" s="476"/>
      <c r="E42" s="476"/>
      <c r="F42" s="476"/>
      <c r="G42" s="476"/>
      <c r="H42" s="476"/>
      <c r="I42" s="476"/>
      <c r="J42" s="476"/>
      <c r="K42" s="476"/>
      <c r="L42" s="476"/>
      <c r="M42" s="476"/>
      <c r="N42" s="476"/>
      <c r="O42" s="476"/>
      <c r="P42" s="476"/>
      <c r="Q42" s="476"/>
      <c r="R42" s="476"/>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scale="62"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Q46"/>
  <sheetViews>
    <sheetView view="pageBreakPreview" topLeftCell="A38" zoomScale="60" zoomScaleNormal="78" workbookViewId="0">
      <selection activeCell="A49" sqref="A1:XFD1048576"/>
    </sheetView>
  </sheetViews>
  <sheetFormatPr defaultColWidth="9.140625" defaultRowHeight="15"/>
  <cols>
    <col min="1" max="2" width="9.7109375" style="824" customWidth="1"/>
    <col min="3" max="4" width="16" style="824" customWidth="1"/>
    <col min="5" max="15" width="14.7109375" style="824" customWidth="1"/>
    <col min="16" max="16384" width="9.140625" style="824"/>
  </cols>
  <sheetData>
    <row r="1" spans="1:17" s="1395" customFormat="1" ht="18" customHeight="1">
      <c r="A1" s="1393" t="s">
        <v>1143</v>
      </c>
      <c r="B1" s="1394"/>
      <c r="C1" s="1394"/>
      <c r="D1" s="1394"/>
      <c r="E1" s="1394"/>
      <c r="F1" s="1394"/>
      <c r="G1" s="1394"/>
      <c r="H1" s="1394"/>
      <c r="I1" s="1394"/>
      <c r="J1" s="1394"/>
      <c r="K1" s="1394"/>
      <c r="L1" s="1394"/>
      <c r="M1" s="1394"/>
      <c r="N1" s="1394"/>
      <c r="O1" s="1394"/>
    </row>
    <row r="2" spans="1:17" s="1395" customFormat="1" ht="18" customHeight="1">
      <c r="A2" s="1396" t="s">
        <v>70</v>
      </c>
      <c r="B2" s="1396"/>
      <c r="C2" s="1396"/>
      <c r="D2" s="1396"/>
      <c r="E2" s="1396"/>
      <c r="F2" s="1396"/>
      <c r="G2" s="1396"/>
      <c r="H2" s="1396"/>
      <c r="I2" s="1396"/>
      <c r="J2" s="1396"/>
      <c r="K2" s="1396"/>
      <c r="L2" s="1396"/>
      <c r="M2" s="1396"/>
      <c r="N2" s="1396"/>
      <c r="O2" s="1396"/>
    </row>
    <row r="3" spans="1:17" s="1395" customFormat="1" ht="18" customHeight="1">
      <c r="A3" s="1396" t="s">
        <v>69</v>
      </c>
      <c r="B3" s="1396"/>
      <c r="C3" s="1396"/>
      <c r="D3" s="1396"/>
      <c r="E3" s="1396"/>
      <c r="F3" s="1396"/>
      <c r="G3" s="1396"/>
      <c r="H3" s="1396"/>
      <c r="I3" s="1396"/>
      <c r="J3" s="1396"/>
      <c r="K3" s="1396"/>
      <c r="L3" s="1396"/>
      <c r="M3" s="1396"/>
      <c r="N3" s="1396"/>
      <c r="O3" s="1396"/>
    </row>
    <row r="4" spans="1:17">
      <c r="A4" s="824" t="s">
        <v>1144</v>
      </c>
      <c r="O4" s="824" t="s">
        <v>1145</v>
      </c>
    </row>
    <row r="5" spans="1:17" s="831" customFormat="1" ht="18.600000000000001" customHeight="1">
      <c r="A5" s="2173" t="s">
        <v>1146</v>
      </c>
      <c r="B5" s="2174"/>
      <c r="C5" s="825" t="s">
        <v>1147</v>
      </c>
      <c r="D5" s="826"/>
      <c r="E5" s="826"/>
      <c r="F5" s="826"/>
      <c r="G5" s="826"/>
      <c r="H5" s="827"/>
      <c r="I5" s="825" t="s">
        <v>1148</v>
      </c>
      <c r="J5" s="826"/>
      <c r="K5" s="826"/>
      <c r="L5" s="826"/>
      <c r="M5" s="828"/>
      <c r="N5" s="829" t="s">
        <v>1149</v>
      </c>
      <c r="O5" s="830" t="s">
        <v>1150</v>
      </c>
    </row>
    <row r="6" spans="1:17" s="831" customFormat="1" ht="32.25" customHeight="1">
      <c r="A6" s="2175"/>
      <c r="B6" s="2176"/>
      <c r="C6" s="832" t="s">
        <v>1151</v>
      </c>
      <c r="D6" s="833"/>
      <c r="E6" s="833"/>
      <c r="F6" s="833"/>
      <c r="G6" s="833"/>
      <c r="H6" s="833"/>
      <c r="I6" s="834" t="s">
        <v>1152</v>
      </c>
      <c r="J6" s="833"/>
      <c r="K6" s="833"/>
      <c r="L6" s="833"/>
      <c r="M6" s="835"/>
      <c r="N6" s="836" t="s">
        <v>1153</v>
      </c>
      <c r="O6" s="837" t="s">
        <v>1154</v>
      </c>
    </row>
    <row r="7" spans="1:17" s="831" customFormat="1" ht="18" customHeight="1">
      <c r="A7" s="2175"/>
      <c r="B7" s="2176"/>
      <c r="C7" s="838" t="s">
        <v>1155</v>
      </c>
      <c r="D7" s="839"/>
      <c r="E7" s="840" t="s">
        <v>1156</v>
      </c>
      <c r="F7" s="839"/>
      <c r="G7" s="828"/>
      <c r="H7" s="2177" t="s">
        <v>1157</v>
      </c>
      <c r="I7" s="2177" t="s">
        <v>1155</v>
      </c>
      <c r="J7" s="840" t="s">
        <v>1156</v>
      </c>
      <c r="K7" s="839"/>
      <c r="L7" s="828"/>
      <c r="M7" s="2177" t="s">
        <v>1157</v>
      </c>
      <c r="N7" s="2177" t="s">
        <v>1155</v>
      </c>
      <c r="O7" s="2177" t="s">
        <v>1058</v>
      </c>
    </row>
    <row r="8" spans="1:17" s="831" customFormat="1" ht="32.85" customHeight="1">
      <c r="A8" s="2175"/>
      <c r="B8" s="2176"/>
      <c r="C8" s="841" t="s">
        <v>1158</v>
      </c>
      <c r="D8" s="842"/>
      <c r="E8" s="841" t="s">
        <v>1159</v>
      </c>
      <c r="F8" s="842"/>
      <c r="G8" s="843"/>
      <c r="H8" s="2171"/>
      <c r="I8" s="2171"/>
      <c r="J8" s="841" t="s">
        <v>1159</v>
      </c>
      <c r="K8" s="842"/>
      <c r="L8" s="843"/>
      <c r="M8" s="2171"/>
      <c r="N8" s="2171"/>
      <c r="O8" s="2171"/>
    </row>
    <row r="9" spans="1:17" s="831" customFormat="1" ht="99">
      <c r="A9" s="2178" t="s">
        <v>372</v>
      </c>
      <c r="B9" s="2179"/>
      <c r="C9" s="844" t="s">
        <v>367</v>
      </c>
      <c r="D9" s="845" t="s">
        <v>1160</v>
      </c>
      <c r="E9" s="846" t="s">
        <v>1063</v>
      </c>
      <c r="F9" s="846" t="s">
        <v>1064</v>
      </c>
      <c r="G9" s="846" t="s">
        <v>367</v>
      </c>
      <c r="H9" s="2171" t="s">
        <v>1161</v>
      </c>
      <c r="I9" s="2171" t="s">
        <v>1162</v>
      </c>
      <c r="J9" s="846" t="s">
        <v>1063</v>
      </c>
      <c r="K9" s="846" t="s">
        <v>1064</v>
      </c>
      <c r="L9" s="846" t="s">
        <v>367</v>
      </c>
      <c r="M9" s="2171" t="s">
        <v>1163</v>
      </c>
      <c r="N9" s="2171" t="s">
        <v>1164</v>
      </c>
      <c r="O9" s="2171" t="s">
        <v>1165</v>
      </c>
    </row>
    <row r="10" spans="1:17" s="831" customFormat="1" ht="66">
      <c r="A10" s="2180"/>
      <c r="B10" s="2181"/>
      <c r="C10" s="847" t="s">
        <v>1166</v>
      </c>
      <c r="D10" s="1102" t="s">
        <v>1167</v>
      </c>
      <c r="E10" s="848" t="s">
        <v>1065</v>
      </c>
      <c r="F10" s="849" t="s">
        <v>1066</v>
      </c>
      <c r="G10" s="849" t="s">
        <v>1168</v>
      </c>
      <c r="H10" s="2172"/>
      <c r="I10" s="2172"/>
      <c r="J10" s="848" t="s">
        <v>1065</v>
      </c>
      <c r="K10" s="849" t="s">
        <v>1066</v>
      </c>
      <c r="L10" s="849" t="s">
        <v>1169</v>
      </c>
      <c r="M10" s="2172"/>
      <c r="N10" s="2172"/>
      <c r="O10" s="2172"/>
      <c r="P10" s="850"/>
      <c r="Q10" s="850"/>
    </row>
    <row r="11" spans="1:17" s="1405" customFormat="1" ht="20.25" customHeight="1">
      <c r="A11" s="1397">
        <v>2011</v>
      </c>
      <c r="B11" s="1398" t="s">
        <v>224</v>
      </c>
      <c r="C11" s="1399">
        <v>368.4</v>
      </c>
      <c r="D11" s="1399">
        <v>92.5</v>
      </c>
      <c r="E11" s="1399">
        <v>1014.1</v>
      </c>
      <c r="F11" s="1399">
        <v>815.1</v>
      </c>
      <c r="G11" s="1399">
        <f t="shared" ref="G11:G30" si="0">E11+F11</f>
        <v>1829.2</v>
      </c>
      <c r="H11" s="1400">
        <f t="shared" ref="H11:H31" si="1">C11+G11</f>
        <v>2197.6</v>
      </c>
      <c r="I11" s="1401">
        <v>52.8</v>
      </c>
      <c r="J11" s="1399">
        <v>569.6</v>
      </c>
      <c r="K11" s="1399">
        <v>1209.5</v>
      </c>
      <c r="L11" s="1399">
        <f t="shared" ref="L11:L33" si="2">J11+K11</f>
        <v>1779.1</v>
      </c>
      <c r="M11" s="1400">
        <f t="shared" ref="M11:M33" si="3">I11+L11</f>
        <v>1831.8999999999999</v>
      </c>
      <c r="N11" s="1402">
        <v>9.8000000000000007</v>
      </c>
      <c r="O11" s="1403">
        <f t="shared" ref="O11:O32" si="4">H11+M11+N11</f>
        <v>4039.3</v>
      </c>
      <c r="P11" s="1404"/>
      <c r="Q11" s="1404"/>
    </row>
    <row r="12" spans="1:17" s="1414" customFormat="1" ht="14.25" customHeight="1">
      <c r="A12" s="1406"/>
      <c r="B12" s="1407" t="s">
        <v>225</v>
      </c>
      <c r="C12" s="1408">
        <v>361.1</v>
      </c>
      <c r="D12" s="1408">
        <v>84.5</v>
      </c>
      <c r="E12" s="1408">
        <v>980.7</v>
      </c>
      <c r="F12" s="1408">
        <v>870.6</v>
      </c>
      <c r="G12" s="1408">
        <f t="shared" si="0"/>
        <v>1851.3000000000002</v>
      </c>
      <c r="H12" s="1409">
        <f t="shared" si="1"/>
        <v>2212.4</v>
      </c>
      <c r="I12" s="1410">
        <v>24.7</v>
      </c>
      <c r="J12" s="1408">
        <v>586.9</v>
      </c>
      <c r="K12" s="1408">
        <v>1144.0999999999999</v>
      </c>
      <c r="L12" s="1408">
        <f t="shared" si="2"/>
        <v>1731</v>
      </c>
      <c r="M12" s="1409">
        <f t="shared" si="3"/>
        <v>1755.7</v>
      </c>
      <c r="N12" s="1411">
        <v>9.9</v>
      </c>
      <c r="O12" s="1412">
        <f t="shared" si="4"/>
        <v>3978.0000000000005</v>
      </c>
      <c r="P12" s="1413"/>
      <c r="Q12" s="1413"/>
    </row>
    <row r="13" spans="1:17" s="1405" customFormat="1" ht="20.25" customHeight="1">
      <c r="A13" s="1397">
        <v>2012</v>
      </c>
      <c r="B13" s="1398" t="s">
        <v>222</v>
      </c>
      <c r="C13" s="1399">
        <v>362.1</v>
      </c>
      <c r="D13" s="1399">
        <v>78.8</v>
      </c>
      <c r="E13" s="1399">
        <v>894.2</v>
      </c>
      <c r="F13" s="1399">
        <v>851</v>
      </c>
      <c r="G13" s="1399">
        <f t="shared" si="0"/>
        <v>1745.2</v>
      </c>
      <c r="H13" s="1400">
        <f t="shared" si="1"/>
        <v>2107.3000000000002</v>
      </c>
      <c r="I13" s="1401">
        <v>21.7</v>
      </c>
      <c r="J13" s="1399">
        <v>640.79999999999995</v>
      </c>
      <c r="K13" s="1399">
        <v>1110.9000000000001</v>
      </c>
      <c r="L13" s="1399">
        <f t="shared" si="2"/>
        <v>1751.7</v>
      </c>
      <c r="M13" s="1400">
        <f t="shared" si="3"/>
        <v>1773.4</v>
      </c>
      <c r="N13" s="1402">
        <v>9.4</v>
      </c>
      <c r="O13" s="1403">
        <f t="shared" si="4"/>
        <v>3890.1000000000004</v>
      </c>
      <c r="P13" s="1404"/>
      <c r="Q13" s="1404"/>
    </row>
    <row r="14" spans="1:17" s="1414" customFormat="1" ht="14.25" customHeight="1">
      <c r="A14" s="1406"/>
      <c r="B14" s="1407" t="s">
        <v>223</v>
      </c>
      <c r="C14" s="1408">
        <v>364.4</v>
      </c>
      <c r="D14" s="1408">
        <v>82.9</v>
      </c>
      <c r="E14" s="1408">
        <v>4099.7</v>
      </c>
      <c r="F14" s="1408">
        <v>703</v>
      </c>
      <c r="G14" s="1408">
        <f t="shared" si="0"/>
        <v>4802.7</v>
      </c>
      <c r="H14" s="1409">
        <f t="shared" si="1"/>
        <v>5167.0999999999995</v>
      </c>
      <c r="I14" s="1410">
        <v>28</v>
      </c>
      <c r="J14" s="1408">
        <v>625.6</v>
      </c>
      <c r="K14" s="1408">
        <v>1054</v>
      </c>
      <c r="L14" s="1408">
        <f t="shared" si="2"/>
        <v>1679.6</v>
      </c>
      <c r="M14" s="1409">
        <f t="shared" si="3"/>
        <v>1707.6</v>
      </c>
      <c r="N14" s="1411">
        <v>9.6</v>
      </c>
      <c r="O14" s="1412">
        <f t="shared" si="4"/>
        <v>6884.2999999999993</v>
      </c>
      <c r="P14" s="1413"/>
      <c r="Q14" s="1413"/>
    </row>
    <row r="15" spans="1:17" s="1414" customFormat="1" ht="14.25" customHeight="1">
      <c r="A15" s="1406"/>
      <c r="B15" s="1407" t="s">
        <v>224</v>
      </c>
      <c r="C15" s="1408">
        <v>427.1</v>
      </c>
      <c r="D15" s="1408">
        <v>59.8</v>
      </c>
      <c r="E15" s="1408">
        <v>4095.1</v>
      </c>
      <c r="F15" s="1408">
        <v>430</v>
      </c>
      <c r="G15" s="1408">
        <f t="shared" si="0"/>
        <v>4525.1000000000004</v>
      </c>
      <c r="H15" s="1409">
        <f t="shared" si="1"/>
        <v>4952.2000000000007</v>
      </c>
      <c r="I15" s="1410">
        <v>21.3</v>
      </c>
      <c r="J15" s="1408">
        <v>640.29999999999995</v>
      </c>
      <c r="K15" s="1408">
        <v>1054.7</v>
      </c>
      <c r="L15" s="1408">
        <f t="shared" si="2"/>
        <v>1695</v>
      </c>
      <c r="M15" s="1409">
        <f t="shared" si="3"/>
        <v>1716.3</v>
      </c>
      <c r="N15" s="1411">
        <v>9.6</v>
      </c>
      <c r="O15" s="1412">
        <f t="shared" si="4"/>
        <v>6678.1000000000013</v>
      </c>
      <c r="P15" s="1413"/>
      <c r="Q15" s="1413"/>
    </row>
    <row r="16" spans="1:17" s="1414" customFormat="1" ht="14.25" customHeight="1">
      <c r="A16" s="1406"/>
      <c r="B16" s="1407" t="s">
        <v>225</v>
      </c>
      <c r="C16" s="1408">
        <v>374</v>
      </c>
      <c r="D16" s="1408">
        <v>90.5</v>
      </c>
      <c r="E16" s="1408">
        <v>3868.4</v>
      </c>
      <c r="F16" s="1408">
        <v>744.1</v>
      </c>
      <c r="G16" s="1408">
        <f t="shared" si="0"/>
        <v>4612.5</v>
      </c>
      <c r="H16" s="1409">
        <f t="shared" si="1"/>
        <v>4986.5</v>
      </c>
      <c r="I16" s="1410">
        <v>22.3</v>
      </c>
      <c r="J16" s="1408">
        <v>625.20000000000005</v>
      </c>
      <c r="K16" s="1408">
        <v>1001.2</v>
      </c>
      <c r="L16" s="1408">
        <f t="shared" si="2"/>
        <v>1626.4</v>
      </c>
      <c r="M16" s="1409">
        <f t="shared" si="3"/>
        <v>1648.7</v>
      </c>
      <c r="N16" s="1411">
        <v>9.6999999999999993</v>
      </c>
      <c r="O16" s="1412">
        <f t="shared" si="4"/>
        <v>6644.9</v>
      </c>
      <c r="P16" s="1413"/>
      <c r="Q16" s="1413"/>
    </row>
    <row r="17" spans="1:17" s="1405" customFormat="1" ht="20.25" customHeight="1">
      <c r="A17" s="1397">
        <v>2013</v>
      </c>
      <c r="B17" s="1398" t="s">
        <v>222</v>
      </c>
      <c r="C17" s="1399">
        <v>381.3</v>
      </c>
      <c r="D17" s="1399">
        <v>88.3</v>
      </c>
      <c r="E17" s="1399">
        <v>3916.9</v>
      </c>
      <c r="F17" s="1399">
        <v>709.7</v>
      </c>
      <c r="G17" s="1399">
        <f t="shared" si="0"/>
        <v>4626.6000000000004</v>
      </c>
      <c r="H17" s="1400">
        <f t="shared" si="1"/>
        <v>5007.9000000000005</v>
      </c>
      <c r="I17" s="1401">
        <v>21.9</v>
      </c>
      <c r="J17" s="1399">
        <v>804</v>
      </c>
      <c r="K17" s="1399">
        <v>1085.3</v>
      </c>
      <c r="L17" s="1399">
        <f t="shared" si="2"/>
        <v>1889.3</v>
      </c>
      <c r="M17" s="1400">
        <f t="shared" si="3"/>
        <v>1911.2</v>
      </c>
      <c r="N17" s="1402">
        <v>9</v>
      </c>
      <c r="O17" s="1403">
        <f t="shared" si="4"/>
        <v>6928.1</v>
      </c>
      <c r="P17" s="1404"/>
      <c r="Q17" s="1404"/>
    </row>
    <row r="18" spans="1:17" s="1414" customFormat="1" ht="14.25" customHeight="1">
      <c r="A18" s="1406"/>
      <c r="B18" s="1407" t="s">
        <v>223</v>
      </c>
      <c r="C18" s="1408">
        <v>469.9</v>
      </c>
      <c r="D18" s="1408">
        <v>164.1</v>
      </c>
      <c r="E18" s="1408">
        <v>3971.1</v>
      </c>
      <c r="F18" s="1408">
        <v>779.5</v>
      </c>
      <c r="G18" s="1408">
        <f t="shared" si="0"/>
        <v>4750.6000000000004</v>
      </c>
      <c r="H18" s="1409">
        <f t="shared" si="1"/>
        <v>5220.5</v>
      </c>
      <c r="I18" s="1410">
        <v>24.9</v>
      </c>
      <c r="J18" s="1408">
        <v>876.2</v>
      </c>
      <c r="K18" s="1408">
        <v>1186.4000000000001</v>
      </c>
      <c r="L18" s="1408">
        <f t="shared" si="2"/>
        <v>2062.6000000000004</v>
      </c>
      <c r="M18" s="1409">
        <f t="shared" si="3"/>
        <v>2087.5000000000005</v>
      </c>
      <c r="N18" s="1411">
        <v>8.3000000000000007</v>
      </c>
      <c r="O18" s="1412">
        <f t="shared" si="4"/>
        <v>7316.3</v>
      </c>
      <c r="P18" s="1413"/>
      <c r="Q18" s="1413"/>
    </row>
    <row r="19" spans="1:17" s="1414" customFormat="1" ht="14.25" customHeight="1">
      <c r="A19" s="1406"/>
      <c r="B19" s="1407" t="s">
        <v>224</v>
      </c>
      <c r="C19" s="1408">
        <v>466.6</v>
      </c>
      <c r="D19" s="1408">
        <v>167.6</v>
      </c>
      <c r="E19" s="1408">
        <v>4020.4</v>
      </c>
      <c r="F19" s="1408">
        <v>808</v>
      </c>
      <c r="G19" s="1408">
        <f t="shared" si="0"/>
        <v>4828.3999999999996</v>
      </c>
      <c r="H19" s="1409">
        <f t="shared" si="1"/>
        <v>5295</v>
      </c>
      <c r="I19" s="1410">
        <v>27.3</v>
      </c>
      <c r="J19" s="1408">
        <v>837.2</v>
      </c>
      <c r="K19" s="1408">
        <v>1023.3</v>
      </c>
      <c r="L19" s="1408">
        <f t="shared" si="2"/>
        <v>1860.5</v>
      </c>
      <c r="M19" s="1409">
        <f t="shared" si="3"/>
        <v>1887.8</v>
      </c>
      <c r="N19" s="1411">
        <v>8.9</v>
      </c>
      <c r="O19" s="1412">
        <f t="shared" si="4"/>
        <v>7191.7</v>
      </c>
      <c r="P19" s="1413"/>
      <c r="Q19" s="1413"/>
    </row>
    <row r="20" spans="1:17" s="1414" customFormat="1" ht="14.25" customHeight="1">
      <c r="A20" s="1406"/>
      <c r="B20" s="1407" t="s">
        <v>225</v>
      </c>
      <c r="C20" s="1408">
        <v>478.6</v>
      </c>
      <c r="D20" s="1408">
        <v>180.1</v>
      </c>
      <c r="E20" s="1408">
        <v>4123</v>
      </c>
      <c r="F20" s="1408">
        <v>850.1</v>
      </c>
      <c r="G20" s="1408">
        <f t="shared" si="0"/>
        <v>4973.1000000000004</v>
      </c>
      <c r="H20" s="1409">
        <f t="shared" si="1"/>
        <v>5451.7000000000007</v>
      </c>
      <c r="I20" s="1410">
        <v>27.8</v>
      </c>
      <c r="J20" s="1408">
        <v>899.9</v>
      </c>
      <c r="K20" s="1408">
        <v>866</v>
      </c>
      <c r="L20" s="1408">
        <f t="shared" si="2"/>
        <v>1765.9</v>
      </c>
      <c r="M20" s="1409">
        <f t="shared" si="3"/>
        <v>1793.7</v>
      </c>
      <c r="N20" s="1411">
        <v>8.9</v>
      </c>
      <c r="O20" s="1412">
        <f t="shared" si="4"/>
        <v>7254.3</v>
      </c>
      <c r="P20" s="1413"/>
      <c r="Q20" s="1413"/>
    </row>
    <row r="21" spans="1:17" s="1405" customFormat="1" ht="20.25" customHeight="1">
      <c r="A21" s="1397">
        <v>2014</v>
      </c>
      <c r="B21" s="1398" t="s">
        <v>222</v>
      </c>
      <c r="C21" s="1399">
        <v>467.1</v>
      </c>
      <c r="D21" s="1399">
        <v>118</v>
      </c>
      <c r="E21" s="1399">
        <v>3648.8</v>
      </c>
      <c r="F21" s="1399">
        <v>693.3</v>
      </c>
      <c r="G21" s="1399">
        <f t="shared" si="0"/>
        <v>4342.1000000000004</v>
      </c>
      <c r="H21" s="1400">
        <f t="shared" si="1"/>
        <v>4809.2000000000007</v>
      </c>
      <c r="I21" s="1401">
        <v>23.7</v>
      </c>
      <c r="J21" s="1399">
        <v>936.2</v>
      </c>
      <c r="K21" s="1399">
        <v>905.8</v>
      </c>
      <c r="L21" s="1399">
        <f t="shared" si="2"/>
        <v>1842</v>
      </c>
      <c r="M21" s="1400">
        <f t="shared" si="3"/>
        <v>1865.7</v>
      </c>
      <c r="N21" s="1402">
        <v>9.1</v>
      </c>
      <c r="O21" s="1403">
        <f t="shared" si="4"/>
        <v>6684.0000000000009</v>
      </c>
      <c r="P21" s="1404"/>
      <c r="Q21" s="1404"/>
    </row>
    <row r="22" spans="1:17" s="1414" customFormat="1" ht="14.25" customHeight="1">
      <c r="A22" s="1406"/>
      <c r="B22" s="1407" t="s">
        <v>223</v>
      </c>
      <c r="C22" s="1408">
        <v>499.9</v>
      </c>
      <c r="D22" s="1408">
        <v>110</v>
      </c>
      <c r="E22" s="1408">
        <v>3747.7</v>
      </c>
      <c r="F22" s="1408">
        <v>727.1</v>
      </c>
      <c r="G22" s="1408">
        <f t="shared" si="0"/>
        <v>4474.8</v>
      </c>
      <c r="H22" s="1409">
        <f t="shared" si="1"/>
        <v>4974.7</v>
      </c>
      <c r="I22" s="1410">
        <v>27.7</v>
      </c>
      <c r="J22" s="1408">
        <v>1320.6</v>
      </c>
      <c r="K22" s="1408">
        <v>951.9</v>
      </c>
      <c r="L22" s="1408">
        <f t="shared" si="2"/>
        <v>2272.5</v>
      </c>
      <c r="M22" s="1409">
        <f t="shared" si="3"/>
        <v>2300.1999999999998</v>
      </c>
      <c r="N22" s="1411">
        <v>9.1</v>
      </c>
      <c r="O22" s="1412">
        <f t="shared" si="4"/>
        <v>7284</v>
      </c>
      <c r="P22" s="1413"/>
      <c r="Q22" s="1413"/>
    </row>
    <row r="23" spans="1:17" s="1414" customFormat="1" ht="14.25" customHeight="1">
      <c r="A23" s="1406"/>
      <c r="B23" s="1407" t="s">
        <v>224</v>
      </c>
      <c r="C23" s="1408">
        <v>464.8</v>
      </c>
      <c r="D23" s="1408">
        <v>112</v>
      </c>
      <c r="E23" s="1408">
        <v>3767.7</v>
      </c>
      <c r="F23" s="1408">
        <v>707.2</v>
      </c>
      <c r="G23" s="1408">
        <f t="shared" si="0"/>
        <v>4474.8999999999996</v>
      </c>
      <c r="H23" s="1409">
        <f t="shared" si="1"/>
        <v>4939.7</v>
      </c>
      <c r="I23" s="1410">
        <v>26.4</v>
      </c>
      <c r="J23" s="1408">
        <v>1401.7</v>
      </c>
      <c r="K23" s="1408">
        <v>886.8</v>
      </c>
      <c r="L23" s="1408">
        <f t="shared" si="2"/>
        <v>2288.5</v>
      </c>
      <c r="M23" s="1409">
        <f t="shared" si="3"/>
        <v>2314.9</v>
      </c>
      <c r="N23" s="1411">
        <v>9.4</v>
      </c>
      <c r="O23" s="1412">
        <f t="shared" si="4"/>
        <v>7264</v>
      </c>
      <c r="P23" s="1413"/>
      <c r="Q23" s="1413"/>
    </row>
    <row r="24" spans="1:17" s="1414" customFormat="1" ht="14.25" customHeight="1">
      <c r="A24" s="1406"/>
      <c r="B24" s="1407" t="s">
        <v>225</v>
      </c>
      <c r="C24" s="1408">
        <v>597.9</v>
      </c>
      <c r="D24" s="1408">
        <v>144.4</v>
      </c>
      <c r="E24" s="1408">
        <v>4294.8</v>
      </c>
      <c r="F24" s="1408">
        <v>859.8</v>
      </c>
      <c r="G24" s="1408">
        <f t="shared" si="0"/>
        <v>5154.6000000000004</v>
      </c>
      <c r="H24" s="1409">
        <f t="shared" si="1"/>
        <v>5752.5</v>
      </c>
      <c r="I24" s="1410">
        <v>27.7</v>
      </c>
      <c r="J24" s="1408">
        <v>1320.4</v>
      </c>
      <c r="K24" s="1408">
        <v>778</v>
      </c>
      <c r="L24" s="1408">
        <f t="shared" si="2"/>
        <v>2098.4</v>
      </c>
      <c r="M24" s="1409">
        <f t="shared" si="3"/>
        <v>2126.1</v>
      </c>
      <c r="N24" s="1411">
        <v>11.3</v>
      </c>
      <c r="O24" s="1412">
        <f t="shared" si="4"/>
        <v>7889.9000000000005</v>
      </c>
      <c r="P24" s="1413"/>
      <c r="Q24" s="1413"/>
    </row>
    <row r="25" spans="1:17" s="1405" customFormat="1" ht="20.25" customHeight="1">
      <c r="A25" s="1397">
        <v>2015</v>
      </c>
      <c r="B25" s="1398" t="s">
        <v>222</v>
      </c>
      <c r="C25" s="1399">
        <v>542.5</v>
      </c>
      <c r="D25" s="1399">
        <v>136.1</v>
      </c>
      <c r="E25" s="1399">
        <v>4317.8</v>
      </c>
      <c r="F25" s="1399">
        <v>842.4</v>
      </c>
      <c r="G25" s="1399">
        <f t="shared" si="0"/>
        <v>5160.2</v>
      </c>
      <c r="H25" s="1400">
        <f t="shared" si="1"/>
        <v>5702.7</v>
      </c>
      <c r="I25" s="1401">
        <v>28.3</v>
      </c>
      <c r="J25" s="1399">
        <v>1406.6</v>
      </c>
      <c r="K25" s="1399">
        <v>793.7</v>
      </c>
      <c r="L25" s="1399">
        <f t="shared" si="2"/>
        <v>2200.3000000000002</v>
      </c>
      <c r="M25" s="1400">
        <f t="shared" si="3"/>
        <v>2228.6000000000004</v>
      </c>
      <c r="N25" s="1402">
        <v>11.4</v>
      </c>
      <c r="O25" s="1403">
        <f t="shared" si="4"/>
        <v>7942.7</v>
      </c>
      <c r="P25" s="1404"/>
      <c r="Q25" s="1404"/>
    </row>
    <row r="26" spans="1:17" s="1414" customFormat="1" ht="14.25" customHeight="1">
      <c r="A26" s="1406"/>
      <c r="B26" s="1407" t="s">
        <v>223</v>
      </c>
      <c r="C26" s="1408">
        <v>581.1</v>
      </c>
      <c r="D26" s="1408">
        <v>124.8</v>
      </c>
      <c r="E26" s="1408">
        <v>4340.1000000000004</v>
      </c>
      <c r="F26" s="1408">
        <v>979.2</v>
      </c>
      <c r="G26" s="1408">
        <f t="shared" si="0"/>
        <v>5319.3</v>
      </c>
      <c r="H26" s="1409">
        <f t="shared" si="1"/>
        <v>5900.4000000000005</v>
      </c>
      <c r="I26" s="1410">
        <v>36.299999999999997</v>
      </c>
      <c r="J26" s="1408">
        <v>1391.5</v>
      </c>
      <c r="K26" s="1408">
        <v>797.9</v>
      </c>
      <c r="L26" s="1408">
        <f t="shared" si="2"/>
        <v>2189.4</v>
      </c>
      <c r="M26" s="1409">
        <f t="shared" si="3"/>
        <v>2225.7000000000003</v>
      </c>
      <c r="N26" s="1411">
        <v>11.4</v>
      </c>
      <c r="O26" s="1412">
        <f t="shared" si="4"/>
        <v>8137.5</v>
      </c>
      <c r="P26" s="1413"/>
      <c r="Q26" s="1413"/>
    </row>
    <row r="27" spans="1:17" s="1414" customFormat="1" ht="14.25" customHeight="1">
      <c r="A27" s="1406"/>
      <c r="B27" s="1407" t="s">
        <v>224</v>
      </c>
      <c r="C27" s="1408">
        <v>450.7</v>
      </c>
      <c r="D27" s="1408">
        <v>62.7</v>
      </c>
      <c r="E27" s="1408">
        <v>3756.5</v>
      </c>
      <c r="F27" s="1408">
        <v>898</v>
      </c>
      <c r="G27" s="1408">
        <f t="shared" si="0"/>
        <v>4654.5</v>
      </c>
      <c r="H27" s="1409">
        <f t="shared" si="1"/>
        <v>5105.2</v>
      </c>
      <c r="I27" s="1410">
        <v>30.3</v>
      </c>
      <c r="J27" s="1408">
        <v>1375.1</v>
      </c>
      <c r="K27" s="1408">
        <v>731.9</v>
      </c>
      <c r="L27" s="1408">
        <f t="shared" si="2"/>
        <v>2107</v>
      </c>
      <c r="M27" s="1409">
        <f t="shared" si="3"/>
        <v>2137.3000000000002</v>
      </c>
      <c r="N27" s="1411">
        <v>9.6999999999999993</v>
      </c>
      <c r="O27" s="1412">
        <f t="shared" si="4"/>
        <v>7252.2</v>
      </c>
      <c r="P27" s="1413"/>
      <c r="Q27" s="1413"/>
    </row>
    <row r="28" spans="1:17" s="1414" customFormat="1" ht="14.25" customHeight="1">
      <c r="A28" s="1406"/>
      <c r="B28" s="1407" t="s">
        <v>225</v>
      </c>
      <c r="C28" s="1408">
        <v>318.89999999999998</v>
      </c>
      <c r="D28" s="1408">
        <v>45.6</v>
      </c>
      <c r="E28" s="1408">
        <v>3770.7</v>
      </c>
      <c r="F28" s="1408">
        <v>890.3</v>
      </c>
      <c r="G28" s="1408">
        <f t="shared" si="0"/>
        <v>4661</v>
      </c>
      <c r="H28" s="1409">
        <f t="shared" si="1"/>
        <v>4979.8999999999996</v>
      </c>
      <c r="I28" s="1410">
        <v>42</v>
      </c>
      <c r="J28" s="1408">
        <v>1368.9</v>
      </c>
      <c r="K28" s="1408">
        <v>699.7</v>
      </c>
      <c r="L28" s="1408">
        <f t="shared" si="2"/>
        <v>2068.6000000000004</v>
      </c>
      <c r="M28" s="1409">
        <f t="shared" si="3"/>
        <v>2110.6000000000004</v>
      </c>
      <c r="N28" s="1411">
        <v>10.1</v>
      </c>
      <c r="O28" s="1412">
        <f t="shared" si="4"/>
        <v>7100.6</v>
      </c>
      <c r="P28" s="1413"/>
      <c r="Q28" s="1413"/>
    </row>
    <row r="29" spans="1:17" s="1405" customFormat="1" ht="20.25" customHeight="1">
      <c r="A29" s="1397">
        <v>2016</v>
      </c>
      <c r="B29" s="1398" t="s">
        <v>222</v>
      </c>
      <c r="C29" s="1399">
        <v>286.60000000000002</v>
      </c>
      <c r="D29" s="1399">
        <v>46.1</v>
      </c>
      <c r="E29" s="1399">
        <v>3648.4</v>
      </c>
      <c r="F29" s="1399">
        <v>856.8</v>
      </c>
      <c r="G29" s="1399">
        <f t="shared" si="0"/>
        <v>4505.2</v>
      </c>
      <c r="H29" s="1400">
        <f t="shared" si="1"/>
        <v>4791.8</v>
      </c>
      <c r="I29" s="1401">
        <v>42.6</v>
      </c>
      <c r="J29" s="1399">
        <v>1338.3</v>
      </c>
      <c r="K29" s="1399">
        <v>669.6</v>
      </c>
      <c r="L29" s="1399">
        <f t="shared" si="2"/>
        <v>2007.9</v>
      </c>
      <c r="M29" s="1400">
        <f t="shared" si="3"/>
        <v>2050.5</v>
      </c>
      <c r="N29" s="1402">
        <v>7.9</v>
      </c>
      <c r="O29" s="1403">
        <f t="shared" si="4"/>
        <v>6850.2</v>
      </c>
      <c r="P29" s="1404"/>
      <c r="Q29" s="1404"/>
    </row>
    <row r="30" spans="1:17" s="1414" customFormat="1" ht="14.25" customHeight="1">
      <c r="A30" s="1406"/>
      <c r="B30" s="1407" t="s">
        <v>223</v>
      </c>
      <c r="C30" s="1408">
        <v>277.8</v>
      </c>
      <c r="D30" s="1408">
        <v>49</v>
      </c>
      <c r="E30" s="1408">
        <v>3634</v>
      </c>
      <c r="F30" s="1408">
        <v>912.2</v>
      </c>
      <c r="G30" s="1408">
        <f t="shared" si="0"/>
        <v>4546.2</v>
      </c>
      <c r="H30" s="1409">
        <f t="shared" si="1"/>
        <v>4824</v>
      </c>
      <c r="I30" s="1410">
        <v>36.1</v>
      </c>
      <c r="J30" s="1408">
        <v>1367.5</v>
      </c>
      <c r="K30" s="1408">
        <v>609.1</v>
      </c>
      <c r="L30" s="1408">
        <f t="shared" si="2"/>
        <v>1976.6</v>
      </c>
      <c r="M30" s="1409">
        <f t="shared" si="3"/>
        <v>2012.6999999999998</v>
      </c>
      <c r="N30" s="1411">
        <v>8.9</v>
      </c>
      <c r="O30" s="1412">
        <f t="shared" si="4"/>
        <v>6845.5999999999995</v>
      </c>
      <c r="P30" s="1413"/>
      <c r="Q30" s="1413"/>
    </row>
    <row r="31" spans="1:17" s="1414" customFormat="1" ht="14.25" customHeight="1">
      <c r="A31" s="1406"/>
      <c r="B31" s="1407" t="s">
        <v>224</v>
      </c>
      <c r="C31" s="1408">
        <v>268.89999999999998</v>
      </c>
      <c r="D31" s="1408">
        <v>44.5</v>
      </c>
      <c r="E31" s="1408">
        <v>3653.8</v>
      </c>
      <c r="F31" s="1408">
        <v>924.9</v>
      </c>
      <c r="G31" s="1408">
        <v>4578.7</v>
      </c>
      <c r="H31" s="1409">
        <f t="shared" si="1"/>
        <v>4847.5999999999995</v>
      </c>
      <c r="I31" s="1410">
        <v>47.7</v>
      </c>
      <c r="J31" s="1408">
        <v>1462.4</v>
      </c>
      <c r="K31" s="1408">
        <v>624.29999999999995</v>
      </c>
      <c r="L31" s="1408">
        <f t="shared" si="2"/>
        <v>2086.6999999999998</v>
      </c>
      <c r="M31" s="1409">
        <f t="shared" si="3"/>
        <v>2134.3999999999996</v>
      </c>
      <c r="N31" s="1411">
        <v>8.6999999999999993</v>
      </c>
      <c r="O31" s="1412">
        <f t="shared" si="4"/>
        <v>6990.6999999999989</v>
      </c>
      <c r="P31" s="1413"/>
      <c r="Q31" s="1413"/>
    </row>
    <row r="32" spans="1:17" s="1414" customFormat="1" ht="14.25" customHeight="1">
      <c r="A32" s="1406"/>
      <c r="B32" s="1407" t="s">
        <v>225</v>
      </c>
      <c r="C32" s="1408">
        <v>286.2</v>
      </c>
      <c r="D32" s="1408">
        <v>50.3</v>
      </c>
      <c r="E32" s="1408">
        <v>3656.7</v>
      </c>
      <c r="F32" s="1408">
        <v>947.9</v>
      </c>
      <c r="G32" s="1408">
        <v>4604.6000000000004</v>
      </c>
      <c r="H32" s="1409">
        <f>C32+G32</f>
        <v>4890.8</v>
      </c>
      <c r="I32" s="1410">
        <v>30.6</v>
      </c>
      <c r="J32" s="1408">
        <v>1631.1</v>
      </c>
      <c r="K32" s="1408">
        <v>667.5</v>
      </c>
      <c r="L32" s="1408">
        <f t="shared" si="2"/>
        <v>2298.6</v>
      </c>
      <c r="M32" s="1409">
        <f t="shared" si="3"/>
        <v>2329.1999999999998</v>
      </c>
      <c r="N32" s="1411">
        <v>9.6999999999999993</v>
      </c>
      <c r="O32" s="1412">
        <f t="shared" si="4"/>
        <v>7229.7</v>
      </c>
      <c r="P32" s="1413"/>
      <c r="Q32" s="1413"/>
    </row>
    <row r="33" spans="1:17" s="1405" customFormat="1" ht="20.25" customHeight="1">
      <c r="A33" s="1397">
        <v>2017</v>
      </c>
      <c r="B33" s="1398" t="s">
        <v>222</v>
      </c>
      <c r="C33" s="1399">
        <v>290.89999999999998</v>
      </c>
      <c r="D33" s="1399">
        <v>54.8</v>
      </c>
      <c r="E33" s="1399">
        <v>3724.5</v>
      </c>
      <c r="F33" s="1399">
        <v>922.4</v>
      </c>
      <c r="G33" s="1399">
        <v>4646.8999999999996</v>
      </c>
      <c r="H33" s="1400">
        <f>C33+G33</f>
        <v>4937.7999999999993</v>
      </c>
      <c r="I33" s="1401">
        <v>32.700000000000003</v>
      </c>
      <c r="J33" s="1399">
        <v>1734</v>
      </c>
      <c r="K33" s="1399">
        <v>677.2</v>
      </c>
      <c r="L33" s="1399">
        <f t="shared" si="2"/>
        <v>2411.1999999999998</v>
      </c>
      <c r="M33" s="1400">
        <f t="shared" si="3"/>
        <v>2443.8999999999996</v>
      </c>
      <c r="N33" s="1402">
        <v>9.1999999999999993</v>
      </c>
      <c r="O33" s="1403">
        <f>H33+M33+N33</f>
        <v>7390.8999999999987</v>
      </c>
      <c r="P33" s="1404"/>
      <c r="Q33" s="1404"/>
    </row>
    <row r="34" spans="1:17" s="1414" customFormat="1" ht="14.25" customHeight="1">
      <c r="A34" s="1406"/>
      <c r="B34" s="1407" t="s">
        <v>223</v>
      </c>
      <c r="C34" s="1408">
        <v>289.25799999999998</v>
      </c>
      <c r="D34" s="1408">
        <v>57.895000000000003</v>
      </c>
      <c r="E34" s="1408">
        <v>3781.3429999999998</v>
      </c>
      <c r="F34" s="1408">
        <v>959.23400000000004</v>
      </c>
      <c r="G34" s="1408">
        <v>4740.5780000000004</v>
      </c>
      <c r="H34" s="1409">
        <v>5029.8360000000002</v>
      </c>
      <c r="I34" s="1410">
        <v>35.08</v>
      </c>
      <c r="J34" s="1408">
        <v>1809.6420000000001</v>
      </c>
      <c r="K34" s="1408">
        <v>694.65800000000002</v>
      </c>
      <c r="L34" s="1408">
        <v>2504.3000000000002</v>
      </c>
      <c r="M34" s="1409">
        <v>2539.38</v>
      </c>
      <c r="N34" s="1411">
        <v>8.5869999999999997</v>
      </c>
      <c r="O34" s="1412">
        <f>H34+M34+N34</f>
        <v>7577.8030000000008</v>
      </c>
      <c r="P34" s="1413"/>
      <c r="Q34" s="1413"/>
    </row>
    <row r="35" spans="1:17" s="1414" customFormat="1" ht="14.25" customHeight="1">
      <c r="A35" s="1406"/>
      <c r="B35" s="1407" t="s">
        <v>224</v>
      </c>
      <c r="C35" s="1408">
        <v>291.5</v>
      </c>
      <c r="D35" s="1408">
        <v>58.6</v>
      </c>
      <c r="E35" s="1408">
        <v>3821.9</v>
      </c>
      <c r="F35" s="1408">
        <v>986.1</v>
      </c>
      <c r="G35" s="1408">
        <v>4808</v>
      </c>
      <c r="H35" s="1409">
        <v>5099.5</v>
      </c>
      <c r="I35" s="1410">
        <v>38.299999999999997</v>
      </c>
      <c r="J35" s="1408">
        <v>1797.2</v>
      </c>
      <c r="K35" s="1408">
        <v>742.9</v>
      </c>
      <c r="L35" s="1408">
        <v>2540</v>
      </c>
      <c r="M35" s="1409">
        <v>2578.3000000000002</v>
      </c>
      <c r="N35" s="1411">
        <v>8.3000000000000007</v>
      </c>
      <c r="O35" s="1412">
        <v>7686.1</v>
      </c>
      <c r="P35" s="1413"/>
      <c r="Q35" s="1413"/>
    </row>
    <row r="36" spans="1:17" s="1414" customFormat="1" ht="14.25" customHeight="1">
      <c r="A36" s="1406"/>
      <c r="B36" s="1407" t="s">
        <v>225</v>
      </c>
      <c r="C36" s="1408">
        <v>291.10000000000002</v>
      </c>
      <c r="D36" s="1408">
        <v>51.57</v>
      </c>
      <c r="E36" s="1408">
        <v>3854.95</v>
      </c>
      <c r="F36" s="1408">
        <v>942.2</v>
      </c>
      <c r="G36" s="1408">
        <v>4794.2</v>
      </c>
      <c r="H36" s="1409">
        <v>5085.3</v>
      </c>
      <c r="I36" s="1410">
        <v>36.69</v>
      </c>
      <c r="J36" s="1408">
        <v>1767.49</v>
      </c>
      <c r="K36" s="1408">
        <v>730.35</v>
      </c>
      <c r="L36" s="1408">
        <v>2497.8000000000002</v>
      </c>
      <c r="M36" s="1409">
        <v>2534.5</v>
      </c>
      <c r="N36" s="1411">
        <v>8.6999999999999993</v>
      </c>
      <c r="O36" s="1412">
        <v>7628.5</v>
      </c>
      <c r="P36" s="1413"/>
      <c r="Q36" s="1413"/>
    </row>
    <row r="37" spans="1:17" s="1405" customFormat="1" ht="20.25" customHeight="1">
      <c r="A37" s="1397">
        <v>2018</v>
      </c>
      <c r="B37" s="1398" t="s">
        <v>222</v>
      </c>
      <c r="C37" s="1399">
        <v>281.00400000000002</v>
      </c>
      <c r="D37" s="1399">
        <v>59.970999999999997</v>
      </c>
      <c r="E37" s="1399">
        <v>3894.6579999999999</v>
      </c>
      <c r="F37" s="1399">
        <v>902.78499999999997</v>
      </c>
      <c r="G37" s="1399">
        <f>+F37+E37</f>
        <v>4797.4430000000002</v>
      </c>
      <c r="H37" s="1400">
        <f>+C37+G37</f>
        <v>5078.4470000000001</v>
      </c>
      <c r="I37" s="1401">
        <v>39.543999999999997</v>
      </c>
      <c r="J37" s="1399">
        <v>1869.028</v>
      </c>
      <c r="K37" s="1399">
        <v>746.67100000000005</v>
      </c>
      <c r="L37" s="1399">
        <f>+J37+K37</f>
        <v>2615.6990000000001</v>
      </c>
      <c r="M37" s="1400">
        <f>+I37+L37</f>
        <v>2655.2429999999999</v>
      </c>
      <c r="N37" s="1402">
        <v>8.4260000000000002</v>
      </c>
      <c r="O37" s="1403">
        <f>+H37+M37+N37</f>
        <v>7742.1160000000009</v>
      </c>
      <c r="P37" s="1404"/>
      <c r="Q37" s="1404"/>
    </row>
    <row r="38" spans="1:17" s="1414" customFormat="1" ht="14.25" customHeight="1">
      <c r="A38" s="1406"/>
      <c r="B38" s="1407" t="s">
        <v>223</v>
      </c>
      <c r="C38" s="1408">
        <v>286.05</v>
      </c>
      <c r="D38" s="1408">
        <v>57.78</v>
      </c>
      <c r="E38" s="1408">
        <v>3877.75</v>
      </c>
      <c r="F38" s="1408">
        <v>928.89</v>
      </c>
      <c r="G38" s="1408">
        <v>4806.68</v>
      </c>
      <c r="H38" s="1400">
        <f>+C38+G38</f>
        <v>5092.7300000000005</v>
      </c>
      <c r="I38" s="1410">
        <v>37.6</v>
      </c>
      <c r="J38" s="1408">
        <v>1899.8</v>
      </c>
      <c r="K38" s="1408">
        <v>734.6</v>
      </c>
      <c r="L38" s="1408">
        <v>2634.48</v>
      </c>
      <c r="M38" s="1400">
        <f>+I38+L38</f>
        <v>2672.08</v>
      </c>
      <c r="N38" s="1411">
        <v>7.45</v>
      </c>
      <c r="O38" s="1403">
        <f>+H38+M38+N38</f>
        <v>7772.26</v>
      </c>
      <c r="P38" s="1413"/>
      <c r="Q38" s="1413"/>
    </row>
    <row r="39" spans="1:17" s="1414" customFormat="1" ht="14.25" customHeight="1">
      <c r="A39" s="1406"/>
      <c r="B39" s="1407" t="s">
        <v>224</v>
      </c>
      <c r="C39" s="1408">
        <v>291.85500000000002</v>
      </c>
      <c r="D39" s="1408">
        <v>67.680000000000007</v>
      </c>
      <c r="E39" s="1408">
        <v>3900.3670000000002</v>
      </c>
      <c r="F39" s="1408">
        <v>909.26099999999997</v>
      </c>
      <c r="G39" s="1408">
        <v>4809.6499999999996</v>
      </c>
      <c r="H39" s="1400">
        <v>5101.5049999999992</v>
      </c>
      <c r="I39" s="1410">
        <v>43.344000000000001</v>
      </c>
      <c r="J39" s="1408">
        <v>1967.3610000000001</v>
      </c>
      <c r="K39" s="1408">
        <v>739.7</v>
      </c>
      <c r="L39" s="1408">
        <v>2707.65</v>
      </c>
      <c r="M39" s="1400">
        <v>2750.9940000000001</v>
      </c>
      <c r="N39" s="1411">
        <v>7.4130000000000003</v>
      </c>
      <c r="O39" s="1403">
        <v>7859.9119999999994</v>
      </c>
      <c r="P39" s="1413"/>
      <c r="Q39" s="1413"/>
    </row>
    <row r="40" spans="1:17" s="1414" customFormat="1" ht="14.25" customHeight="1">
      <c r="A40" s="1406"/>
      <c r="B40" s="1407" t="s">
        <v>225</v>
      </c>
      <c r="C40" s="1408">
        <v>266.27</v>
      </c>
      <c r="D40" s="1408">
        <v>68.150000000000006</v>
      </c>
      <c r="E40" s="1408">
        <v>3841.6</v>
      </c>
      <c r="F40" s="1408">
        <v>900.24</v>
      </c>
      <c r="G40" s="1408">
        <v>4741.8</v>
      </c>
      <c r="H40" s="1400">
        <f>C40+G40</f>
        <v>5008.07</v>
      </c>
      <c r="I40" s="1410">
        <v>40.081000000000003</v>
      </c>
      <c r="J40" s="1408">
        <v>2058.65</v>
      </c>
      <c r="K40" s="1408">
        <v>624.41999999999996</v>
      </c>
      <c r="L40" s="1408">
        <v>2683.087</v>
      </c>
      <c r="M40" s="1400">
        <f>I40+L40</f>
        <v>2723.1680000000001</v>
      </c>
      <c r="N40" s="1411">
        <v>7.5819999999999999</v>
      </c>
      <c r="O40" s="1403">
        <f>H40+M40+N40</f>
        <v>7738.82</v>
      </c>
      <c r="P40" s="1413"/>
      <c r="Q40" s="1413"/>
    </row>
    <row r="41" spans="1:17" s="1405" customFormat="1" ht="20.25" customHeight="1">
      <c r="A41" s="1397">
        <v>2019</v>
      </c>
      <c r="B41" s="1398" t="s">
        <v>222</v>
      </c>
      <c r="C41" s="1399">
        <v>254.21600000000001</v>
      </c>
      <c r="D41" s="1399">
        <v>109.64400000000001</v>
      </c>
      <c r="E41" s="1399">
        <v>4029.7339999999999</v>
      </c>
      <c r="F41" s="1399">
        <v>874.36900000000003</v>
      </c>
      <c r="G41" s="1399">
        <f>+F41+E41</f>
        <v>4904.1030000000001</v>
      </c>
      <c r="H41" s="1400">
        <f>C41+G41</f>
        <v>5158.3190000000004</v>
      </c>
      <c r="I41" s="1401">
        <v>41.886000000000003</v>
      </c>
      <c r="J41" s="1399">
        <v>1917.7919999999999</v>
      </c>
      <c r="K41" s="1399">
        <v>1109.703</v>
      </c>
      <c r="L41" s="1399">
        <f t="shared" ref="L41" si="5">J41+K41</f>
        <v>3027.4949999999999</v>
      </c>
      <c r="M41" s="1400">
        <f>I41+L41</f>
        <v>3069.3809999999999</v>
      </c>
      <c r="N41" s="1402">
        <v>7.3789999999999996</v>
      </c>
      <c r="O41" s="1403">
        <f>H41+M41+N41</f>
        <v>8235.0790000000015</v>
      </c>
      <c r="P41" s="1404"/>
      <c r="Q41" s="1404"/>
    </row>
    <row r="42" spans="1:17" s="1414" customFormat="1" ht="14.25" customHeight="1">
      <c r="A42" s="1406"/>
      <c r="B42" s="1407" t="s">
        <v>223</v>
      </c>
      <c r="C42" s="1408">
        <v>289.3</v>
      </c>
      <c r="D42" s="1408">
        <v>121.3</v>
      </c>
      <c r="E42" s="1408">
        <v>3897.6</v>
      </c>
      <c r="F42" s="1408">
        <v>857.4</v>
      </c>
      <c r="G42" s="1408">
        <f>+F42+E42</f>
        <v>4755</v>
      </c>
      <c r="H42" s="1409">
        <f>C42+G42</f>
        <v>5044.3</v>
      </c>
      <c r="I42" s="1410">
        <v>40.299999999999997</v>
      </c>
      <c r="J42" s="1408">
        <v>1985.7</v>
      </c>
      <c r="K42" s="1408">
        <v>1266.2</v>
      </c>
      <c r="L42" s="1408">
        <f>J42+K42</f>
        <v>3251.9</v>
      </c>
      <c r="M42" s="1409">
        <f>L42+I42</f>
        <v>3292.2000000000003</v>
      </c>
      <c r="N42" s="1411">
        <v>7.4</v>
      </c>
      <c r="O42" s="1412">
        <f>H42+M42+N42</f>
        <v>8343.9</v>
      </c>
      <c r="P42" s="1413"/>
      <c r="Q42" s="1413"/>
    </row>
    <row r="43" spans="1:17" s="1414" customFormat="1" ht="14.25" customHeight="1">
      <c r="A43" s="1406"/>
      <c r="B43" s="1407" t="s">
        <v>224</v>
      </c>
      <c r="C43" s="1408">
        <v>386.3</v>
      </c>
      <c r="D43" s="1408">
        <v>111.5</v>
      </c>
      <c r="E43" s="1408">
        <v>3960.4</v>
      </c>
      <c r="F43" s="1408">
        <v>3316.2</v>
      </c>
      <c r="G43" s="1408">
        <f>+F43+E43</f>
        <v>7276.6</v>
      </c>
      <c r="H43" s="1400">
        <f>C43+G43</f>
        <v>7662.9000000000005</v>
      </c>
      <c r="I43" s="1410">
        <v>47.9</v>
      </c>
      <c r="J43" s="1408">
        <v>2037.8</v>
      </c>
      <c r="K43" s="1408">
        <v>1235.0999999999999</v>
      </c>
      <c r="L43" s="1408">
        <f>J43+K43</f>
        <v>3272.8999999999996</v>
      </c>
      <c r="M43" s="1400">
        <f>L43+I43</f>
        <v>3320.7999999999997</v>
      </c>
      <c r="N43" s="1411">
        <v>6</v>
      </c>
      <c r="O43" s="1403">
        <f>H43+M43+N43</f>
        <v>10989.7</v>
      </c>
      <c r="P43" s="1413"/>
      <c r="Q43" s="1413"/>
    </row>
    <row r="44" spans="1:17" s="1414" customFormat="1" ht="14.25" customHeight="1">
      <c r="A44" s="1406"/>
      <c r="B44" s="1407" t="s">
        <v>225</v>
      </c>
      <c r="C44" s="1408">
        <v>252.3</v>
      </c>
      <c r="D44" s="1408">
        <v>134.30000000000001</v>
      </c>
      <c r="E44" s="1408">
        <v>4087.9</v>
      </c>
      <c r="F44" s="1408">
        <v>886.9</v>
      </c>
      <c r="G44" s="1408">
        <v>4974.8</v>
      </c>
      <c r="H44" s="1400">
        <v>5227.1000000000004</v>
      </c>
      <c r="I44" s="1410">
        <v>39.799999999999997</v>
      </c>
      <c r="J44" s="1408">
        <v>2533.6</v>
      </c>
      <c r="K44" s="1408">
        <v>849.8</v>
      </c>
      <c r="L44" s="1408">
        <v>3383.3999999999996</v>
      </c>
      <c r="M44" s="1400">
        <v>3423.2</v>
      </c>
      <c r="N44" s="1411">
        <v>7.9</v>
      </c>
      <c r="O44" s="1403">
        <v>8658.1999999999989</v>
      </c>
      <c r="P44" s="1413"/>
      <c r="Q44" s="1413"/>
    </row>
    <row r="45" spans="1:17">
      <c r="A45" s="1415"/>
      <c r="B45" s="1415"/>
      <c r="C45" s="1415"/>
      <c r="D45" s="1415"/>
      <c r="E45" s="1415"/>
      <c r="F45" s="1415"/>
      <c r="G45" s="1415"/>
      <c r="H45" s="1415"/>
      <c r="I45" s="1415"/>
      <c r="J45" s="1415"/>
      <c r="K45" s="1415"/>
      <c r="L45" s="1415"/>
      <c r="M45" s="1415"/>
      <c r="N45" s="1415"/>
      <c r="O45" s="1415"/>
    </row>
    <row r="46" spans="1:17" s="29" customFormat="1" ht="12.75">
      <c r="A46" s="408" t="s">
        <v>1170</v>
      </c>
      <c r="B46" s="3"/>
      <c r="C46" s="3"/>
      <c r="D46" s="3"/>
      <c r="E46" s="3"/>
      <c r="F46" s="3"/>
      <c r="G46" s="3"/>
      <c r="H46" s="3"/>
      <c r="I46" s="3"/>
      <c r="J46" s="3"/>
      <c r="K46" s="3"/>
      <c r="L46" s="3"/>
      <c r="M46" s="3"/>
      <c r="N46" s="3"/>
      <c r="O46" s="3"/>
      <c r="P46" s="3"/>
    </row>
  </sheetData>
  <mergeCells count="12">
    <mergeCell ref="O9:O10"/>
    <mergeCell ref="A5:B8"/>
    <mergeCell ref="H7:H8"/>
    <mergeCell ref="I7:I8"/>
    <mergeCell ref="M7:M8"/>
    <mergeCell ref="N7:N8"/>
    <mergeCell ref="O7:O8"/>
    <mergeCell ref="A9:B10"/>
    <mergeCell ref="H9:H10"/>
    <mergeCell ref="I9:I10"/>
    <mergeCell ref="M9:M10"/>
    <mergeCell ref="N9:N10"/>
  </mergeCells>
  <printOptions horizontalCentered="1" verticalCentered="1"/>
  <pageMargins left="0" right="0" top="0" bottom="0" header="0.3" footer="0.3"/>
  <pageSetup paperSize="9" scale="64"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Q48"/>
  <sheetViews>
    <sheetView zoomScale="77" zoomScaleNormal="77" workbookViewId="0">
      <pane ySplit="10" topLeftCell="A35" activePane="bottomLeft" state="frozen"/>
      <selection activeCell="A49" sqref="A1:XFD1048576"/>
      <selection pane="bottomLeft" activeCell="A49" sqref="A1:XFD1048576"/>
    </sheetView>
  </sheetViews>
  <sheetFormatPr defaultColWidth="7.85546875" defaultRowHeight="15"/>
  <cols>
    <col min="1" max="2" width="9.85546875" style="9" customWidth="1"/>
    <col min="3" max="3" width="11.85546875" style="9" customWidth="1"/>
    <col min="4" max="4" width="14.28515625" style="9" bestFit="1" customWidth="1"/>
    <col min="5" max="5" width="11.28515625" style="9" bestFit="1" customWidth="1"/>
    <col min="6" max="6" width="11.28515625" style="9" customWidth="1"/>
    <col min="7" max="7" width="11.7109375" style="9" customWidth="1"/>
    <col min="8" max="8" width="12.7109375" style="9" customWidth="1"/>
    <col min="9" max="9" width="13" style="9" customWidth="1"/>
    <col min="10" max="10" width="14.28515625" style="9" customWidth="1"/>
    <col min="11" max="11" width="11.28515625" style="9" customWidth="1"/>
    <col min="12" max="12" width="12" style="9" customWidth="1"/>
    <col min="13" max="13" width="11.85546875" style="9" bestFit="1" customWidth="1"/>
    <col min="14" max="14" width="12.7109375" style="9" bestFit="1" customWidth="1"/>
    <col min="15" max="15" width="12.28515625" style="9" customWidth="1"/>
    <col min="16" max="16" width="7.85546875" style="9"/>
    <col min="17" max="17" width="8.7109375" style="9" bestFit="1" customWidth="1"/>
    <col min="18" max="16384" width="7.85546875" style="9"/>
  </cols>
  <sheetData>
    <row r="1" spans="1:17" ht="18" customHeight="1">
      <c r="A1" s="18" t="s">
        <v>1604</v>
      </c>
      <c r="B1" s="1337"/>
      <c r="C1" s="1337"/>
      <c r="D1" s="1337"/>
      <c r="E1" s="1337"/>
      <c r="F1" s="1337"/>
      <c r="G1" s="1337"/>
      <c r="H1" s="1337"/>
      <c r="I1" s="1337"/>
      <c r="J1" s="1337"/>
      <c r="K1" s="1337"/>
      <c r="L1" s="1337"/>
      <c r="M1" s="1337"/>
      <c r="N1" s="1337"/>
      <c r="O1" s="1337"/>
    </row>
    <row r="2" spans="1:17" ht="18" customHeight="1">
      <c r="A2" s="1338" t="s">
        <v>72</v>
      </c>
      <c r="B2" s="1337"/>
      <c r="C2" s="1337"/>
      <c r="D2" s="1337"/>
      <c r="E2" s="1337"/>
      <c r="F2" s="1337"/>
      <c r="G2" s="1337"/>
      <c r="H2" s="1337"/>
      <c r="I2" s="1337"/>
      <c r="J2" s="1337"/>
      <c r="K2" s="1337"/>
      <c r="L2" s="1337"/>
      <c r="M2" s="1337"/>
      <c r="N2" s="1337"/>
      <c r="O2" s="1337"/>
    </row>
    <row r="3" spans="1:17" ht="18" customHeight="1">
      <c r="A3" s="18" t="s">
        <v>71</v>
      </c>
      <c r="B3" s="1337"/>
      <c r="C3" s="1337"/>
      <c r="D3" s="1337"/>
      <c r="E3" s="1337"/>
      <c r="F3" s="1337"/>
      <c r="G3" s="1337"/>
      <c r="H3" s="1337"/>
      <c r="I3" s="1337"/>
      <c r="J3" s="1337"/>
      <c r="K3" s="1337"/>
      <c r="L3" s="1337"/>
      <c r="M3" s="1337"/>
      <c r="N3" s="1337"/>
      <c r="O3" s="1337"/>
    </row>
    <row r="4" spans="1:17" s="1344" customFormat="1" ht="14.25" customHeight="1">
      <c r="A4" s="1339" t="s">
        <v>1171</v>
      </c>
      <c r="B4" s="1340"/>
      <c r="C4" s="1341"/>
      <c r="D4" s="1341"/>
      <c r="E4" s="1341"/>
      <c r="F4" s="1341"/>
      <c r="G4" s="1341"/>
      <c r="H4" s="1341"/>
      <c r="I4" s="1341"/>
      <c r="J4" s="1341"/>
      <c r="K4" s="1341"/>
      <c r="L4" s="1342"/>
      <c r="M4" s="1342"/>
      <c r="N4" s="1342"/>
      <c r="O4" s="1343" t="s">
        <v>1172</v>
      </c>
    </row>
    <row r="5" spans="1:17" s="1344" customFormat="1" ht="18" customHeight="1">
      <c r="A5" s="2118" t="s">
        <v>364</v>
      </c>
      <c r="B5" s="2119"/>
      <c r="C5" s="1345" t="s">
        <v>356</v>
      </c>
      <c r="D5" s="1346"/>
      <c r="E5" s="1347"/>
      <c r="F5" s="1341"/>
      <c r="G5" s="1348"/>
      <c r="H5" s="1349" t="s">
        <v>357</v>
      </c>
      <c r="I5" s="1350"/>
      <c r="J5" s="1351" t="s">
        <v>358</v>
      </c>
      <c r="K5" s="1348"/>
      <c r="L5" s="1352"/>
      <c r="M5" s="1353"/>
      <c r="N5" s="1348"/>
      <c r="O5" s="321" t="s">
        <v>359</v>
      </c>
    </row>
    <row r="6" spans="1:17" s="56" customFormat="1" ht="18" customHeight="1">
      <c r="A6" s="2120"/>
      <c r="B6" s="2121"/>
      <c r="C6" s="1354" t="s">
        <v>780</v>
      </c>
      <c r="D6" s="640"/>
      <c r="E6" s="1355"/>
      <c r="F6" s="1356"/>
      <c r="G6" s="1357" t="s">
        <v>362</v>
      </c>
      <c r="H6" s="1358"/>
      <c r="I6" s="1359"/>
      <c r="J6" s="1351" t="s">
        <v>780</v>
      </c>
      <c r="K6" s="1360"/>
      <c r="L6" s="132"/>
      <c r="M6" s="132"/>
      <c r="N6" s="316" t="s">
        <v>362</v>
      </c>
      <c r="O6" s="202"/>
    </row>
    <row r="7" spans="1:17" s="56" customFormat="1" ht="18" customHeight="1">
      <c r="A7" s="2120"/>
      <c r="B7" s="2121"/>
      <c r="C7" s="1361"/>
      <c r="D7" s="1362" t="s">
        <v>1173</v>
      </c>
      <c r="E7" s="91" t="s">
        <v>1174</v>
      </c>
      <c r="F7" s="1362" t="s">
        <v>1175</v>
      </c>
      <c r="G7" s="90"/>
      <c r="H7" s="1363" t="s">
        <v>1176</v>
      </c>
      <c r="I7" s="1359" t="s">
        <v>367</v>
      </c>
      <c r="J7" s="1362" t="s">
        <v>1177</v>
      </c>
      <c r="K7" s="91" t="s">
        <v>1178</v>
      </c>
      <c r="L7" s="1364" t="s">
        <v>368</v>
      </c>
      <c r="M7" s="103" t="s">
        <v>371</v>
      </c>
      <c r="N7" s="90"/>
      <c r="O7" s="1365" t="s">
        <v>368</v>
      </c>
    </row>
    <row r="8" spans="1:17" s="56" customFormat="1" ht="18" customHeight="1">
      <c r="A8" s="2114" t="s">
        <v>372</v>
      </c>
      <c r="B8" s="2115"/>
      <c r="C8" s="1366" t="s">
        <v>7</v>
      </c>
      <c r="D8" s="1362" t="s">
        <v>418</v>
      </c>
      <c r="E8" s="1366" t="s">
        <v>1179</v>
      </c>
      <c r="F8" s="1363" t="s">
        <v>782</v>
      </c>
      <c r="G8" s="1367" t="s">
        <v>367</v>
      </c>
      <c r="H8" s="1363" t="s">
        <v>1180</v>
      </c>
      <c r="I8" s="187" t="s">
        <v>378</v>
      </c>
      <c r="J8" s="1362" t="s">
        <v>418</v>
      </c>
      <c r="K8" s="1368" t="s">
        <v>1179</v>
      </c>
      <c r="L8" s="1364" t="s">
        <v>782</v>
      </c>
      <c r="M8" s="103" t="s">
        <v>829</v>
      </c>
      <c r="N8" s="1369" t="s">
        <v>367</v>
      </c>
      <c r="O8" s="1365" t="s">
        <v>1180</v>
      </c>
    </row>
    <row r="9" spans="1:17" s="56" customFormat="1" ht="18" customHeight="1">
      <c r="A9" s="2114"/>
      <c r="B9" s="2115"/>
      <c r="C9" s="69" t="s">
        <v>805</v>
      </c>
      <c r="D9" s="1362" t="s">
        <v>1181</v>
      </c>
      <c r="E9" s="1362" t="s">
        <v>1182</v>
      </c>
      <c r="F9" s="1370" t="s">
        <v>385</v>
      </c>
      <c r="G9" s="69" t="s">
        <v>378</v>
      </c>
      <c r="H9" s="66" t="s">
        <v>365</v>
      </c>
      <c r="I9" s="187"/>
      <c r="J9" s="1362" t="s">
        <v>1183</v>
      </c>
      <c r="K9" s="1362" t="s">
        <v>1184</v>
      </c>
      <c r="L9" s="69" t="s">
        <v>385</v>
      </c>
      <c r="M9" s="243" t="s">
        <v>1185</v>
      </c>
      <c r="N9" s="69" t="s">
        <v>378</v>
      </c>
      <c r="O9" s="57" t="s">
        <v>365</v>
      </c>
      <c r="Q9" s="2182" t="s">
        <v>1186</v>
      </c>
    </row>
    <row r="10" spans="1:17" s="44" customFormat="1" ht="18" customHeight="1">
      <c r="A10" s="2116"/>
      <c r="B10" s="2117"/>
      <c r="C10" s="140"/>
      <c r="D10" s="1371" t="s">
        <v>391</v>
      </c>
      <c r="E10" s="96" t="s">
        <v>1187</v>
      </c>
      <c r="F10" s="1372" t="s">
        <v>356</v>
      </c>
      <c r="G10" s="125"/>
      <c r="H10" s="1373" t="s">
        <v>356</v>
      </c>
      <c r="I10" s="1374"/>
      <c r="J10" s="1371" t="s">
        <v>391</v>
      </c>
      <c r="K10" s="96" t="s">
        <v>1187</v>
      </c>
      <c r="L10" s="55" t="s">
        <v>358</v>
      </c>
      <c r="M10" s="55" t="s">
        <v>396</v>
      </c>
      <c r="N10" s="140"/>
      <c r="O10" s="58" t="s">
        <v>358</v>
      </c>
      <c r="Q10" s="2182"/>
    </row>
    <row r="11" spans="1:17" s="411" customFormat="1" ht="20.25" customHeight="1">
      <c r="A11" s="905">
        <v>2011</v>
      </c>
      <c r="B11" s="906" t="s">
        <v>224</v>
      </c>
      <c r="C11" s="1375">
        <v>33756.478999999999</v>
      </c>
      <c r="D11" s="1375">
        <v>916.95799999999997</v>
      </c>
      <c r="E11" s="1375">
        <v>12.936</v>
      </c>
      <c r="F11" s="1375">
        <v>8276.7390000000014</v>
      </c>
      <c r="G11" s="767">
        <f t="shared" ref="G11:G24" si="0">SUM(C11:F11)</f>
        <v>42963.112000000001</v>
      </c>
      <c r="H11" s="1375">
        <v>27020.6</v>
      </c>
      <c r="I11" s="1376">
        <f t="shared" ref="I11:I24" si="1">SUM(G11:H11)</f>
        <v>69983.712</v>
      </c>
      <c r="J11" s="1377">
        <v>8731.9759999999987</v>
      </c>
      <c r="K11" s="1375">
        <v>223.37299999999999</v>
      </c>
      <c r="L11" s="1375">
        <v>10745.749</v>
      </c>
      <c r="M11" s="1375">
        <v>35062.858</v>
      </c>
      <c r="N11" s="767">
        <f t="shared" ref="N11:N24" si="2">SUM(J11:M11)</f>
        <v>54763.955999999998</v>
      </c>
      <c r="O11" s="767">
        <v>15219.696</v>
      </c>
      <c r="Q11" s="411">
        <f t="shared" ref="Q11:Q24" si="3">I11-SUM(N11:O11)</f>
        <v>5.9999999997671694E-2</v>
      </c>
    </row>
    <row r="12" spans="1:17" s="614" customFormat="1" ht="14.25" customHeight="1">
      <c r="A12" s="380"/>
      <c r="B12" s="1378" t="s">
        <v>225</v>
      </c>
      <c r="C12" s="1375">
        <v>28584.923999999999</v>
      </c>
      <c r="D12" s="1375">
        <v>916.95799999999997</v>
      </c>
      <c r="E12" s="1375">
        <v>15.138999999999999</v>
      </c>
      <c r="F12" s="1375">
        <v>5193.307000000008</v>
      </c>
      <c r="G12" s="767">
        <f t="shared" si="0"/>
        <v>34710.328000000009</v>
      </c>
      <c r="H12" s="1375">
        <v>20666.985000000001</v>
      </c>
      <c r="I12" s="1376">
        <f t="shared" si="1"/>
        <v>55377.313000000009</v>
      </c>
      <c r="J12" s="1377">
        <v>2091.1569999999997</v>
      </c>
      <c r="K12" s="1375">
        <v>602.85300000000007</v>
      </c>
      <c r="L12" s="1375">
        <v>8959.4149999999991</v>
      </c>
      <c r="M12" s="1375">
        <v>37000.137999999999</v>
      </c>
      <c r="N12" s="767">
        <f t="shared" si="2"/>
        <v>48653.562999999995</v>
      </c>
      <c r="O12" s="767">
        <v>6723.7</v>
      </c>
      <c r="Q12" s="411">
        <f t="shared" si="3"/>
        <v>5.0000000017462298E-2</v>
      </c>
    </row>
    <row r="13" spans="1:17" s="411" customFormat="1" ht="20.25" customHeight="1">
      <c r="A13" s="905">
        <v>2012</v>
      </c>
      <c r="B13" s="906" t="s">
        <v>222</v>
      </c>
      <c r="C13" s="1375">
        <v>44753.116000000002</v>
      </c>
      <c r="D13" s="1375">
        <v>1013.609</v>
      </c>
      <c r="E13" s="1375">
        <v>17.86</v>
      </c>
      <c r="F13" s="1375">
        <v>7629.7320000000036</v>
      </c>
      <c r="G13" s="767">
        <f t="shared" si="0"/>
        <v>53414.317000000003</v>
      </c>
      <c r="H13" s="1375">
        <v>20064.192999999999</v>
      </c>
      <c r="I13" s="1376">
        <f t="shared" si="1"/>
        <v>73478.510000000009</v>
      </c>
      <c r="J13" s="1377">
        <v>524.09199999999998</v>
      </c>
      <c r="K13" s="1375">
        <v>100.411</v>
      </c>
      <c r="L13" s="1375">
        <v>14467.582999999999</v>
      </c>
      <c r="M13" s="1375">
        <v>38771.036999999997</v>
      </c>
      <c r="N13" s="767">
        <f t="shared" si="2"/>
        <v>53863.122999999992</v>
      </c>
      <c r="O13" s="767">
        <v>19615.387000000002</v>
      </c>
      <c r="Q13" s="411">
        <f t="shared" si="3"/>
        <v>0</v>
      </c>
    </row>
    <row r="14" spans="1:17" s="614" customFormat="1" ht="14.25" customHeight="1">
      <c r="A14" s="380"/>
      <c r="B14" s="1378" t="s">
        <v>223</v>
      </c>
      <c r="C14" s="1375">
        <v>45121.19</v>
      </c>
      <c r="D14" s="1375">
        <v>1042.0820000000001</v>
      </c>
      <c r="E14" s="1375">
        <v>520.06700000000001</v>
      </c>
      <c r="F14" s="1375">
        <v>14041.327000000005</v>
      </c>
      <c r="G14" s="767">
        <f t="shared" si="0"/>
        <v>60724.666000000012</v>
      </c>
      <c r="H14" s="1375">
        <v>35889.525000000001</v>
      </c>
      <c r="I14" s="1376">
        <f t="shared" si="1"/>
        <v>96614.191000000021</v>
      </c>
      <c r="J14" s="1377">
        <v>4212.8</v>
      </c>
      <c r="K14" s="1375">
        <v>146.792</v>
      </c>
      <c r="L14" s="1375">
        <v>21239.585999999999</v>
      </c>
      <c r="M14" s="1375">
        <v>37780.785000000003</v>
      </c>
      <c r="N14" s="767">
        <f t="shared" si="2"/>
        <v>63379.963000000003</v>
      </c>
      <c r="O14" s="767">
        <v>33234.167999999998</v>
      </c>
      <c r="Q14" s="411">
        <f t="shared" si="3"/>
        <v>6.0000000026775524E-2</v>
      </c>
    </row>
    <row r="15" spans="1:17" s="614" customFormat="1" ht="14.25" customHeight="1">
      <c r="A15" s="380"/>
      <c r="B15" s="1378" t="s">
        <v>224</v>
      </c>
      <c r="C15" s="1375">
        <v>60145.324000000001</v>
      </c>
      <c r="D15" s="1375">
        <v>1016.7</v>
      </c>
      <c r="E15" s="1375">
        <v>305.69299999999998</v>
      </c>
      <c r="F15" s="1375">
        <v>15409.075000000012</v>
      </c>
      <c r="G15" s="767">
        <f t="shared" si="0"/>
        <v>76876.792000000016</v>
      </c>
      <c r="H15" s="1375">
        <v>16870.565999999999</v>
      </c>
      <c r="I15" s="1376">
        <f t="shared" si="1"/>
        <v>93747.358000000007</v>
      </c>
      <c r="J15" s="1377">
        <v>443.851</v>
      </c>
      <c r="K15" s="1375">
        <v>281.85000000000002</v>
      </c>
      <c r="L15" s="1375">
        <v>21272.216</v>
      </c>
      <c r="M15" s="1375">
        <v>40342.243999999999</v>
      </c>
      <c r="N15" s="767">
        <f t="shared" si="2"/>
        <v>62340.161</v>
      </c>
      <c r="O15" s="767">
        <v>31407.200000000001</v>
      </c>
      <c r="Q15" s="411">
        <f t="shared" si="3"/>
        <v>-2.9999999969732016E-3</v>
      </c>
    </row>
    <row r="16" spans="1:17" s="614" customFormat="1" ht="14.25" customHeight="1">
      <c r="A16" s="380"/>
      <c r="B16" s="1378" t="s">
        <v>225</v>
      </c>
      <c r="C16" s="1375">
        <v>33039.18</v>
      </c>
      <c r="D16" s="1375">
        <v>1016.8</v>
      </c>
      <c r="E16" s="1375">
        <v>8.8849999999999998</v>
      </c>
      <c r="F16" s="1375">
        <v>8463.8940000000002</v>
      </c>
      <c r="G16" s="767">
        <f t="shared" si="0"/>
        <v>42528.759000000005</v>
      </c>
      <c r="H16" s="1375">
        <v>21936.907999999999</v>
      </c>
      <c r="I16" s="1376">
        <f t="shared" si="1"/>
        <v>64465.667000000001</v>
      </c>
      <c r="J16" s="1377">
        <v>711.52700000000004</v>
      </c>
      <c r="K16" s="1375">
        <v>86.4</v>
      </c>
      <c r="L16" s="1375">
        <v>13485.975</v>
      </c>
      <c r="M16" s="1375">
        <v>42446.790999999997</v>
      </c>
      <c r="N16" s="767">
        <f t="shared" si="2"/>
        <v>56730.692999999999</v>
      </c>
      <c r="O16" s="767">
        <v>7734.9889999999996</v>
      </c>
      <c r="Q16" s="411">
        <f t="shared" si="3"/>
        <v>-1.4999999999417923E-2</v>
      </c>
    </row>
    <row r="17" spans="1:17" s="411" customFormat="1" ht="20.25" customHeight="1">
      <c r="A17" s="905">
        <v>2013</v>
      </c>
      <c r="B17" s="906" t="s">
        <v>222</v>
      </c>
      <c r="C17" s="1375">
        <v>50248.69</v>
      </c>
      <c r="D17" s="1375">
        <v>1019.8680000000001</v>
      </c>
      <c r="E17" s="1375">
        <v>147.44</v>
      </c>
      <c r="F17" s="1375">
        <v>12235.732000000004</v>
      </c>
      <c r="G17" s="767">
        <f t="shared" si="0"/>
        <v>63651.73000000001</v>
      </c>
      <c r="H17" s="1375">
        <v>15785.513999999999</v>
      </c>
      <c r="I17" s="1376">
        <f t="shared" si="1"/>
        <v>79437.244000000006</v>
      </c>
      <c r="J17" s="1377">
        <v>378.81300000000005</v>
      </c>
      <c r="K17" s="1375">
        <v>87.573999999999998</v>
      </c>
      <c r="L17" s="1375">
        <v>17098.148000000001</v>
      </c>
      <c r="M17" s="1375">
        <v>44206.966999999997</v>
      </c>
      <c r="N17" s="767">
        <f t="shared" si="2"/>
        <v>61771.501999999993</v>
      </c>
      <c r="O17" s="767">
        <v>17665.741999999998</v>
      </c>
      <c r="Q17" s="411">
        <f t="shared" si="3"/>
        <v>0</v>
      </c>
    </row>
    <row r="18" spans="1:17" s="614" customFormat="1" ht="14.25" customHeight="1">
      <c r="A18" s="380"/>
      <c r="B18" s="1378" t="s">
        <v>223</v>
      </c>
      <c r="C18" s="1375">
        <v>66653.5</v>
      </c>
      <c r="D18" s="1375">
        <v>1083.671</v>
      </c>
      <c r="E18" s="1375">
        <v>391.47500000000002</v>
      </c>
      <c r="F18" s="1375">
        <v>15196.827000000005</v>
      </c>
      <c r="G18" s="767">
        <f t="shared" si="0"/>
        <v>83325.473000000013</v>
      </c>
      <c r="H18" s="1375">
        <v>28556.079000000002</v>
      </c>
      <c r="I18" s="1376">
        <f t="shared" si="1"/>
        <v>111881.55200000001</v>
      </c>
      <c r="J18" s="1377">
        <v>18630.396000000001</v>
      </c>
      <c r="K18" s="1375">
        <v>133.773</v>
      </c>
      <c r="L18" s="1375">
        <v>18942.962</v>
      </c>
      <c r="M18" s="1375">
        <v>43171.546999999999</v>
      </c>
      <c r="N18" s="767">
        <f t="shared" si="2"/>
        <v>80878.678</v>
      </c>
      <c r="O18" s="767">
        <v>31002.940999999999</v>
      </c>
      <c r="Q18" s="411">
        <f t="shared" si="3"/>
        <v>-6.6999999995459802E-2</v>
      </c>
    </row>
    <row r="19" spans="1:17" s="614" customFormat="1" ht="14.25" customHeight="1">
      <c r="A19" s="380"/>
      <c r="B19" s="1378" t="s">
        <v>224</v>
      </c>
      <c r="C19" s="1375">
        <v>45067.925999999999</v>
      </c>
      <c r="D19" s="1375">
        <v>1086.45</v>
      </c>
      <c r="E19" s="1375">
        <v>783.28700000000003</v>
      </c>
      <c r="F19" s="1375">
        <v>9374.3070000000007</v>
      </c>
      <c r="G19" s="767">
        <f t="shared" si="0"/>
        <v>56311.969999999994</v>
      </c>
      <c r="H19" s="1375">
        <v>25983.144</v>
      </c>
      <c r="I19" s="1376">
        <f t="shared" si="1"/>
        <v>82295.114000000001</v>
      </c>
      <c r="J19" s="1377">
        <v>1213.5930000000001</v>
      </c>
      <c r="K19" s="1375">
        <v>181.26299999999998</v>
      </c>
      <c r="L19" s="1375">
        <v>19135.691999999999</v>
      </c>
      <c r="M19" s="1375">
        <v>45723.34</v>
      </c>
      <c r="N19" s="767">
        <f t="shared" si="2"/>
        <v>66253.887999999992</v>
      </c>
      <c r="O19" s="767">
        <v>16041.205</v>
      </c>
      <c r="Q19" s="411">
        <f t="shared" si="3"/>
        <v>2.1000000007916242E-2</v>
      </c>
    </row>
    <row r="20" spans="1:17" s="614" customFormat="1" ht="14.25" customHeight="1">
      <c r="A20" s="380"/>
      <c r="B20" s="1378" t="s">
        <v>225</v>
      </c>
      <c r="C20" s="1375">
        <v>36542.724000000002</v>
      </c>
      <c r="D20" s="1375">
        <v>1087.6320000000001</v>
      </c>
      <c r="E20" s="1375">
        <v>481.279</v>
      </c>
      <c r="F20" s="1375">
        <v>12493.785000000003</v>
      </c>
      <c r="G20" s="767">
        <f t="shared" si="0"/>
        <v>50605.420000000006</v>
      </c>
      <c r="H20" s="1375">
        <v>111915.4</v>
      </c>
      <c r="I20" s="1376">
        <f t="shared" si="1"/>
        <v>162520.82</v>
      </c>
      <c r="J20" s="1377">
        <v>743.13499999999999</v>
      </c>
      <c r="K20" s="1375">
        <v>97356.88</v>
      </c>
      <c r="L20" s="1375">
        <v>13392.198</v>
      </c>
      <c r="M20" s="1375">
        <v>48348.019</v>
      </c>
      <c r="N20" s="767">
        <f t="shared" si="2"/>
        <v>159840.23200000002</v>
      </c>
      <c r="O20" s="767">
        <v>2680.55</v>
      </c>
      <c r="Q20" s="411">
        <f t="shared" si="3"/>
        <v>3.8000000000465661E-2</v>
      </c>
    </row>
    <row r="21" spans="1:17" s="411" customFormat="1" ht="20.25" customHeight="1">
      <c r="A21" s="905">
        <v>2014</v>
      </c>
      <c r="B21" s="906" t="s">
        <v>222</v>
      </c>
      <c r="C21" s="1375">
        <v>59077.072</v>
      </c>
      <c r="D21" s="1375">
        <v>1138.104</v>
      </c>
      <c r="E21" s="1375">
        <v>403.24599999999998</v>
      </c>
      <c r="F21" s="1375">
        <v>18199.224000000002</v>
      </c>
      <c r="G21" s="767">
        <f t="shared" si="0"/>
        <v>78817.646000000008</v>
      </c>
      <c r="H21" s="1375">
        <v>27828.055</v>
      </c>
      <c r="I21" s="1376">
        <f t="shared" si="1"/>
        <v>106645.701</v>
      </c>
      <c r="J21" s="1377">
        <v>7820.9780000000001</v>
      </c>
      <c r="K21" s="1375">
        <v>483.22199999999998</v>
      </c>
      <c r="L21" s="1375">
        <v>20503.871999999999</v>
      </c>
      <c r="M21" s="1375">
        <v>50452.031000000003</v>
      </c>
      <c r="N21" s="767">
        <f t="shared" si="2"/>
        <v>79260.103000000003</v>
      </c>
      <c r="O21" s="767">
        <v>27385.597999999998</v>
      </c>
      <c r="Q21" s="411">
        <f t="shared" si="3"/>
        <v>0</v>
      </c>
    </row>
    <row r="22" spans="1:17" s="614" customFormat="1" ht="14.25" customHeight="1">
      <c r="A22" s="380"/>
      <c r="B22" s="1378" t="s">
        <v>223</v>
      </c>
      <c r="C22" s="1375">
        <v>66559.023000000001</v>
      </c>
      <c r="D22" s="1375">
        <v>1140.665</v>
      </c>
      <c r="E22" s="1375">
        <v>1451.9659999999999</v>
      </c>
      <c r="F22" s="1375">
        <v>11909.418000000005</v>
      </c>
      <c r="G22" s="767">
        <f t="shared" si="0"/>
        <v>81061.072</v>
      </c>
      <c r="H22" s="1375">
        <v>32541.7</v>
      </c>
      <c r="I22" s="1376">
        <f t="shared" si="1"/>
        <v>113602.772</v>
      </c>
      <c r="J22" s="1377">
        <v>4674.2709999999997</v>
      </c>
      <c r="K22" s="1375">
        <v>282.52800000000002</v>
      </c>
      <c r="L22" s="1375">
        <v>17205.168999999998</v>
      </c>
      <c r="M22" s="1375">
        <v>49423.815000000002</v>
      </c>
      <c r="N22" s="767">
        <f t="shared" si="2"/>
        <v>71585.782999999996</v>
      </c>
      <c r="O22" s="767">
        <v>42017.043999999994</v>
      </c>
      <c r="Q22" s="411">
        <f t="shared" si="3"/>
        <v>-5.4999999993015081E-2</v>
      </c>
    </row>
    <row r="23" spans="1:17" s="614" customFormat="1" ht="14.25" customHeight="1">
      <c r="A23" s="380"/>
      <c r="B23" s="1378" t="s">
        <v>224</v>
      </c>
      <c r="C23" s="1375">
        <v>68306.293999999994</v>
      </c>
      <c r="D23" s="1375">
        <v>1143.425</v>
      </c>
      <c r="E23" s="1375">
        <v>527.85</v>
      </c>
      <c r="F23" s="1375">
        <v>19475.702000000005</v>
      </c>
      <c r="G23" s="767">
        <f t="shared" si="0"/>
        <v>89453.271000000008</v>
      </c>
      <c r="H23" s="1375">
        <v>25179.707999999999</v>
      </c>
      <c r="I23" s="1376">
        <f t="shared" si="1"/>
        <v>114632.97900000001</v>
      </c>
      <c r="J23" s="1377">
        <v>7853.652</v>
      </c>
      <c r="K23" s="1375">
        <v>1586.3240000000001</v>
      </c>
      <c r="L23" s="1375">
        <v>18368.305</v>
      </c>
      <c r="M23" s="1375">
        <v>52014.025999999998</v>
      </c>
      <c r="N23" s="767">
        <f t="shared" si="2"/>
        <v>79822.307000000001</v>
      </c>
      <c r="O23" s="767">
        <v>34810.657999999996</v>
      </c>
      <c r="Q23" s="411">
        <f t="shared" si="3"/>
        <v>1.4000000010128133E-2</v>
      </c>
    </row>
    <row r="24" spans="1:17" s="614" customFormat="1" ht="14.85" customHeight="1">
      <c r="A24" s="380"/>
      <c r="B24" s="1378" t="s">
        <v>225</v>
      </c>
      <c r="C24" s="1375">
        <v>36080.383000000002</v>
      </c>
      <c r="D24" s="1375">
        <v>1142.9000000000001</v>
      </c>
      <c r="E24" s="1375">
        <v>1152.5930000000001</v>
      </c>
      <c r="F24" s="1375">
        <v>14899.474000000002</v>
      </c>
      <c r="G24" s="767">
        <f t="shared" si="0"/>
        <v>53275.350000000006</v>
      </c>
      <c r="H24" s="1375">
        <v>21034.216</v>
      </c>
      <c r="I24" s="1376">
        <f t="shared" si="1"/>
        <v>74309.566000000006</v>
      </c>
      <c r="J24" s="1377">
        <v>626.53800000000001</v>
      </c>
      <c r="K24" s="1375">
        <v>685.7</v>
      </c>
      <c r="L24" s="1375">
        <v>12384.075000000001</v>
      </c>
      <c r="M24" s="1375">
        <v>54681.277999999998</v>
      </c>
      <c r="N24" s="767">
        <f t="shared" si="2"/>
        <v>68377.591</v>
      </c>
      <c r="O24" s="767">
        <v>5931.982</v>
      </c>
      <c r="Q24" s="411">
        <f t="shared" si="3"/>
        <v>-6.9999999977881089E-3</v>
      </c>
    </row>
    <row r="25" spans="1:17" s="411" customFormat="1" ht="20.25" hidden="1" customHeight="1">
      <c r="A25" s="1379">
        <v>2015</v>
      </c>
      <c r="B25" s="1380" t="s">
        <v>222</v>
      </c>
      <c r="C25" s="1381">
        <v>38311.135999999999</v>
      </c>
      <c r="D25" s="1381">
        <v>1143.0409999999999</v>
      </c>
      <c r="E25" s="1382">
        <v>1978.9780000000001</v>
      </c>
      <c r="F25" s="1383">
        <v>14666.14</v>
      </c>
      <c r="G25" s="1382">
        <v>56099.294999999998</v>
      </c>
      <c r="H25" s="1384">
        <v>29565.151999999998</v>
      </c>
      <c r="I25" s="1385">
        <v>85664.447</v>
      </c>
      <c r="J25" s="1383">
        <v>3045.6959999999999</v>
      </c>
      <c r="K25" s="1383">
        <v>72.768000000000001</v>
      </c>
      <c r="L25" s="1383">
        <v>17992.883999999998</v>
      </c>
      <c r="M25" s="1383">
        <v>57060.173000000003</v>
      </c>
      <c r="N25" s="1386">
        <v>78171.521000000008</v>
      </c>
      <c r="O25" s="1387">
        <v>7403.3310000000001</v>
      </c>
    </row>
    <row r="26" spans="1:17" s="411" customFormat="1" ht="21" customHeight="1">
      <c r="A26" s="905">
        <v>2015</v>
      </c>
      <c r="B26" s="1388" t="s">
        <v>222</v>
      </c>
      <c r="C26" s="767">
        <v>38111.4</v>
      </c>
      <c r="D26" s="767">
        <v>1143</v>
      </c>
      <c r="E26" s="767">
        <v>1979</v>
      </c>
      <c r="F26" s="767">
        <v>14776.4</v>
      </c>
      <c r="G26" s="767">
        <f t="shared" ref="G26:G34" si="4">SUM(C26:F26)</f>
        <v>56009.8</v>
      </c>
      <c r="H26" s="1375">
        <v>29652.6</v>
      </c>
      <c r="I26" s="1376">
        <f t="shared" ref="I26:I34" si="5">SUM(G26:H26)</f>
        <v>85662.399999999994</v>
      </c>
      <c r="J26" s="1389">
        <v>3045.7</v>
      </c>
      <c r="K26" s="767">
        <v>72.7</v>
      </c>
      <c r="L26" s="767">
        <v>18023.400000000001</v>
      </c>
      <c r="M26" s="767">
        <v>57117.3</v>
      </c>
      <c r="N26" s="767">
        <f t="shared" ref="N26:N34" si="6">SUM(J26:M26)</f>
        <v>78259.100000000006</v>
      </c>
      <c r="O26" s="767">
        <v>7403.3</v>
      </c>
      <c r="Q26" s="1062">
        <f t="shared" ref="Q26:Q34" si="7">I26-SUM(N26:O26)</f>
        <v>0</v>
      </c>
    </row>
    <row r="27" spans="1:17" s="411" customFormat="1" ht="14.25" customHeight="1">
      <c r="A27" s="380"/>
      <c r="B27" s="1388" t="s">
        <v>223</v>
      </c>
      <c r="C27" s="767">
        <v>58410.3</v>
      </c>
      <c r="D27" s="767">
        <v>2536.3000000000002</v>
      </c>
      <c r="E27" s="767">
        <v>1141</v>
      </c>
      <c r="F27" s="767">
        <v>15182.3</v>
      </c>
      <c r="G27" s="767">
        <f t="shared" si="4"/>
        <v>77269.900000000009</v>
      </c>
      <c r="H27" s="1375">
        <v>20239.3</v>
      </c>
      <c r="I27" s="1376">
        <f t="shared" si="5"/>
        <v>97509.200000000012</v>
      </c>
      <c r="J27" s="1389">
        <v>8009.9</v>
      </c>
      <c r="K27" s="767">
        <v>107.4</v>
      </c>
      <c r="L27" s="767">
        <v>21511.8</v>
      </c>
      <c r="M27" s="767">
        <v>58541.2</v>
      </c>
      <c r="N27" s="767">
        <f t="shared" si="6"/>
        <v>88170.299999999988</v>
      </c>
      <c r="O27" s="767">
        <v>9338.9</v>
      </c>
      <c r="Q27" s="1062">
        <f t="shared" si="7"/>
        <v>0</v>
      </c>
    </row>
    <row r="28" spans="1:17" s="411" customFormat="1" ht="14.25" customHeight="1">
      <c r="A28" s="380"/>
      <c r="B28" s="1388" t="s">
        <v>224</v>
      </c>
      <c r="C28" s="767">
        <v>59419.705999999998</v>
      </c>
      <c r="D28" s="767">
        <v>1548.6780000000001</v>
      </c>
      <c r="E28" s="767">
        <v>1662.47</v>
      </c>
      <c r="F28" s="767">
        <v>13437.571</v>
      </c>
      <c r="G28" s="767">
        <f t="shared" si="4"/>
        <v>76068.425000000003</v>
      </c>
      <c r="H28" s="1375">
        <v>43361.4</v>
      </c>
      <c r="I28" s="1376">
        <f t="shared" si="5"/>
        <v>119429.82500000001</v>
      </c>
      <c r="J28" s="1389">
        <v>4324.5</v>
      </c>
      <c r="K28" s="767">
        <v>101</v>
      </c>
      <c r="L28" s="767">
        <v>33308.9</v>
      </c>
      <c r="M28" s="767">
        <v>60185.1</v>
      </c>
      <c r="N28" s="767">
        <f t="shared" si="6"/>
        <v>97919.5</v>
      </c>
      <c r="O28" s="767">
        <v>21510.3</v>
      </c>
      <c r="Q28" s="1062">
        <f t="shared" si="7"/>
        <v>2.5000000008731149E-2</v>
      </c>
    </row>
    <row r="29" spans="1:17" s="411" customFormat="1" ht="14.25" customHeight="1">
      <c r="A29" s="380"/>
      <c r="B29" s="1388" t="s">
        <v>225</v>
      </c>
      <c r="C29" s="767">
        <v>37926.987999999998</v>
      </c>
      <c r="D29" s="767">
        <v>1424.538</v>
      </c>
      <c r="E29" s="767">
        <v>386.78800000000001</v>
      </c>
      <c r="F29" s="767">
        <v>19504.405999999999</v>
      </c>
      <c r="G29" s="767">
        <f t="shared" si="4"/>
        <v>59242.720000000001</v>
      </c>
      <c r="H29" s="1375">
        <v>30045.967000000001</v>
      </c>
      <c r="I29" s="1376">
        <f t="shared" si="5"/>
        <v>89288.687000000005</v>
      </c>
      <c r="J29" s="1389">
        <v>553.99199999999996</v>
      </c>
      <c r="K29" s="767">
        <v>40.161000000000001</v>
      </c>
      <c r="L29" s="767">
        <v>18401.885999999999</v>
      </c>
      <c r="M29" s="767">
        <v>62169.767999999996</v>
      </c>
      <c r="N29" s="767">
        <f t="shared" si="6"/>
        <v>81165.807000000001</v>
      </c>
      <c r="O29" s="767">
        <v>8122.9</v>
      </c>
      <c r="Q29" s="1062">
        <f t="shared" si="7"/>
        <v>-1.9999999989522621E-2</v>
      </c>
    </row>
    <row r="30" spans="1:17" s="411" customFormat="1" ht="20.25" customHeight="1">
      <c r="A30" s="905">
        <v>2016</v>
      </c>
      <c r="B30" s="1388" t="s">
        <v>222</v>
      </c>
      <c r="C30" s="767">
        <v>40168.408000000003</v>
      </c>
      <c r="D30" s="767">
        <v>1448.711</v>
      </c>
      <c r="E30" s="767">
        <v>1645.086</v>
      </c>
      <c r="F30" s="767">
        <v>18038.289000000001</v>
      </c>
      <c r="G30" s="767">
        <f t="shared" si="4"/>
        <v>61300.494000000006</v>
      </c>
      <c r="H30" s="1375">
        <v>40835.322999999997</v>
      </c>
      <c r="I30" s="1376">
        <f t="shared" si="5"/>
        <v>102135.81700000001</v>
      </c>
      <c r="J30" s="1389">
        <v>5725.0640000000003</v>
      </c>
      <c r="K30" s="767">
        <v>77.872</v>
      </c>
      <c r="L30" s="767">
        <v>22859.599999999999</v>
      </c>
      <c r="M30" s="767">
        <v>64965.7</v>
      </c>
      <c r="N30" s="767">
        <f t="shared" si="6"/>
        <v>93628.236000000004</v>
      </c>
      <c r="O30" s="767">
        <v>8507.6</v>
      </c>
      <c r="Q30" s="1062">
        <f t="shared" si="7"/>
        <v>-1.9000000000232831E-2</v>
      </c>
    </row>
    <row r="31" spans="1:17" s="411" customFormat="1" ht="14.25" customHeight="1">
      <c r="A31" s="380"/>
      <c r="B31" s="1388" t="s">
        <v>223</v>
      </c>
      <c r="C31" s="767">
        <v>41297.1</v>
      </c>
      <c r="D31" s="767">
        <v>1428.3</v>
      </c>
      <c r="E31" s="767">
        <v>3413.7</v>
      </c>
      <c r="F31" s="767">
        <v>27025.599999999999</v>
      </c>
      <c r="G31" s="767">
        <f t="shared" si="4"/>
        <v>73164.7</v>
      </c>
      <c r="H31" s="1375">
        <v>48324.800000000003</v>
      </c>
      <c r="I31" s="1376">
        <f t="shared" si="5"/>
        <v>121489.5</v>
      </c>
      <c r="J31" s="1389">
        <v>1912.2</v>
      </c>
      <c r="K31" s="767">
        <v>82.5</v>
      </c>
      <c r="L31" s="767">
        <v>45148.2</v>
      </c>
      <c r="M31" s="767">
        <v>63390.7</v>
      </c>
      <c r="N31" s="767">
        <f t="shared" si="6"/>
        <v>110533.59999999999</v>
      </c>
      <c r="O31" s="767">
        <v>10955.9</v>
      </c>
      <c r="Q31" s="1062">
        <f t="shared" si="7"/>
        <v>0</v>
      </c>
    </row>
    <row r="32" spans="1:17" s="411" customFormat="1" ht="14.25" customHeight="1">
      <c r="A32" s="380"/>
      <c r="B32" s="1388" t="s">
        <v>224</v>
      </c>
      <c r="C32" s="767">
        <v>66464.572</v>
      </c>
      <c r="D32" s="767">
        <v>1183.8599999999999</v>
      </c>
      <c r="E32" s="767">
        <v>861.202</v>
      </c>
      <c r="F32" s="767">
        <v>28073.569</v>
      </c>
      <c r="G32" s="767">
        <f t="shared" si="4"/>
        <v>96583.203000000009</v>
      </c>
      <c r="H32" s="1375">
        <v>30106.075000000001</v>
      </c>
      <c r="I32" s="1376">
        <f t="shared" si="5"/>
        <v>126689.27800000001</v>
      </c>
      <c r="J32" s="1389">
        <v>815.59900000000005</v>
      </c>
      <c r="K32" s="767">
        <v>75.978999999999999</v>
      </c>
      <c r="L32" s="767">
        <v>40872.284</v>
      </c>
      <c r="M32" s="767">
        <v>64604.2</v>
      </c>
      <c r="N32" s="767">
        <f t="shared" si="6"/>
        <v>106368.06200000001</v>
      </c>
      <c r="O32" s="767">
        <v>20321.2</v>
      </c>
      <c r="Q32" s="1062">
        <f t="shared" si="7"/>
        <v>1.6000000003259629E-2</v>
      </c>
    </row>
    <row r="33" spans="1:17" s="411" customFormat="1" ht="14.25" customHeight="1">
      <c r="A33" s="380"/>
      <c r="B33" s="1388" t="s">
        <v>225</v>
      </c>
      <c r="C33" s="767">
        <v>50429.699000000001</v>
      </c>
      <c r="D33" s="767">
        <v>1087.788</v>
      </c>
      <c r="E33" s="767">
        <v>557.70899999999995</v>
      </c>
      <c r="F33" s="767">
        <v>26818.187999999998</v>
      </c>
      <c r="G33" s="767">
        <f t="shared" si="4"/>
        <v>78893.384000000005</v>
      </c>
      <c r="H33" s="1375">
        <v>45225.025000000001</v>
      </c>
      <c r="I33" s="1376">
        <f t="shared" si="5"/>
        <v>124118.40900000001</v>
      </c>
      <c r="J33" s="1389">
        <v>25906.226999999999</v>
      </c>
      <c r="K33" s="767">
        <v>64.911000000000001</v>
      </c>
      <c r="L33" s="767">
        <v>17167.536</v>
      </c>
      <c r="M33" s="767">
        <v>64603.792999999998</v>
      </c>
      <c r="N33" s="767">
        <f t="shared" si="6"/>
        <v>107742.467</v>
      </c>
      <c r="O33" s="767">
        <v>16375.941999999999</v>
      </c>
      <c r="Q33" s="1062">
        <f t="shared" si="7"/>
        <v>0</v>
      </c>
    </row>
    <row r="34" spans="1:17" s="411" customFormat="1" ht="20.25" customHeight="1">
      <c r="A34" s="905">
        <v>2017</v>
      </c>
      <c r="B34" s="1388" t="s">
        <v>222</v>
      </c>
      <c r="C34" s="767">
        <v>48566.319000000003</v>
      </c>
      <c r="D34" s="767">
        <v>4923.9269999999997</v>
      </c>
      <c r="E34" s="767">
        <v>1338.7750000000001</v>
      </c>
      <c r="F34" s="767">
        <v>27137.902999999998</v>
      </c>
      <c r="G34" s="767">
        <f t="shared" si="4"/>
        <v>81966.923999999999</v>
      </c>
      <c r="H34" s="1375">
        <v>38733.561000000002</v>
      </c>
      <c r="I34" s="1376">
        <f t="shared" si="5"/>
        <v>120700.485</v>
      </c>
      <c r="J34" s="1389">
        <v>30327.949000000001</v>
      </c>
      <c r="K34" s="767">
        <v>175.63399999999999</v>
      </c>
      <c r="L34" s="767">
        <v>11563.821</v>
      </c>
      <c r="M34" s="767">
        <v>65158.478999999999</v>
      </c>
      <c r="N34" s="767">
        <f t="shared" si="6"/>
        <v>107225.883</v>
      </c>
      <c r="O34" s="767">
        <v>13474.602000000001</v>
      </c>
      <c r="Q34" s="1062">
        <f t="shared" si="7"/>
        <v>0</v>
      </c>
    </row>
    <row r="35" spans="1:17" s="411" customFormat="1" ht="14.25" customHeight="1">
      <c r="A35" s="380"/>
      <c r="B35" s="1388" t="s">
        <v>223</v>
      </c>
      <c r="C35" s="767">
        <v>57826.665999999997</v>
      </c>
      <c r="D35" s="767">
        <v>4823.0469999999996</v>
      </c>
      <c r="E35" s="767">
        <v>1755.8720000000001</v>
      </c>
      <c r="F35" s="767">
        <v>27842.030999999999</v>
      </c>
      <c r="G35" s="767">
        <f t="shared" ref="G35:G41" si="8">SUM(C35:F35)</f>
        <v>92247.615999999995</v>
      </c>
      <c r="H35" s="1375">
        <v>40646.851000000002</v>
      </c>
      <c r="I35" s="1376">
        <f t="shared" ref="I35:I41" si="9">SUM(G35:H35)</f>
        <v>132894.467</v>
      </c>
      <c r="J35" s="1389">
        <v>38837.875</v>
      </c>
      <c r="K35" s="767">
        <v>76.688999999999993</v>
      </c>
      <c r="L35" s="767">
        <v>12300.843999999999</v>
      </c>
      <c r="M35" s="767">
        <v>68781.760999999999</v>
      </c>
      <c r="N35" s="767">
        <f t="shared" ref="N35:N41" si="10">SUM(J35:M35)</f>
        <v>119997.16899999999</v>
      </c>
      <c r="O35" s="767">
        <v>12897.298000000001</v>
      </c>
      <c r="Q35" s="1062">
        <f t="shared" ref="Q35" si="11">I35-SUM(N35:O35)</f>
        <v>0</v>
      </c>
    </row>
    <row r="36" spans="1:17" s="411" customFormat="1" ht="14.25" customHeight="1">
      <c r="A36" s="380"/>
      <c r="B36" s="1388" t="s">
        <v>224</v>
      </c>
      <c r="C36" s="767">
        <v>76983.077999999994</v>
      </c>
      <c r="D36" s="767">
        <v>4830.2389999999996</v>
      </c>
      <c r="E36" s="767">
        <v>6438.692</v>
      </c>
      <c r="F36" s="767">
        <v>28938.654999999999</v>
      </c>
      <c r="G36" s="767">
        <f t="shared" si="8"/>
        <v>117190.66399999999</v>
      </c>
      <c r="H36" s="1375">
        <v>28773.835999999999</v>
      </c>
      <c r="I36" s="1376">
        <f t="shared" si="9"/>
        <v>145964.5</v>
      </c>
      <c r="J36" s="1389">
        <v>34033.040999999997</v>
      </c>
      <c r="K36" s="767">
        <v>72.972999999999999</v>
      </c>
      <c r="L36" s="767">
        <v>12888.214</v>
      </c>
      <c r="M36" s="767">
        <v>70575.596000000005</v>
      </c>
      <c r="N36" s="767">
        <f t="shared" si="10"/>
        <v>117569.82399999999</v>
      </c>
      <c r="O36" s="767">
        <v>28394.674999999999</v>
      </c>
      <c r="Q36" s="1062">
        <f t="shared" ref="Q36:Q41" si="12">I36-SUM(N36:O36)</f>
        <v>1.0000000183936208E-3</v>
      </c>
    </row>
    <row r="37" spans="1:17" s="411" customFormat="1" ht="14.25" customHeight="1">
      <c r="A37" s="380"/>
      <c r="B37" s="1388" t="s">
        <v>225</v>
      </c>
      <c r="C37" s="767">
        <v>53188.843999999997</v>
      </c>
      <c r="D37" s="767">
        <v>4831.29</v>
      </c>
      <c r="E37" s="767">
        <v>1000.2670000000001</v>
      </c>
      <c r="F37" s="767">
        <v>17667.021000000001</v>
      </c>
      <c r="G37" s="767">
        <f t="shared" si="8"/>
        <v>76687.421999999991</v>
      </c>
      <c r="H37" s="1375">
        <v>42744.773000000001</v>
      </c>
      <c r="I37" s="1376">
        <f t="shared" si="9"/>
        <v>119432.19499999999</v>
      </c>
      <c r="J37" s="1389">
        <v>31255.962</v>
      </c>
      <c r="K37" s="767">
        <v>128.38800000000001</v>
      </c>
      <c r="L37" s="767">
        <v>9825.7450000000008</v>
      </c>
      <c r="M37" s="767">
        <v>60881.508000000002</v>
      </c>
      <c r="N37" s="767">
        <f t="shared" si="10"/>
        <v>102091.603</v>
      </c>
      <c r="O37" s="767">
        <v>17340.592000000001</v>
      </c>
      <c r="Q37" s="1062">
        <f t="shared" si="12"/>
        <v>0</v>
      </c>
    </row>
    <row r="38" spans="1:17" s="411" customFormat="1" ht="20.25" customHeight="1">
      <c r="A38" s="905">
        <v>2018</v>
      </c>
      <c r="B38" s="1388" t="s">
        <v>222</v>
      </c>
      <c r="C38" s="767">
        <v>80019.054999999993</v>
      </c>
      <c r="D38" s="767">
        <v>4987.3919999999998</v>
      </c>
      <c r="E38" s="767">
        <v>1170.886</v>
      </c>
      <c r="F38" s="767">
        <v>37002.160000000003</v>
      </c>
      <c r="G38" s="767">
        <f t="shared" si="8"/>
        <v>123179.49299999999</v>
      </c>
      <c r="H38" s="1375">
        <v>34930.497000000003</v>
      </c>
      <c r="I38" s="1376">
        <f t="shared" si="9"/>
        <v>158109.99</v>
      </c>
      <c r="J38" s="1389">
        <v>27599.472000000002</v>
      </c>
      <c r="K38" s="767">
        <v>228.495</v>
      </c>
      <c r="L38" s="767">
        <v>31583.097000000002</v>
      </c>
      <c r="M38" s="767">
        <v>61994.51</v>
      </c>
      <c r="N38" s="767">
        <f t="shared" si="10"/>
        <v>121405.57399999999</v>
      </c>
      <c r="O38" s="767">
        <v>36704.415999999997</v>
      </c>
      <c r="Q38" s="1062">
        <f t="shared" si="12"/>
        <v>0</v>
      </c>
    </row>
    <row r="39" spans="1:17" s="411" customFormat="1" ht="14.25" customHeight="1">
      <c r="A39" s="380"/>
      <c r="B39" s="1388" t="s">
        <v>223</v>
      </c>
      <c r="C39" s="767">
        <v>128775.82</v>
      </c>
      <c r="D39" s="767">
        <v>6487.5050000000001</v>
      </c>
      <c r="E39" s="767">
        <v>1563.655</v>
      </c>
      <c r="F39" s="767">
        <v>24741.257000000001</v>
      </c>
      <c r="G39" s="767">
        <f t="shared" si="8"/>
        <v>161568.23700000002</v>
      </c>
      <c r="H39" s="1375">
        <v>13749.763000000001</v>
      </c>
      <c r="I39" s="1376">
        <f t="shared" si="9"/>
        <v>175318.00000000003</v>
      </c>
      <c r="J39" s="1389">
        <v>36712.949000000001</v>
      </c>
      <c r="K39" s="767">
        <v>313.05900000000003</v>
      </c>
      <c r="L39" s="767">
        <v>14747.786</v>
      </c>
      <c r="M39" s="767">
        <v>62915.529000000002</v>
      </c>
      <c r="N39" s="767">
        <f t="shared" si="10"/>
        <v>114689.323</v>
      </c>
      <c r="O39" s="767">
        <v>60628.677000000003</v>
      </c>
      <c r="Q39" s="1062">
        <f t="shared" si="12"/>
        <v>0</v>
      </c>
    </row>
    <row r="40" spans="1:17" s="411" customFormat="1" ht="14.25" customHeight="1">
      <c r="A40" s="380"/>
      <c r="B40" s="1388" t="s">
        <v>224</v>
      </c>
      <c r="C40" s="767">
        <v>78879.805999999997</v>
      </c>
      <c r="D40" s="767">
        <v>6629.4560000000001</v>
      </c>
      <c r="E40" s="767">
        <v>926.66600000000005</v>
      </c>
      <c r="F40" s="767">
        <v>20621.845000000001</v>
      </c>
      <c r="G40" s="767">
        <f t="shared" si="8"/>
        <v>107057.773</v>
      </c>
      <c r="H40" s="1375">
        <v>50565.328999999998</v>
      </c>
      <c r="I40" s="1376">
        <f t="shared" si="9"/>
        <v>157623.10200000001</v>
      </c>
      <c r="J40" s="1389">
        <v>29280.859</v>
      </c>
      <c r="K40" s="767">
        <v>98.713999999999999</v>
      </c>
      <c r="L40" s="767">
        <v>13715.091</v>
      </c>
      <c r="M40" s="767">
        <v>63494.849000000002</v>
      </c>
      <c r="N40" s="767">
        <f t="shared" si="10"/>
        <v>106589.51300000001</v>
      </c>
      <c r="O40" s="767">
        <v>51033.589</v>
      </c>
      <c r="Q40" s="1062">
        <f t="shared" si="12"/>
        <v>0</v>
      </c>
    </row>
    <row r="41" spans="1:17" s="411" customFormat="1" ht="14.25" customHeight="1">
      <c r="A41" s="380"/>
      <c r="B41" s="1388" t="s">
        <v>225</v>
      </c>
      <c r="C41" s="767">
        <v>37233.963000000003</v>
      </c>
      <c r="D41" s="767">
        <v>5298.0129999999999</v>
      </c>
      <c r="E41" s="767">
        <v>175.71</v>
      </c>
      <c r="F41" s="767">
        <v>20049.621999999999</v>
      </c>
      <c r="G41" s="767">
        <f t="shared" si="8"/>
        <v>62757.308000000005</v>
      </c>
      <c r="H41" s="1375">
        <v>46658.277999999998</v>
      </c>
      <c r="I41" s="1376">
        <f t="shared" si="9"/>
        <v>109415.58600000001</v>
      </c>
      <c r="J41" s="1389">
        <v>26595.329000000002</v>
      </c>
      <c r="K41" s="767">
        <v>37.421999999999997</v>
      </c>
      <c r="L41" s="767">
        <f>11424.849+0.01</f>
        <v>11424.859</v>
      </c>
      <c r="M41" s="767">
        <v>61724.652000000002</v>
      </c>
      <c r="N41" s="767">
        <f t="shared" si="10"/>
        <v>99782.262000000002</v>
      </c>
      <c r="O41" s="767">
        <v>9633.3340000000007</v>
      </c>
      <c r="Q41" s="1062">
        <f t="shared" si="12"/>
        <v>-9.9999999947613105E-3</v>
      </c>
    </row>
    <row r="42" spans="1:17" s="411" customFormat="1" ht="20.25" customHeight="1">
      <c r="A42" s="905">
        <v>2019</v>
      </c>
      <c r="B42" s="1388" t="s">
        <v>222</v>
      </c>
      <c r="C42" s="767">
        <v>67398.918000000005</v>
      </c>
      <c r="D42" s="767">
        <v>5699.7550000000001</v>
      </c>
      <c r="E42" s="767">
        <v>45.393999999999998</v>
      </c>
      <c r="F42" s="767">
        <v>19399.987000000001</v>
      </c>
      <c r="G42" s="767">
        <f t="shared" ref="G42:G45" si="13">SUM(C42:F42)</f>
        <v>92544.054000000004</v>
      </c>
      <c r="H42" s="1375">
        <v>62112.968999999997</v>
      </c>
      <c r="I42" s="1376">
        <f t="shared" ref="I42:I45" si="14">SUM(G42:H42)</f>
        <v>154657.02299999999</v>
      </c>
      <c r="J42" s="1389">
        <v>19312.689999999999</v>
      </c>
      <c r="K42" s="767">
        <v>107.473</v>
      </c>
      <c r="L42" s="767">
        <v>15787.002</v>
      </c>
      <c r="M42" s="767">
        <v>62900.487999999998</v>
      </c>
      <c r="N42" s="767">
        <f t="shared" ref="N42:N45" si="15">SUM(J42:M42)</f>
        <v>98107.652999999991</v>
      </c>
      <c r="O42" s="767">
        <v>56549.37</v>
      </c>
      <c r="Q42" s="1062">
        <f t="shared" ref="Q42:Q44" si="16">I42-SUM(N42:O42)</f>
        <v>0</v>
      </c>
    </row>
    <row r="43" spans="1:17" s="411" customFormat="1" ht="14.25" customHeight="1">
      <c r="A43" s="380"/>
      <c r="B43" s="1388" t="s">
        <v>223</v>
      </c>
      <c r="C43" s="767">
        <v>79993.680999999997</v>
      </c>
      <c r="D43" s="767">
        <v>4638.3090000000002</v>
      </c>
      <c r="E43" s="767">
        <v>125.16800000000001</v>
      </c>
      <c r="F43" s="767">
        <v>21813.635999999999</v>
      </c>
      <c r="G43" s="767">
        <f t="shared" si="13"/>
        <v>106570.79399999999</v>
      </c>
      <c r="H43" s="1375">
        <v>28523.738000000001</v>
      </c>
      <c r="I43" s="1376">
        <f t="shared" si="14"/>
        <v>135094.53200000001</v>
      </c>
      <c r="J43" s="1389">
        <v>22733.848999999998</v>
      </c>
      <c r="K43" s="767">
        <v>76.067999999999998</v>
      </c>
      <c r="L43" s="767">
        <v>15172.288</v>
      </c>
      <c r="M43" s="767">
        <v>59526.487000000001</v>
      </c>
      <c r="N43" s="767">
        <f t="shared" si="15"/>
        <v>97508.69200000001</v>
      </c>
      <c r="O43" s="767">
        <v>37585.839999999997</v>
      </c>
      <c r="Q43" s="1062">
        <f t="shared" si="16"/>
        <v>0</v>
      </c>
    </row>
    <row r="44" spans="1:17" s="411" customFormat="1" ht="14.25" customHeight="1">
      <c r="A44" s="380"/>
      <c r="B44" s="1388" t="s">
        <v>224</v>
      </c>
      <c r="C44" s="767">
        <v>50552.430999999997</v>
      </c>
      <c r="D44" s="767">
        <v>4629.2929999999997</v>
      </c>
      <c r="E44" s="767">
        <v>18.102</v>
      </c>
      <c r="F44" s="767">
        <v>20682.09</v>
      </c>
      <c r="G44" s="767">
        <f t="shared" si="13"/>
        <v>75881.915999999997</v>
      </c>
      <c r="H44" s="1375">
        <v>38591.319000000003</v>
      </c>
      <c r="I44" s="1376">
        <f t="shared" si="14"/>
        <v>114473.235</v>
      </c>
      <c r="J44" s="1389">
        <v>23146.138999999999</v>
      </c>
      <c r="K44" s="767">
        <v>387.94099999999997</v>
      </c>
      <c r="L44" s="767">
        <v>12666.93</v>
      </c>
      <c r="M44" s="767">
        <v>57861.866000000002</v>
      </c>
      <c r="N44" s="767">
        <f t="shared" si="15"/>
        <v>94062.875999999989</v>
      </c>
      <c r="O44" s="767">
        <v>20410.359</v>
      </c>
      <c r="Q44" s="1062">
        <f t="shared" si="16"/>
        <v>0</v>
      </c>
    </row>
    <row r="45" spans="1:17" s="411" customFormat="1" ht="14.25" customHeight="1">
      <c r="A45" s="380"/>
      <c r="B45" s="1388" t="s">
        <v>225</v>
      </c>
      <c r="C45" s="767">
        <v>51415.019</v>
      </c>
      <c r="D45" s="767">
        <v>4519.7269999999999</v>
      </c>
      <c r="E45" s="767">
        <v>303.71800000000002</v>
      </c>
      <c r="F45" s="767">
        <v>18653.644</v>
      </c>
      <c r="G45" s="767">
        <f t="shared" si="13"/>
        <v>74892.108000000007</v>
      </c>
      <c r="H45" s="1375">
        <v>26850.564999999999</v>
      </c>
      <c r="I45" s="1376">
        <f t="shared" si="14"/>
        <v>101742.67300000001</v>
      </c>
      <c r="J45" s="1389">
        <v>21199.171999999999</v>
      </c>
      <c r="K45" s="767">
        <v>197.86799999999999</v>
      </c>
      <c r="L45" s="767">
        <v>7749.799</v>
      </c>
      <c r="M45" s="767">
        <v>56869.620999999999</v>
      </c>
      <c r="N45" s="767">
        <f t="shared" si="15"/>
        <v>86016.459999999992</v>
      </c>
      <c r="O45" s="767">
        <v>15726.213</v>
      </c>
      <c r="Q45" s="1062"/>
    </row>
    <row r="46" spans="1:17" s="5" customFormat="1" ht="20.25" customHeight="1">
      <c r="A46" s="231" t="s">
        <v>1188</v>
      </c>
      <c r="B46" s="1390"/>
      <c r="C46" s="233"/>
      <c r="D46" s="233"/>
      <c r="E46" s="233"/>
      <c r="F46" s="233"/>
      <c r="G46" s="233"/>
      <c r="H46" s="233"/>
      <c r="I46" s="1391"/>
      <c r="J46" s="1391"/>
      <c r="K46" s="1391"/>
      <c r="L46" s="231"/>
      <c r="M46" s="231"/>
      <c r="N46" s="231"/>
      <c r="O46" s="253" t="s">
        <v>1189</v>
      </c>
    </row>
    <row r="47" spans="1:17" s="5" customFormat="1" ht="3.75" customHeight="1">
      <c r="A47" s="186"/>
      <c r="B47" s="1392"/>
      <c r="H47" s="6"/>
      <c r="I47" s="6"/>
      <c r="J47" s="6"/>
      <c r="O47" s="255"/>
    </row>
    <row r="48" spans="1:17" s="29" customFormat="1" ht="12.75">
      <c r="A48" s="408" t="s">
        <v>1190</v>
      </c>
      <c r="B48" s="3"/>
      <c r="C48" s="3"/>
      <c r="D48" s="3"/>
      <c r="E48" s="3"/>
      <c r="F48" s="3"/>
      <c r="G48" s="3"/>
      <c r="H48" s="3"/>
      <c r="I48" s="3"/>
      <c r="J48" s="3"/>
      <c r="K48" s="3"/>
      <c r="L48" s="3"/>
      <c r="M48" s="3"/>
      <c r="N48" s="3"/>
      <c r="O48" s="3"/>
    </row>
  </sheetData>
  <mergeCells count="3">
    <mergeCell ref="A5:B7"/>
    <mergeCell ref="A8:B10"/>
    <mergeCell ref="Q9:Q10"/>
  </mergeCells>
  <printOptions horizontalCentered="1" verticalCentered="1"/>
  <pageMargins left="0" right="0" top="0" bottom="0" header="0.3" footer="0.3"/>
  <pageSetup paperSize="9" scale="78"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6">
    <pageSetUpPr fitToPage="1"/>
  </sheetPr>
  <dimension ref="A1:AH51"/>
  <sheetViews>
    <sheetView topLeftCell="A23" zoomScale="80" zoomScaleNormal="80" workbookViewId="0">
      <selection activeCell="A49" sqref="A1:XFD1048576"/>
    </sheetView>
  </sheetViews>
  <sheetFormatPr defaultColWidth="18.28515625" defaultRowHeight="15.75"/>
  <cols>
    <col min="1" max="1" width="10.85546875" style="1308" customWidth="1"/>
    <col min="2" max="2" width="10.7109375" style="1054" customWidth="1"/>
    <col min="3" max="8" width="20.7109375" style="1054" customWidth="1"/>
    <col min="9" max="16384" width="18.28515625" style="1054"/>
  </cols>
  <sheetData>
    <row r="1" spans="1:8" ht="18">
      <c r="A1" s="1289" t="s">
        <v>1191</v>
      </c>
      <c r="B1" s="1319"/>
      <c r="C1" s="1319"/>
      <c r="D1" s="1319"/>
      <c r="E1" s="1289"/>
      <c r="F1" s="1319"/>
      <c r="G1" s="1319"/>
      <c r="H1" s="1319"/>
    </row>
    <row r="2" spans="1:8" ht="18">
      <c r="A2" s="1290" t="s">
        <v>1192</v>
      </c>
      <c r="B2" s="1320"/>
      <c r="C2" s="1320"/>
      <c r="D2" s="1320"/>
      <c r="E2" s="1320"/>
      <c r="F2" s="1320"/>
      <c r="G2" s="1320"/>
      <c r="H2" s="1320"/>
    </row>
    <row r="3" spans="1:8">
      <c r="A3" s="1257" t="s">
        <v>73</v>
      </c>
      <c r="B3" s="1257"/>
      <c r="C3" s="1257"/>
      <c r="D3" s="1257"/>
      <c r="E3" s="1321"/>
      <c r="F3" s="1257"/>
      <c r="G3" s="1257"/>
      <c r="H3" s="1257"/>
    </row>
    <row r="4" spans="1:8" ht="4.5" customHeight="1">
      <c r="A4" s="1257"/>
      <c r="B4" s="1257"/>
      <c r="C4" s="1257"/>
      <c r="D4" s="1257"/>
      <c r="E4" s="1321"/>
      <c r="F4" s="1257"/>
      <c r="G4" s="1257"/>
      <c r="H4" s="1257"/>
    </row>
    <row r="5" spans="1:8" hidden="1">
      <c r="A5" s="1257"/>
      <c r="B5" s="1257"/>
      <c r="C5" s="1257"/>
      <c r="D5" s="1257"/>
      <c r="E5" s="1321"/>
      <c r="F5" s="1257"/>
      <c r="G5" s="1257"/>
      <c r="H5" s="1257"/>
    </row>
    <row r="6" spans="1:8" hidden="1">
      <c r="A6" s="1257"/>
      <c r="B6" s="1257"/>
      <c r="C6" s="1257"/>
      <c r="D6" s="1257"/>
      <c r="E6" s="1321"/>
      <c r="F6" s="1257"/>
      <c r="G6" s="1257"/>
      <c r="H6" s="1257"/>
    </row>
    <row r="7" spans="1:8" hidden="1">
      <c r="A7" s="1257"/>
      <c r="B7" s="1257"/>
      <c r="C7" s="1257"/>
      <c r="D7" s="1257"/>
      <c r="E7" s="1321"/>
      <c r="F7" s="1257"/>
      <c r="G7" s="1257"/>
      <c r="H7" s="1257"/>
    </row>
    <row r="8" spans="1:8">
      <c r="A8" s="1291" t="s">
        <v>354</v>
      </c>
      <c r="H8" s="869" t="s">
        <v>355</v>
      </c>
    </row>
    <row r="9" spans="1:8" s="1292" customFormat="1" ht="27" customHeight="1">
      <c r="A9" s="2183" t="s">
        <v>1193</v>
      </c>
      <c r="B9" s="2183"/>
      <c r="C9" s="2184" t="s">
        <v>1194</v>
      </c>
      <c r="D9" s="2184"/>
      <c r="E9" s="2184" t="s">
        <v>1195</v>
      </c>
      <c r="F9" s="2185" t="s">
        <v>1196</v>
      </c>
      <c r="G9" s="2186"/>
      <c r="H9" s="2187"/>
    </row>
    <row r="10" spans="1:8" s="1292" customFormat="1" ht="45.75" customHeight="1">
      <c r="A10" s="2183"/>
      <c r="B10" s="2183"/>
      <c r="C10" s="2188" t="s">
        <v>1197</v>
      </c>
      <c r="D10" s="2188"/>
      <c r="E10" s="2192"/>
      <c r="F10" s="2189" t="s">
        <v>1198</v>
      </c>
      <c r="G10" s="2190"/>
      <c r="H10" s="2191"/>
    </row>
    <row r="11" spans="1:8" s="1292" customFormat="1" ht="45.75" customHeight="1">
      <c r="A11" s="2183"/>
      <c r="B11" s="2183"/>
      <c r="C11" s="1263" t="s">
        <v>1199</v>
      </c>
      <c r="D11" s="1263" t="s">
        <v>1200</v>
      </c>
      <c r="E11" s="2192" t="s">
        <v>1201</v>
      </c>
      <c r="F11" s="1322" t="s">
        <v>1202</v>
      </c>
      <c r="G11" s="1263" t="s">
        <v>1203</v>
      </c>
      <c r="H11" s="1323" t="s">
        <v>1204</v>
      </c>
    </row>
    <row r="12" spans="1:8" s="1309" customFormat="1" ht="31.5">
      <c r="A12" s="2183"/>
      <c r="B12" s="2183"/>
      <c r="C12" s="1264" t="s">
        <v>1205</v>
      </c>
      <c r="D12" s="1264" t="s">
        <v>1206</v>
      </c>
      <c r="E12" s="2188"/>
      <c r="F12" s="1324" t="s">
        <v>1207</v>
      </c>
      <c r="G12" s="1324" t="s">
        <v>1208</v>
      </c>
      <c r="H12" s="1324" t="s">
        <v>1209</v>
      </c>
    </row>
    <row r="13" spans="1:8" ht="21" customHeight="1">
      <c r="A13" s="2193">
        <v>2010</v>
      </c>
      <c r="B13" s="2194"/>
      <c r="C13" s="1060">
        <v>9612.0566280319999</v>
      </c>
      <c r="D13" s="1060">
        <v>37068.860147681997</v>
      </c>
      <c r="E13" s="1060">
        <v>4418.4180362309999</v>
      </c>
      <c r="F13" s="1060"/>
      <c r="G13" s="1060"/>
      <c r="H13" s="1060"/>
    </row>
    <row r="14" spans="1:8" ht="14.25" customHeight="1">
      <c r="A14" s="2193">
        <v>2011</v>
      </c>
      <c r="B14" s="2194"/>
      <c r="C14" s="1060">
        <v>8908.0576231549985</v>
      </c>
      <c r="D14" s="1060">
        <v>42288.524706971002</v>
      </c>
      <c r="E14" s="1060">
        <v>4335.7406538669993</v>
      </c>
      <c r="F14" s="1060"/>
      <c r="G14" s="1060"/>
      <c r="H14" s="1060"/>
    </row>
    <row r="15" spans="1:8" ht="14.25" customHeight="1">
      <c r="A15" s="2193">
        <v>2012</v>
      </c>
      <c r="B15" s="2194"/>
      <c r="C15" s="1060">
        <v>9691.0896496740006</v>
      </c>
      <c r="D15" s="1060">
        <v>39452.482202029998</v>
      </c>
      <c r="E15" s="1060">
        <v>6825.1190134999988</v>
      </c>
      <c r="F15" s="1060"/>
      <c r="G15" s="1060"/>
      <c r="H15" s="1060"/>
    </row>
    <row r="16" spans="1:8" ht="14.25" customHeight="1">
      <c r="A16" s="2193">
        <v>2013</v>
      </c>
      <c r="B16" s="2194"/>
      <c r="C16" s="1060">
        <v>10455.760230675</v>
      </c>
      <c r="D16" s="1060">
        <v>48340.629219344999</v>
      </c>
      <c r="E16" s="1060">
        <v>9076.4837356289991</v>
      </c>
      <c r="F16" s="1060"/>
      <c r="G16" s="1060"/>
      <c r="H16" s="1060"/>
    </row>
    <row r="17" spans="1:34" ht="14.25" customHeight="1">
      <c r="A17" s="2193">
        <v>2014</v>
      </c>
      <c r="B17" s="2194"/>
      <c r="C17" s="1060">
        <v>12433.861396374001</v>
      </c>
      <c r="D17" s="1060">
        <v>50934.642557705003</v>
      </c>
      <c r="E17" s="1060">
        <v>10136.713926998998</v>
      </c>
      <c r="F17" s="1060"/>
      <c r="G17" s="1060"/>
      <c r="H17" s="1060"/>
    </row>
    <row r="18" spans="1:34" ht="14.25" customHeight="1">
      <c r="A18" s="2193">
        <v>2015</v>
      </c>
      <c r="B18" s="2194"/>
      <c r="C18" s="1060">
        <v>15074.692910283002</v>
      </c>
      <c r="D18" s="1060">
        <v>53503.828161632002</v>
      </c>
      <c r="E18" s="1060">
        <v>10479.285891078001</v>
      </c>
      <c r="F18" s="1060">
        <v>1.4</v>
      </c>
      <c r="G18" s="1060">
        <v>633.1</v>
      </c>
      <c r="H18" s="1060">
        <v>7.9999999999999996E-6</v>
      </c>
    </row>
    <row r="19" spans="1:34" ht="14.25" customHeight="1">
      <c r="A19" s="1266">
        <v>2016</v>
      </c>
      <c r="B19" s="1056"/>
      <c r="C19" s="1060">
        <v>11144.820344103</v>
      </c>
      <c r="D19" s="1060">
        <v>64772.22199427701</v>
      </c>
      <c r="E19" s="1060">
        <v>10087.672788426</v>
      </c>
      <c r="F19" s="1060">
        <v>35.700000000000003</v>
      </c>
      <c r="G19" s="1060">
        <v>7286.6</v>
      </c>
      <c r="H19" s="1060">
        <v>12.5</v>
      </c>
    </row>
    <row r="20" spans="1:34" ht="14.25" customHeight="1">
      <c r="A20" s="2193">
        <v>2017</v>
      </c>
      <c r="B20" s="2194"/>
      <c r="C20" s="1060">
        <v>9134.1</v>
      </c>
      <c r="D20" s="1060">
        <v>78021.100000000006</v>
      </c>
      <c r="E20" s="1060">
        <v>10058.5</v>
      </c>
      <c r="F20" s="1060">
        <v>87.6</v>
      </c>
      <c r="G20" s="1060">
        <v>9630.7999999999993</v>
      </c>
      <c r="H20" s="1060">
        <v>79</v>
      </c>
    </row>
    <row r="21" spans="1:34" ht="14.25" customHeight="1">
      <c r="A21" s="1298">
        <v>2018</v>
      </c>
      <c r="B21" s="1056"/>
      <c r="C21" s="1060">
        <v>9232.9</v>
      </c>
      <c r="D21" s="1060">
        <v>81718.899999999994</v>
      </c>
      <c r="E21" s="1060">
        <v>9472</v>
      </c>
      <c r="F21" s="1060">
        <v>174.7</v>
      </c>
      <c r="G21" s="1060">
        <v>11159.1</v>
      </c>
      <c r="H21" s="1060">
        <v>133.1</v>
      </c>
      <c r="I21" s="1301"/>
      <c r="J21" s="1301"/>
      <c r="K21" s="1301"/>
      <c r="L21" s="1301"/>
      <c r="M21" s="1301"/>
      <c r="N21" s="1301"/>
      <c r="O21" s="1301"/>
      <c r="P21" s="1301"/>
      <c r="Q21" s="1301"/>
      <c r="R21" s="1301"/>
    </row>
    <row r="22" spans="1:34" ht="14.25" customHeight="1">
      <c r="A22" s="1316">
        <v>2019</v>
      </c>
      <c r="B22" s="1294"/>
      <c r="C22" s="1325">
        <v>9358.8000000000011</v>
      </c>
      <c r="D22" s="1325">
        <v>84561.900000000009</v>
      </c>
      <c r="E22" s="1325">
        <v>8737.7999999999993</v>
      </c>
      <c r="F22" s="1325">
        <v>542.86</v>
      </c>
      <c r="G22" s="1325">
        <v>12671.900000000001</v>
      </c>
      <c r="H22" s="1325">
        <v>291.44</v>
      </c>
      <c r="I22" s="1301"/>
      <c r="J22" s="1301"/>
      <c r="K22" s="1301"/>
      <c r="L22" s="1301"/>
      <c r="M22" s="1301"/>
      <c r="N22" s="1301"/>
      <c r="O22" s="1301"/>
    </row>
    <row r="23" spans="1:34" ht="21" customHeight="1">
      <c r="A23" s="1298">
        <v>2018</v>
      </c>
      <c r="B23" s="1056" t="s">
        <v>223</v>
      </c>
      <c r="C23" s="1060">
        <v>2339.9</v>
      </c>
      <c r="D23" s="1060">
        <v>20749</v>
      </c>
      <c r="E23" s="1060">
        <v>2477.4</v>
      </c>
      <c r="F23" s="1060">
        <v>39</v>
      </c>
      <c r="G23" s="1060">
        <v>2797.9</v>
      </c>
      <c r="H23" s="1060">
        <v>32.200000000000003</v>
      </c>
      <c r="I23" s="1301"/>
      <c r="J23" s="1301"/>
      <c r="K23" s="1301"/>
      <c r="L23" s="1301"/>
      <c r="M23" s="1301"/>
      <c r="N23" s="1301"/>
      <c r="O23" s="1301"/>
    </row>
    <row r="24" spans="1:34" ht="14.25" customHeight="1">
      <c r="A24" s="1298"/>
      <c r="B24" s="1056" t="s">
        <v>224</v>
      </c>
      <c r="C24" s="1060">
        <v>2295.1999999999998</v>
      </c>
      <c r="D24" s="1060">
        <v>20092.599999999999</v>
      </c>
      <c r="E24" s="1060">
        <v>2268.3000000000002</v>
      </c>
      <c r="F24" s="1060">
        <v>45.9</v>
      </c>
      <c r="G24" s="1060">
        <v>2774.5</v>
      </c>
      <c r="H24" s="1060">
        <v>38.299999999999997</v>
      </c>
      <c r="I24" s="1301"/>
      <c r="J24" s="1301"/>
      <c r="K24" s="1301"/>
      <c r="L24" s="1301"/>
      <c r="M24" s="1301"/>
      <c r="N24" s="1301"/>
      <c r="O24" s="1301"/>
      <c r="P24" s="1301"/>
      <c r="Q24" s="1301"/>
      <c r="R24" s="1301"/>
      <c r="S24" s="1301"/>
      <c r="T24" s="1301"/>
      <c r="U24" s="1301"/>
      <c r="V24" s="1301"/>
      <c r="W24" s="1301"/>
    </row>
    <row r="25" spans="1:34" ht="14.25" customHeight="1">
      <c r="A25" s="1298"/>
      <c r="B25" s="1056" t="s">
        <v>225</v>
      </c>
      <c r="C25" s="1060">
        <v>2258.8000000000002</v>
      </c>
      <c r="D25" s="1060">
        <v>19782.5</v>
      </c>
      <c r="E25" s="1060">
        <v>2331.6</v>
      </c>
      <c r="F25" s="1060">
        <v>57.4</v>
      </c>
      <c r="G25" s="1060">
        <v>2994.8</v>
      </c>
      <c r="H25" s="1060">
        <v>34.700000000000003</v>
      </c>
      <c r="I25" s="1301"/>
      <c r="J25" s="1301"/>
      <c r="K25" s="1301"/>
      <c r="L25" s="1301"/>
      <c r="M25" s="1301"/>
      <c r="N25" s="1301"/>
      <c r="O25" s="1301"/>
    </row>
    <row r="26" spans="1:34" ht="20.25" customHeight="1">
      <c r="A26" s="1298">
        <v>2019</v>
      </c>
      <c r="B26" s="1056" t="s">
        <v>222</v>
      </c>
      <c r="C26" s="1060">
        <v>2279.3000000000002</v>
      </c>
      <c r="D26" s="1060">
        <v>20460.7</v>
      </c>
      <c r="E26" s="1060">
        <v>2210.6999999999998</v>
      </c>
      <c r="F26" s="1060">
        <v>72.400000000000006</v>
      </c>
      <c r="G26" s="1060">
        <v>2979.3</v>
      </c>
      <c r="H26" s="1060">
        <v>39.6</v>
      </c>
      <c r="I26" s="1326"/>
      <c r="J26" s="1301"/>
      <c r="K26" s="1301"/>
      <c r="L26" s="1301"/>
      <c r="M26" s="1301"/>
      <c r="N26" s="1301"/>
      <c r="O26" s="1301"/>
      <c r="P26" s="1301"/>
      <c r="Q26" s="1301"/>
      <c r="R26" s="1301"/>
      <c r="S26" s="1301"/>
      <c r="T26" s="1301"/>
    </row>
    <row r="27" spans="1:34" ht="14.25" customHeight="1">
      <c r="A27" s="1298"/>
      <c r="B27" s="1056" t="s">
        <v>223</v>
      </c>
      <c r="C27" s="1060">
        <v>2427.9</v>
      </c>
      <c r="D27" s="1060">
        <v>24218.799999999999</v>
      </c>
      <c r="E27" s="1060">
        <v>2288.4</v>
      </c>
      <c r="F27" s="1060">
        <v>105.5</v>
      </c>
      <c r="G27" s="1060">
        <v>3255.8</v>
      </c>
      <c r="H27" s="1060">
        <v>70.3</v>
      </c>
      <c r="I27" s="1326"/>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row>
    <row r="28" spans="1:34" ht="14.25" customHeight="1">
      <c r="A28" s="1298"/>
      <c r="B28" s="1056" t="s">
        <v>224</v>
      </c>
      <c r="C28" s="1060">
        <v>2312</v>
      </c>
      <c r="D28" s="1060">
        <v>21283.599999999999</v>
      </c>
      <c r="E28" s="1060">
        <v>2117.8999999999996</v>
      </c>
      <c r="F28" s="1060">
        <v>149.45999999999998</v>
      </c>
      <c r="G28" s="1060">
        <v>3190.8</v>
      </c>
      <c r="H28" s="1060">
        <v>87.639999999999986</v>
      </c>
      <c r="I28" s="1326"/>
      <c r="J28" s="1301"/>
      <c r="K28" s="1301"/>
      <c r="L28" s="1301"/>
      <c r="M28" s="1301"/>
      <c r="N28" s="1301"/>
      <c r="O28" s="1301"/>
      <c r="P28" s="1301"/>
      <c r="Q28" s="1301"/>
      <c r="R28" s="1301"/>
      <c r="S28" s="1301"/>
      <c r="T28" s="1301"/>
    </row>
    <row r="29" spans="1:34" s="1301" customFormat="1" ht="14.25" customHeight="1">
      <c r="A29" s="1298"/>
      <c r="B29" s="1056" t="s">
        <v>225</v>
      </c>
      <c r="C29" s="1060">
        <v>2339.6</v>
      </c>
      <c r="D29" s="1060">
        <v>18598.8</v>
      </c>
      <c r="E29" s="1060">
        <v>2120.8000000000002</v>
      </c>
      <c r="F29" s="1060">
        <v>215.5</v>
      </c>
      <c r="G29" s="1060">
        <v>3246</v>
      </c>
      <c r="H29" s="1060">
        <v>93.9</v>
      </c>
      <c r="I29" s="1326"/>
    </row>
    <row r="30" spans="1:34" ht="21" customHeight="1">
      <c r="A30" s="1316">
        <v>2020</v>
      </c>
      <c r="B30" s="1294" t="s">
        <v>222</v>
      </c>
      <c r="C30" s="1325">
        <v>2559.7999999999997</v>
      </c>
      <c r="D30" s="1325">
        <v>21878.3</v>
      </c>
      <c r="E30" s="1325">
        <v>2113.3000000000002</v>
      </c>
      <c r="F30" s="1325">
        <v>304.60000000000002</v>
      </c>
      <c r="G30" s="1325">
        <v>3406</v>
      </c>
      <c r="H30" s="1325">
        <v>115.1</v>
      </c>
      <c r="I30" s="1326"/>
      <c r="J30" s="1301"/>
      <c r="K30" s="1301"/>
      <c r="L30" s="1301"/>
    </row>
    <row r="31" spans="1:34" ht="20.25" customHeight="1">
      <c r="A31" s="1266">
        <v>2019</v>
      </c>
      <c r="B31" s="1056" t="s">
        <v>399</v>
      </c>
      <c r="C31" s="1060">
        <v>845.1</v>
      </c>
      <c r="D31" s="1060">
        <v>8026.8</v>
      </c>
      <c r="E31" s="1060">
        <v>845.7</v>
      </c>
      <c r="F31" s="1060">
        <v>30.3</v>
      </c>
      <c r="G31" s="1060">
        <v>1075.8</v>
      </c>
      <c r="H31" s="1060">
        <v>34.1</v>
      </c>
    </row>
    <row r="32" spans="1:34" ht="14.25" customHeight="1">
      <c r="A32" s="1266"/>
      <c r="B32" s="1056" t="s">
        <v>400</v>
      </c>
      <c r="C32" s="1327">
        <v>838.7</v>
      </c>
      <c r="D32" s="1060">
        <v>8673.7000000000007</v>
      </c>
      <c r="E32" s="1060">
        <v>731.6</v>
      </c>
      <c r="F32" s="1060">
        <v>36.1</v>
      </c>
      <c r="G32" s="1060">
        <v>1030.8</v>
      </c>
      <c r="H32" s="1328">
        <v>21.4</v>
      </c>
    </row>
    <row r="33" spans="1:15" ht="14.25" customHeight="1">
      <c r="A33" s="1266"/>
      <c r="B33" s="1056" t="s">
        <v>401</v>
      </c>
      <c r="C33" s="1327">
        <v>744.1</v>
      </c>
      <c r="D33" s="1060">
        <v>7518.3</v>
      </c>
      <c r="E33" s="1060">
        <v>711.1</v>
      </c>
      <c r="F33" s="1060">
        <v>39</v>
      </c>
      <c r="G33" s="1060">
        <v>1149.2</v>
      </c>
      <c r="H33" s="1328">
        <v>14.7</v>
      </c>
    </row>
    <row r="34" spans="1:15" ht="14.25" customHeight="1">
      <c r="A34" s="1266"/>
      <c r="B34" s="1056" t="s">
        <v>402</v>
      </c>
      <c r="C34" s="1327">
        <v>882.1</v>
      </c>
      <c r="D34" s="1060">
        <v>8557.1</v>
      </c>
      <c r="E34" s="1060">
        <v>824.2</v>
      </c>
      <c r="F34" s="1060">
        <v>46.8</v>
      </c>
      <c r="G34" s="1060">
        <v>1242.5999999999999</v>
      </c>
      <c r="H34" s="1328">
        <v>51.8</v>
      </c>
    </row>
    <row r="35" spans="1:15" ht="14.25" customHeight="1">
      <c r="A35" s="1266"/>
      <c r="B35" s="1056" t="s">
        <v>403</v>
      </c>
      <c r="C35" s="1327">
        <v>645</v>
      </c>
      <c r="D35" s="1060">
        <v>5981.2</v>
      </c>
      <c r="E35" s="1060">
        <v>628.4</v>
      </c>
      <c r="F35" s="1060">
        <v>48.86</v>
      </c>
      <c r="G35" s="1060">
        <v>950.5</v>
      </c>
      <c r="H35" s="1328">
        <v>18.239999999999998</v>
      </c>
    </row>
    <row r="36" spans="1:15" ht="14.25" customHeight="1">
      <c r="A36" s="1266"/>
      <c r="B36" s="1056" t="s">
        <v>404</v>
      </c>
      <c r="C36" s="1327">
        <v>784.9</v>
      </c>
      <c r="D36" s="1060">
        <v>6745.3</v>
      </c>
      <c r="E36" s="1060">
        <v>665.3</v>
      </c>
      <c r="F36" s="1060">
        <v>53.8</v>
      </c>
      <c r="G36" s="1060">
        <v>997.7</v>
      </c>
      <c r="H36" s="1328">
        <v>17.600000000000001</v>
      </c>
    </row>
    <row r="37" spans="1:15" ht="14.25" customHeight="1">
      <c r="A37" s="1266"/>
      <c r="B37" s="1056" t="s">
        <v>405</v>
      </c>
      <c r="C37" s="1060">
        <v>778.6</v>
      </c>
      <c r="D37" s="1060">
        <v>7849.6</v>
      </c>
      <c r="E37" s="1060">
        <v>736.7</v>
      </c>
      <c r="F37" s="1060">
        <v>64.599999999999994</v>
      </c>
      <c r="G37" s="1060">
        <v>1087</v>
      </c>
      <c r="H37" s="1060">
        <v>49.9</v>
      </c>
    </row>
    <row r="38" spans="1:15" ht="14.25" customHeight="1">
      <c r="A38" s="1266"/>
      <c r="B38" s="1056" t="s">
        <v>406</v>
      </c>
      <c r="C38" s="1060">
        <v>718</v>
      </c>
      <c r="D38" s="1060">
        <v>4949.2</v>
      </c>
      <c r="E38" s="1060">
        <v>610.79999999999995</v>
      </c>
      <c r="F38" s="1060">
        <v>68.2</v>
      </c>
      <c r="G38" s="1060">
        <v>970.9</v>
      </c>
      <c r="H38" s="1060">
        <v>20.6</v>
      </c>
    </row>
    <row r="39" spans="1:15" ht="14.25" customHeight="1">
      <c r="A39" s="1266"/>
      <c r="B39" s="1056" t="s">
        <v>407</v>
      </c>
      <c r="C39" s="1060">
        <v>843</v>
      </c>
      <c r="D39" s="1060">
        <v>5800</v>
      </c>
      <c r="E39" s="1060">
        <v>773.3</v>
      </c>
      <c r="F39" s="1060">
        <v>82.7</v>
      </c>
      <c r="G39" s="1060">
        <v>1188.0999999999999</v>
      </c>
      <c r="H39" s="1060">
        <v>23.4</v>
      </c>
    </row>
    <row r="40" spans="1:15" ht="20.25" customHeight="1">
      <c r="A40" s="1266">
        <v>2020</v>
      </c>
      <c r="B40" s="1056" t="s">
        <v>408</v>
      </c>
      <c r="C40" s="1060">
        <v>817.3</v>
      </c>
      <c r="D40" s="1060">
        <v>6926.9</v>
      </c>
      <c r="E40" s="1060">
        <v>720.5</v>
      </c>
      <c r="F40" s="1060">
        <v>87.3</v>
      </c>
      <c r="G40" s="1060">
        <v>1106</v>
      </c>
      <c r="H40" s="1060">
        <v>42.9</v>
      </c>
    </row>
    <row r="41" spans="1:15" ht="14.25" customHeight="1">
      <c r="A41" s="1266"/>
      <c r="B41" s="1056" t="s">
        <v>409</v>
      </c>
      <c r="C41" s="1060">
        <v>755.9</v>
      </c>
      <c r="D41" s="1060">
        <v>7204.7</v>
      </c>
      <c r="E41" s="1060">
        <v>691.9</v>
      </c>
      <c r="F41" s="1060">
        <v>92.8</v>
      </c>
      <c r="G41" s="1060">
        <v>1033.9000000000001</v>
      </c>
      <c r="H41" s="1060">
        <v>38.200000000000003</v>
      </c>
    </row>
    <row r="42" spans="1:15" ht="14.25" customHeight="1">
      <c r="A42" s="1266"/>
      <c r="B42" s="1056" t="s">
        <v>398</v>
      </c>
      <c r="C42" s="1060">
        <v>986.6</v>
      </c>
      <c r="D42" s="1060">
        <v>7746.7</v>
      </c>
      <c r="E42" s="1060">
        <v>700.9</v>
      </c>
      <c r="F42" s="1060">
        <v>124.5</v>
      </c>
      <c r="G42" s="1060">
        <v>1266.0999999999999</v>
      </c>
      <c r="H42" s="1060">
        <v>34</v>
      </c>
    </row>
    <row r="43" spans="1:15" ht="14.25" customHeight="1">
      <c r="A43" s="1266"/>
      <c r="B43" s="1056" t="s">
        <v>399</v>
      </c>
      <c r="C43" s="1325">
        <v>973.6</v>
      </c>
      <c r="D43" s="1325">
        <v>5893.4</v>
      </c>
      <c r="E43" s="1325">
        <v>594.20000000000005</v>
      </c>
      <c r="F43" s="1325">
        <v>139.1</v>
      </c>
      <c r="G43" s="1325">
        <v>1256.3</v>
      </c>
      <c r="H43" s="1325">
        <v>38.4</v>
      </c>
    </row>
    <row r="44" spans="1:15" s="1333" customFormat="1" ht="20.25" customHeight="1">
      <c r="A44" s="1329" t="s">
        <v>1601</v>
      </c>
      <c r="B44" s="1329"/>
      <c r="C44" s="1329"/>
      <c r="D44" s="1329"/>
      <c r="E44" s="1329"/>
      <c r="F44" s="1330"/>
      <c r="G44" s="1330"/>
      <c r="H44" s="1318" t="s">
        <v>1210</v>
      </c>
      <c r="I44" s="1331"/>
      <c r="J44" s="1331"/>
      <c r="K44" s="1331"/>
      <c r="L44" s="1331"/>
      <c r="M44" s="1331"/>
      <c r="N44" s="1331"/>
      <c r="O44" s="1332"/>
    </row>
    <row r="45" spans="1:15">
      <c r="A45" s="1282" t="s">
        <v>1602</v>
      </c>
      <c r="B45" s="1305"/>
      <c r="C45" s="1305"/>
      <c r="D45" s="1305"/>
      <c r="H45" s="1334" t="s">
        <v>1211</v>
      </c>
    </row>
    <row r="46" spans="1:15">
      <c r="A46" s="1282" t="s">
        <v>1603</v>
      </c>
      <c r="B46" s="1305"/>
      <c r="C46" s="1305"/>
      <c r="D46" s="1305"/>
      <c r="E46" s="1335"/>
      <c r="F46" s="1336"/>
      <c r="G46" s="1336"/>
      <c r="H46" s="1334" t="s">
        <v>1212</v>
      </c>
    </row>
    <row r="47" spans="1:15">
      <c r="A47" s="1282" t="s">
        <v>1213</v>
      </c>
      <c r="B47" s="1305"/>
      <c r="C47" s="1305"/>
      <c r="D47" s="1305"/>
      <c r="H47" s="1334" t="s">
        <v>1214</v>
      </c>
    </row>
    <row r="51" spans="1:8">
      <c r="A51" s="2195" t="s">
        <v>1215</v>
      </c>
      <c r="B51" s="2195"/>
      <c r="C51" s="2195"/>
      <c r="D51" s="2195"/>
      <c r="E51" s="2195"/>
      <c r="F51" s="2195"/>
      <c r="G51" s="2195"/>
      <c r="H51" s="2195"/>
    </row>
  </sheetData>
  <mergeCells count="15">
    <mergeCell ref="A18:B18"/>
    <mergeCell ref="A20:B20"/>
    <mergeCell ref="A51:H51"/>
    <mergeCell ref="A13:B13"/>
    <mergeCell ref="A14:B14"/>
    <mergeCell ref="A15:B15"/>
    <mergeCell ref="A16:B16"/>
    <mergeCell ref="A17:B17"/>
    <mergeCell ref="A9:B12"/>
    <mergeCell ref="C9:D9"/>
    <mergeCell ref="F9:H9"/>
    <mergeCell ref="C10:D10"/>
    <mergeCell ref="F10:H10"/>
    <mergeCell ref="E11:E12"/>
    <mergeCell ref="E9:E10"/>
  </mergeCells>
  <printOptions horizontalCentered="1"/>
  <pageMargins left="0" right="0" top="0" bottom="0" header="0.05" footer="0.25"/>
  <pageSetup scale="72"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pageSetUpPr fitToPage="1"/>
  </sheetPr>
  <dimension ref="A1:AH50"/>
  <sheetViews>
    <sheetView topLeftCell="A27" zoomScale="80" zoomScaleNormal="80" workbookViewId="0">
      <selection activeCell="A49" sqref="A1:XFD1048576"/>
    </sheetView>
  </sheetViews>
  <sheetFormatPr defaultColWidth="18.28515625" defaultRowHeight="15.75"/>
  <cols>
    <col min="1" max="1" width="10.85546875" style="1308" customWidth="1"/>
    <col min="2" max="2" width="10.7109375" style="1054" customWidth="1"/>
    <col min="3" max="12" width="17.7109375" style="1054" customWidth="1"/>
    <col min="13" max="16384" width="18.28515625" style="1054"/>
  </cols>
  <sheetData>
    <row r="1" spans="1:12" ht="18" customHeight="1">
      <c r="A1" s="2198" t="s">
        <v>1216</v>
      </c>
      <c r="B1" s="2198"/>
      <c r="C1" s="2198"/>
      <c r="D1" s="2198"/>
      <c r="E1" s="2198"/>
      <c r="F1" s="2198"/>
      <c r="G1" s="2198"/>
      <c r="H1" s="2198"/>
      <c r="I1" s="2198"/>
      <c r="J1" s="2198"/>
      <c r="K1" s="2198"/>
      <c r="L1" s="2198"/>
    </row>
    <row r="2" spans="1:12" ht="18" customHeight="1">
      <c r="A2" s="2199" t="s">
        <v>76</v>
      </c>
      <c r="B2" s="2199"/>
      <c r="C2" s="2199"/>
      <c r="D2" s="2199"/>
      <c r="E2" s="2199"/>
      <c r="F2" s="2199"/>
      <c r="G2" s="2199"/>
      <c r="H2" s="2199"/>
      <c r="I2" s="2199"/>
      <c r="J2" s="2199"/>
      <c r="K2" s="2199"/>
      <c r="L2" s="2199"/>
    </row>
    <row r="3" spans="1:12">
      <c r="A3" s="2200" t="s">
        <v>75</v>
      </c>
      <c r="B3" s="2200"/>
      <c r="C3" s="2200"/>
      <c r="D3" s="2200"/>
      <c r="E3" s="2200"/>
      <c r="F3" s="2200"/>
      <c r="G3" s="2200"/>
      <c r="H3" s="2200"/>
      <c r="I3" s="2200"/>
      <c r="J3" s="2200"/>
      <c r="K3" s="2200"/>
      <c r="L3" s="2200"/>
    </row>
    <row r="4" spans="1:12" ht="4.5" customHeight="1">
      <c r="A4" s="1257"/>
      <c r="B4" s="1257"/>
      <c r="C4" s="1257"/>
      <c r="D4" s="1257"/>
      <c r="E4" s="1257"/>
      <c r="F4" s="1257"/>
      <c r="G4" s="1257"/>
      <c r="H4" s="1257"/>
      <c r="I4" s="1257"/>
      <c r="J4" s="1257"/>
      <c r="K4" s="1257"/>
      <c r="L4" s="1257"/>
    </row>
    <row r="5" spans="1:12" hidden="1">
      <c r="A5" s="1257"/>
      <c r="B5" s="1257"/>
      <c r="C5" s="1257"/>
      <c r="D5" s="1257"/>
      <c r="E5" s="1257"/>
      <c r="F5" s="1257"/>
      <c r="G5" s="1257"/>
      <c r="H5" s="1257"/>
      <c r="I5" s="1257"/>
      <c r="J5" s="1257"/>
      <c r="K5" s="1257"/>
      <c r="L5" s="1257"/>
    </row>
    <row r="6" spans="1:12" hidden="1">
      <c r="A6" s="1257"/>
      <c r="B6" s="1257"/>
      <c r="C6" s="1257"/>
      <c r="D6" s="1257"/>
      <c r="E6" s="1257"/>
      <c r="F6" s="1257"/>
      <c r="G6" s="1257"/>
      <c r="H6" s="1257"/>
      <c r="I6" s="1257"/>
      <c r="J6" s="1257"/>
      <c r="K6" s="1257"/>
      <c r="L6" s="1257"/>
    </row>
    <row r="7" spans="1:12" hidden="1">
      <c r="A7" s="1257"/>
      <c r="B7" s="1257"/>
      <c r="C7" s="1257"/>
      <c r="D7" s="1257"/>
      <c r="E7" s="1257"/>
      <c r="F7" s="1257"/>
      <c r="G7" s="1257"/>
      <c r="H7" s="1257"/>
      <c r="I7" s="1257"/>
      <c r="J7" s="1257"/>
      <c r="K7" s="1257"/>
      <c r="L7" s="1257"/>
    </row>
    <row r="8" spans="1:12">
      <c r="A8" s="1291"/>
    </row>
    <row r="9" spans="1:12" s="1292" customFormat="1" ht="27" customHeight="1">
      <c r="A9" s="2183" t="s">
        <v>1193</v>
      </c>
      <c r="B9" s="2183"/>
      <c r="C9" s="2185" t="s">
        <v>1217</v>
      </c>
      <c r="D9" s="2186"/>
      <c r="E9" s="2185" t="s">
        <v>1218</v>
      </c>
      <c r="F9" s="2186"/>
      <c r="G9" s="2186"/>
      <c r="H9" s="2186"/>
      <c r="I9" s="2184" t="s">
        <v>1219</v>
      </c>
      <c r="J9" s="2184"/>
      <c r="K9" s="2184" t="s">
        <v>1220</v>
      </c>
      <c r="L9" s="2184"/>
    </row>
    <row r="10" spans="1:12" s="1292" customFormat="1" ht="45.75" customHeight="1">
      <c r="A10" s="2183"/>
      <c r="B10" s="2183"/>
      <c r="C10" s="2189" t="s">
        <v>1221</v>
      </c>
      <c r="D10" s="2190"/>
      <c r="E10" s="2189" t="s">
        <v>1222</v>
      </c>
      <c r="F10" s="2190"/>
      <c r="G10" s="2190"/>
      <c r="H10" s="2190"/>
      <c r="I10" s="2188" t="s">
        <v>1223</v>
      </c>
      <c r="J10" s="2188"/>
      <c r="K10" s="2188" t="s">
        <v>1224</v>
      </c>
      <c r="L10" s="2188"/>
    </row>
    <row r="11" spans="1:12" s="1292" customFormat="1" ht="47.25">
      <c r="A11" s="2183"/>
      <c r="B11" s="2183"/>
      <c r="C11" s="1263" t="s">
        <v>1225</v>
      </c>
      <c r="D11" s="1263" t="s">
        <v>1226</v>
      </c>
      <c r="E11" s="1263" t="s">
        <v>1225</v>
      </c>
      <c r="F11" s="1263" t="s">
        <v>1227</v>
      </c>
      <c r="G11" s="1263" t="s">
        <v>1226</v>
      </c>
      <c r="H11" s="1263" t="s">
        <v>1228</v>
      </c>
      <c r="I11" s="1263" t="s">
        <v>1225</v>
      </c>
      <c r="J11" s="1263" t="s">
        <v>1226</v>
      </c>
      <c r="K11" s="1263" t="s">
        <v>1225</v>
      </c>
      <c r="L11" s="1263" t="s">
        <v>1226</v>
      </c>
    </row>
    <row r="12" spans="1:12" s="1309" customFormat="1" ht="47.25">
      <c r="A12" s="2183"/>
      <c r="B12" s="2183"/>
      <c r="C12" s="1264" t="s">
        <v>1229</v>
      </c>
      <c r="D12" s="1264" t="s">
        <v>1230</v>
      </c>
      <c r="E12" s="1264" t="s">
        <v>1229</v>
      </c>
      <c r="F12" s="1264" t="s">
        <v>1231</v>
      </c>
      <c r="G12" s="1264" t="s">
        <v>1230</v>
      </c>
      <c r="H12" s="1264" t="s">
        <v>1231</v>
      </c>
      <c r="I12" s="1264" t="s">
        <v>1229</v>
      </c>
      <c r="J12" s="1264" t="s">
        <v>1230</v>
      </c>
      <c r="K12" s="1264" t="s">
        <v>1229</v>
      </c>
      <c r="L12" s="1264" t="s">
        <v>1230</v>
      </c>
    </row>
    <row r="13" spans="1:12" s="1309" customFormat="1" hidden="1">
      <c r="A13" s="1310"/>
      <c r="B13" s="1311"/>
      <c r="C13" s="1312"/>
      <c r="D13" s="1312"/>
      <c r="E13" s="1312"/>
      <c r="F13" s="1312"/>
      <c r="G13" s="1312"/>
      <c r="H13" s="1312"/>
      <c r="I13" s="1312"/>
      <c r="J13" s="1312"/>
      <c r="K13" s="1312"/>
      <c r="L13" s="1312"/>
    </row>
    <row r="14" spans="1:12" s="1309" customFormat="1" hidden="1">
      <c r="A14" s="1310"/>
      <c r="B14" s="1311"/>
      <c r="C14" s="1312"/>
      <c r="D14" s="1312"/>
      <c r="E14" s="1312"/>
      <c r="F14" s="1312"/>
      <c r="G14" s="1312"/>
      <c r="H14" s="1312"/>
      <c r="I14" s="1312"/>
      <c r="J14" s="1312"/>
      <c r="K14" s="1312"/>
      <c r="L14" s="1312"/>
    </row>
    <row r="15" spans="1:12" ht="20.25" customHeight="1">
      <c r="A15" s="2193" t="s">
        <v>1599</v>
      </c>
      <c r="B15" s="2194"/>
      <c r="C15" s="1299">
        <v>1988635</v>
      </c>
      <c r="D15" s="1057">
        <v>6825.1190134999988</v>
      </c>
      <c r="E15" s="987">
        <v>63214</v>
      </c>
      <c r="F15" s="1313">
        <f>E15/C15</f>
        <v>3.1787633225805641E-2</v>
      </c>
      <c r="G15" s="1059">
        <v>136.39999999999998</v>
      </c>
      <c r="H15" s="1313">
        <f>G15/D15</f>
        <v>1.9984999489415862E-2</v>
      </c>
      <c r="I15" s="987">
        <v>13136</v>
      </c>
      <c r="J15" s="1059">
        <v>38.799999999999997</v>
      </c>
      <c r="K15" s="987">
        <v>50078</v>
      </c>
      <c r="L15" s="1059">
        <v>97.6</v>
      </c>
    </row>
    <row r="16" spans="1:12" ht="14.25" customHeight="1">
      <c r="A16" s="2193">
        <v>2013</v>
      </c>
      <c r="B16" s="2194"/>
      <c r="C16" s="1299">
        <v>3249487</v>
      </c>
      <c r="D16" s="1057">
        <v>9076.4837356289991</v>
      </c>
      <c r="E16" s="987">
        <v>87145</v>
      </c>
      <c r="F16" s="1058">
        <f t="shared" ref="F16:F23" si="0">E16/C16</f>
        <v>2.6818079284514757E-2</v>
      </c>
      <c r="G16" s="1059">
        <v>207.10000000000002</v>
      </c>
      <c r="H16" s="1058">
        <f t="shared" ref="H16:H23" si="1">G16/D16</f>
        <v>2.2817206093483738E-2</v>
      </c>
      <c r="I16" s="987">
        <v>17869</v>
      </c>
      <c r="J16" s="1059">
        <v>66.8</v>
      </c>
      <c r="K16" s="987">
        <v>69276</v>
      </c>
      <c r="L16" s="1059">
        <v>140.30000000000001</v>
      </c>
    </row>
    <row r="17" spans="1:34" ht="14.25" customHeight="1">
      <c r="A17" s="2193">
        <v>2014</v>
      </c>
      <c r="B17" s="2194"/>
      <c r="C17" s="1299">
        <v>3382447</v>
      </c>
      <c r="D17" s="1057">
        <v>10136.713926998998</v>
      </c>
      <c r="E17" s="987">
        <v>83681</v>
      </c>
      <c r="F17" s="1058">
        <f t="shared" si="0"/>
        <v>2.4739781584160816E-2</v>
      </c>
      <c r="G17" s="1059">
        <v>236.5</v>
      </c>
      <c r="H17" s="1058">
        <f t="shared" si="1"/>
        <v>2.3331032295395602E-2</v>
      </c>
      <c r="I17" s="987">
        <v>17403</v>
      </c>
      <c r="J17" s="1059">
        <v>67.7</v>
      </c>
      <c r="K17" s="987">
        <v>66278</v>
      </c>
      <c r="L17" s="1059">
        <v>168.8</v>
      </c>
    </row>
    <row r="18" spans="1:34" ht="14.25" customHeight="1">
      <c r="A18" s="2193">
        <v>2015</v>
      </c>
      <c r="B18" s="2194"/>
      <c r="C18" s="1299">
        <v>3372471</v>
      </c>
      <c r="D18" s="1057">
        <v>10479.285891078001</v>
      </c>
      <c r="E18" s="987">
        <v>84944</v>
      </c>
      <c r="F18" s="1058">
        <f t="shared" si="0"/>
        <v>2.5187466400748888E-2</v>
      </c>
      <c r="G18" s="1059">
        <v>254</v>
      </c>
      <c r="H18" s="1058">
        <f t="shared" si="1"/>
        <v>2.4238292822629643E-2</v>
      </c>
      <c r="I18" s="987">
        <v>17080</v>
      </c>
      <c r="J18" s="1059">
        <v>74.2</v>
      </c>
      <c r="K18" s="987">
        <v>67864</v>
      </c>
      <c r="L18" s="1059">
        <v>179.8</v>
      </c>
    </row>
    <row r="19" spans="1:34" ht="14.25" customHeight="1">
      <c r="A19" s="2193">
        <v>2016</v>
      </c>
      <c r="B19" s="2194"/>
      <c r="C19" s="1299">
        <v>3303295</v>
      </c>
      <c r="D19" s="1057">
        <v>10087.672788426</v>
      </c>
      <c r="E19" s="987">
        <v>88416</v>
      </c>
      <c r="F19" s="1058">
        <f t="shared" si="0"/>
        <v>2.6766001825450043E-2</v>
      </c>
      <c r="G19" s="1059">
        <v>294.89999999999998</v>
      </c>
      <c r="H19" s="1058">
        <f t="shared" si="1"/>
        <v>2.9233700000494744E-2</v>
      </c>
      <c r="I19" s="987">
        <v>16257</v>
      </c>
      <c r="J19" s="1059">
        <v>76.900000000000006</v>
      </c>
      <c r="K19" s="987">
        <v>72159</v>
      </c>
      <c r="L19" s="1059">
        <v>218</v>
      </c>
    </row>
    <row r="20" spans="1:34" ht="14.25" customHeight="1">
      <c r="A20" s="2193">
        <v>2017</v>
      </c>
      <c r="B20" s="2194"/>
      <c r="C20" s="1299">
        <v>3300941</v>
      </c>
      <c r="D20" s="1057">
        <v>10058.5</v>
      </c>
      <c r="E20" s="987">
        <v>105111</v>
      </c>
      <c r="F20" s="1058">
        <v>3.1842738176780502E-2</v>
      </c>
      <c r="G20" s="1059">
        <v>369.79999999999995</v>
      </c>
      <c r="H20" s="1058">
        <v>3.6764925187652231E-2</v>
      </c>
      <c r="I20" s="987">
        <v>21042</v>
      </c>
      <c r="J20" s="1059">
        <v>139.19999999999999</v>
      </c>
      <c r="K20" s="987">
        <v>84069</v>
      </c>
      <c r="L20" s="1059">
        <v>230.6</v>
      </c>
    </row>
    <row r="21" spans="1:34" ht="14.25" customHeight="1">
      <c r="A21" s="2193">
        <v>2018</v>
      </c>
      <c r="B21" s="2194"/>
      <c r="C21" s="1299">
        <v>3166987</v>
      </c>
      <c r="D21" s="1057">
        <v>9472.1</v>
      </c>
      <c r="E21" s="987">
        <v>99961</v>
      </c>
      <c r="F21" s="1058">
        <v>3.1563438687939038E-2</v>
      </c>
      <c r="G21" s="1059">
        <v>318.39999999999998</v>
      </c>
      <c r="H21" s="1058">
        <v>3.3614509981946976E-2</v>
      </c>
      <c r="I21" s="987">
        <v>20836</v>
      </c>
      <c r="J21" s="1059">
        <v>66.7</v>
      </c>
      <c r="K21" s="987">
        <v>79125</v>
      </c>
      <c r="L21" s="1059">
        <v>251.7</v>
      </c>
      <c r="M21" s="1301"/>
      <c r="N21" s="1301"/>
      <c r="O21" s="1301"/>
      <c r="P21" s="1301"/>
      <c r="Q21" s="1301"/>
      <c r="R21" s="1301"/>
    </row>
    <row r="22" spans="1:34" ht="14.25" customHeight="1">
      <c r="A22" s="2196">
        <v>2019</v>
      </c>
      <c r="B22" s="2197"/>
      <c r="C22" s="1295">
        <v>2964508</v>
      </c>
      <c r="D22" s="1314">
        <v>8737.7999999999993</v>
      </c>
      <c r="E22" s="1296">
        <v>92571</v>
      </c>
      <c r="F22" s="1315">
        <v>3.1226429478348514E-2</v>
      </c>
      <c r="G22" s="1297">
        <v>252.5</v>
      </c>
      <c r="H22" s="1315">
        <v>2.8897434136739227E-2</v>
      </c>
      <c r="I22" s="1296">
        <v>19039</v>
      </c>
      <c r="J22" s="1297">
        <v>59.9</v>
      </c>
      <c r="K22" s="1296">
        <v>73532</v>
      </c>
      <c r="L22" s="1297">
        <v>192.20000000000002</v>
      </c>
    </row>
    <row r="23" spans="1:34" ht="20.25" customHeight="1">
      <c r="A23" s="1266">
        <v>2018</v>
      </c>
      <c r="B23" s="1056" t="s">
        <v>223</v>
      </c>
      <c r="C23" s="987">
        <v>803557</v>
      </c>
      <c r="D23" s="1059">
        <v>2477.4</v>
      </c>
      <c r="E23" s="987">
        <v>24918</v>
      </c>
      <c r="F23" s="1058">
        <f t="shared" si="0"/>
        <v>3.100962346168349E-2</v>
      </c>
      <c r="G23" s="1059">
        <v>80</v>
      </c>
      <c r="H23" s="1058">
        <f t="shared" si="1"/>
        <v>3.2291918947283442E-2</v>
      </c>
      <c r="I23" s="987">
        <v>5267</v>
      </c>
      <c r="J23" s="1059">
        <v>17.399999999999999</v>
      </c>
      <c r="K23" s="987">
        <v>19651</v>
      </c>
      <c r="L23" s="1059">
        <v>62.5</v>
      </c>
    </row>
    <row r="24" spans="1:34" ht="14.25" customHeight="1">
      <c r="A24" s="1300"/>
      <c r="B24" s="1056" t="s">
        <v>224</v>
      </c>
      <c r="C24" s="987">
        <v>773134</v>
      </c>
      <c r="D24" s="1059">
        <v>2268.3000000000002</v>
      </c>
      <c r="E24" s="987">
        <v>24685</v>
      </c>
      <c r="F24" s="1058">
        <v>3.19284884638368E-2</v>
      </c>
      <c r="G24" s="1059">
        <v>68.2</v>
      </c>
      <c r="H24" s="1058">
        <v>3.0066569677732222E-2</v>
      </c>
      <c r="I24" s="987">
        <v>4825</v>
      </c>
      <c r="J24" s="1059">
        <v>15.7</v>
      </c>
      <c r="K24" s="987">
        <v>19860</v>
      </c>
      <c r="L24" s="1059">
        <v>52.5</v>
      </c>
      <c r="M24" s="1301"/>
      <c r="N24" s="1301"/>
      <c r="O24" s="1301"/>
      <c r="P24" s="1301"/>
      <c r="Q24" s="1301"/>
      <c r="R24" s="1301"/>
      <c r="S24" s="1301"/>
      <c r="T24" s="1301"/>
      <c r="U24" s="1301"/>
      <c r="V24" s="1301"/>
      <c r="W24" s="1301"/>
    </row>
    <row r="25" spans="1:34" ht="14.25" customHeight="1">
      <c r="A25" s="1300"/>
      <c r="B25" s="1056" t="s">
        <v>225</v>
      </c>
      <c r="C25" s="987">
        <v>790438</v>
      </c>
      <c r="D25" s="1059">
        <v>2331.6000000000004</v>
      </c>
      <c r="E25" s="987">
        <v>25419</v>
      </c>
      <c r="F25" s="1058">
        <v>3.2158119928444737E-2</v>
      </c>
      <c r="G25" s="1059">
        <v>69.3</v>
      </c>
      <c r="H25" s="1058">
        <v>2.9722079258878018E-2</v>
      </c>
      <c r="I25" s="987">
        <v>5241</v>
      </c>
      <c r="J25" s="1059">
        <v>15.1</v>
      </c>
      <c r="K25" s="987">
        <v>20178</v>
      </c>
      <c r="L25" s="1059">
        <v>54.2</v>
      </c>
    </row>
    <row r="26" spans="1:34" ht="20.25" customHeight="1">
      <c r="A26" s="1298">
        <v>2019</v>
      </c>
      <c r="B26" s="1056" t="s">
        <v>222</v>
      </c>
      <c r="C26" s="987">
        <v>754696</v>
      </c>
      <c r="D26" s="1059">
        <v>2210.6999999999998</v>
      </c>
      <c r="E26" s="987">
        <v>23547</v>
      </c>
      <c r="F26" s="1058">
        <v>3.1E-2</v>
      </c>
      <c r="G26" s="1059">
        <v>63</v>
      </c>
      <c r="H26" s="1058">
        <v>2.8000000000000001E-2</v>
      </c>
      <c r="I26" s="987">
        <v>4978</v>
      </c>
      <c r="J26" s="1059">
        <v>16.3</v>
      </c>
      <c r="K26" s="987">
        <v>18569</v>
      </c>
      <c r="L26" s="1059">
        <v>46.5</v>
      </c>
      <c r="M26" s="1301"/>
      <c r="N26" s="1301"/>
      <c r="O26" s="1301"/>
      <c r="P26" s="1301"/>
      <c r="Q26" s="1301"/>
      <c r="R26" s="1301"/>
      <c r="S26" s="1301"/>
      <c r="T26" s="1301"/>
    </row>
    <row r="27" spans="1:34" ht="14.25" customHeight="1">
      <c r="A27" s="1298"/>
      <c r="B27" s="1056" t="s">
        <v>223</v>
      </c>
      <c r="C27" s="987">
        <v>749826</v>
      </c>
      <c r="D27" s="1059">
        <v>2288.4</v>
      </c>
      <c r="E27" s="987">
        <v>23107</v>
      </c>
      <c r="F27" s="1058">
        <v>3.0816482757333036E-2</v>
      </c>
      <c r="G27" s="1059">
        <v>56.9</v>
      </c>
      <c r="H27" s="1058">
        <v>2.4864534172347491E-2</v>
      </c>
      <c r="I27" s="987">
        <v>4816</v>
      </c>
      <c r="J27" s="1059">
        <v>13.8</v>
      </c>
      <c r="K27" s="987">
        <v>18291</v>
      </c>
      <c r="L27" s="1059">
        <v>43.1</v>
      </c>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row>
    <row r="28" spans="1:34" ht="14.25" customHeight="1">
      <c r="A28" s="1298"/>
      <c r="B28" s="1056" t="s">
        <v>224</v>
      </c>
      <c r="C28" s="987">
        <v>715951</v>
      </c>
      <c r="D28" s="1059">
        <v>2117.8999999999996</v>
      </c>
      <c r="E28" s="987">
        <v>23058</v>
      </c>
      <c r="F28" s="1058">
        <v>3.2206114664271715E-2</v>
      </c>
      <c r="G28" s="1059">
        <v>70.5</v>
      </c>
      <c r="H28" s="1058">
        <v>3.3287690636951701E-2</v>
      </c>
      <c r="I28" s="987">
        <v>4715</v>
      </c>
      <c r="J28" s="1059">
        <v>14.2</v>
      </c>
      <c r="K28" s="987">
        <v>18343</v>
      </c>
      <c r="L28" s="1059">
        <v>56.2</v>
      </c>
      <c r="M28" s="1301"/>
      <c r="N28" s="1301"/>
      <c r="O28" s="1301"/>
      <c r="P28" s="1301"/>
      <c r="Q28" s="1301"/>
      <c r="R28" s="1301"/>
      <c r="S28" s="1301"/>
      <c r="T28" s="1301"/>
    </row>
    <row r="29" spans="1:34" s="1301" customFormat="1" ht="14.25" customHeight="1">
      <c r="A29" s="1298"/>
      <c r="B29" s="1056" t="s">
        <v>225</v>
      </c>
      <c r="C29" s="987">
        <v>744035</v>
      </c>
      <c r="D29" s="1059">
        <v>2120.8000000000002</v>
      </c>
      <c r="E29" s="987">
        <v>22859</v>
      </c>
      <c r="F29" s="1058">
        <v>3.0723017062369379E-2</v>
      </c>
      <c r="G29" s="1059">
        <v>62.099999999999994</v>
      </c>
      <c r="H29" s="1058">
        <v>2.928140324405884E-2</v>
      </c>
      <c r="I29" s="987">
        <v>4530</v>
      </c>
      <c r="J29" s="1059">
        <v>15.600000000000001</v>
      </c>
      <c r="K29" s="987">
        <v>18329</v>
      </c>
      <c r="L29" s="1059">
        <v>46.4</v>
      </c>
    </row>
    <row r="30" spans="1:34" ht="21" customHeight="1">
      <c r="A30" s="1316">
        <v>2020</v>
      </c>
      <c r="B30" s="1294" t="s">
        <v>222</v>
      </c>
      <c r="C30" s="1296">
        <v>696858</v>
      </c>
      <c r="D30" s="1297">
        <v>2113.3000000000002</v>
      </c>
      <c r="E30" s="1296">
        <v>20452</v>
      </c>
      <c r="F30" s="1315">
        <v>2.9348877389654707E-2</v>
      </c>
      <c r="G30" s="1297">
        <v>69.699999999999989</v>
      </c>
      <c r="H30" s="1315">
        <v>3.2981592769602039E-2</v>
      </c>
      <c r="I30" s="1296">
        <v>4372</v>
      </c>
      <c r="J30" s="1297">
        <v>17.400000000000002</v>
      </c>
      <c r="K30" s="1296">
        <v>16080</v>
      </c>
      <c r="L30" s="1297">
        <v>52.4</v>
      </c>
    </row>
    <row r="31" spans="1:34" ht="20.25" customHeight="1">
      <c r="A31" s="1266">
        <v>2019</v>
      </c>
      <c r="B31" s="1056" t="s">
        <v>399</v>
      </c>
      <c r="C31" s="987">
        <v>262906</v>
      </c>
      <c r="D31" s="1057">
        <v>845.7</v>
      </c>
      <c r="E31" s="987">
        <v>7732</v>
      </c>
      <c r="F31" s="1058">
        <v>2.9409751013670285E-2</v>
      </c>
      <c r="G31" s="1059">
        <v>19.5</v>
      </c>
      <c r="H31" s="1058">
        <v>2.3057821922667612E-2</v>
      </c>
      <c r="I31" s="987">
        <v>1739</v>
      </c>
      <c r="J31" s="1059">
        <v>5.6</v>
      </c>
      <c r="K31" s="987">
        <v>5993</v>
      </c>
      <c r="L31" s="1059">
        <v>13.9</v>
      </c>
    </row>
    <row r="32" spans="1:34" s="1055" customFormat="1">
      <c r="A32" s="1302"/>
      <c r="B32" s="1053" t="s">
        <v>400</v>
      </c>
      <c r="C32" s="1299">
        <v>247198</v>
      </c>
      <c r="D32" s="1057">
        <v>731.6</v>
      </c>
      <c r="E32" s="987">
        <v>7683</v>
      </c>
      <c r="F32" s="1058">
        <v>3.1080348546509276E-2</v>
      </c>
      <c r="G32" s="1059">
        <v>19.8</v>
      </c>
      <c r="H32" s="1058">
        <v>2.7063969382176051E-2</v>
      </c>
      <c r="I32" s="987">
        <v>1504</v>
      </c>
      <c r="J32" s="1059">
        <v>4.2</v>
      </c>
      <c r="K32" s="987">
        <v>6179</v>
      </c>
      <c r="L32" s="1059">
        <v>15.6</v>
      </c>
    </row>
    <row r="33" spans="1:12" s="1055" customFormat="1">
      <c r="A33" s="1302"/>
      <c r="B33" s="1053" t="s">
        <v>401</v>
      </c>
      <c r="C33" s="1299">
        <v>239722</v>
      </c>
      <c r="D33" s="1057">
        <v>711.1</v>
      </c>
      <c r="E33" s="987">
        <v>7692</v>
      </c>
      <c r="F33" s="1058">
        <v>3.2087167635844856E-2</v>
      </c>
      <c r="G33" s="1059">
        <v>17.600000000000001</v>
      </c>
      <c r="H33" s="1058">
        <v>2.4750386724792576E-2</v>
      </c>
      <c r="I33" s="987">
        <v>1573</v>
      </c>
      <c r="J33" s="1059">
        <v>4</v>
      </c>
      <c r="K33" s="987">
        <v>6119</v>
      </c>
      <c r="L33" s="1059">
        <v>13.6</v>
      </c>
    </row>
    <row r="34" spans="1:12" s="1055" customFormat="1">
      <c r="A34" s="1302"/>
      <c r="B34" s="1053" t="s">
        <v>402</v>
      </c>
      <c r="C34" s="1299">
        <v>269062</v>
      </c>
      <c r="D34" s="1057">
        <v>824.2</v>
      </c>
      <c r="E34" s="987">
        <v>8214</v>
      </c>
      <c r="F34" s="1058">
        <v>3.0528279727349086E-2</v>
      </c>
      <c r="G34" s="1059">
        <v>23</v>
      </c>
      <c r="H34" s="1058">
        <v>2.7905848095122542E-2</v>
      </c>
      <c r="I34" s="987">
        <v>1922</v>
      </c>
      <c r="J34" s="1059">
        <v>5.7</v>
      </c>
      <c r="K34" s="987">
        <v>6292</v>
      </c>
      <c r="L34" s="1059">
        <v>17.3</v>
      </c>
    </row>
    <row r="35" spans="1:12" s="1055" customFormat="1">
      <c r="A35" s="1302"/>
      <c r="B35" s="1053" t="s">
        <v>403</v>
      </c>
      <c r="C35" s="1299">
        <v>207594</v>
      </c>
      <c r="D35" s="1057">
        <v>628.4</v>
      </c>
      <c r="E35" s="987">
        <v>6708</v>
      </c>
      <c r="F35" s="1058">
        <v>3.2313072632156999E-2</v>
      </c>
      <c r="G35" s="1059">
        <v>24</v>
      </c>
      <c r="H35" s="1058">
        <v>3.8192234245703373E-2</v>
      </c>
      <c r="I35" s="987">
        <v>1261</v>
      </c>
      <c r="J35" s="1059">
        <v>4.5</v>
      </c>
      <c r="K35" s="987">
        <v>5447</v>
      </c>
      <c r="L35" s="1059">
        <v>19.399999999999999</v>
      </c>
    </row>
    <row r="36" spans="1:12" s="1055" customFormat="1">
      <c r="A36" s="1302"/>
      <c r="B36" s="1053" t="s">
        <v>404</v>
      </c>
      <c r="C36" s="1299">
        <v>239295</v>
      </c>
      <c r="D36" s="1057">
        <v>665.3</v>
      </c>
      <c r="E36" s="987">
        <v>8136</v>
      </c>
      <c r="F36" s="1058">
        <v>3.3999874631730709E-2</v>
      </c>
      <c r="G36" s="1059">
        <v>23.5</v>
      </c>
      <c r="H36" s="1058">
        <v>3.5322410942431985E-2</v>
      </c>
      <c r="I36" s="987">
        <v>1532</v>
      </c>
      <c r="J36" s="1059">
        <v>4</v>
      </c>
      <c r="K36" s="987">
        <v>6604</v>
      </c>
      <c r="L36" s="1059">
        <v>19.5</v>
      </c>
    </row>
    <row r="37" spans="1:12" s="1055" customFormat="1">
      <c r="A37" s="1302"/>
      <c r="B37" s="1053" t="s">
        <v>405</v>
      </c>
      <c r="C37" s="1299">
        <v>260454</v>
      </c>
      <c r="D37" s="1057">
        <v>736.7</v>
      </c>
      <c r="E37" s="987">
        <v>8091</v>
      </c>
      <c r="F37" s="1058">
        <v>3.1064986523531988E-2</v>
      </c>
      <c r="G37" s="1059">
        <v>26.7</v>
      </c>
      <c r="H37" s="1058">
        <v>3.6242703950047507E-2</v>
      </c>
      <c r="I37" s="987">
        <v>1743</v>
      </c>
      <c r="J37" s="1059">
        <v>6.8</v>
      </c>
      <c r="K37" s="987">
        <v>6348</v>
      </c>
      <c r="L37" s="1059">
        <v>19.8</v>
      </c>
    </row>
    <row r="38" spans="1:12" s="1055" customFormat="1">
      <c r="A38" s="1302"/>
      <c r="B38" s="1053" t="s">
        <v>406</v>
      </c>
      <c r="C38" s="1299">
        <v>224314</v>
      </c>
      <c r="D38" s="1057">
        <v>610.79999999999995</v>
      </c>
      <c r="E38" s="987">
        <v>6645</v>
      </c>
      <c r="F38" s="1058">
        <v>2.9623652558467148E-2</v>
      </c>
      <c r="G38" s="1059">
        <v>14.1</v>
      </c>
      <c r="H38" s="1058">
        <v>2.3084479371316309E-2</v>
      </c>
      <c r="I38" s="987">
        <v>1338</v>
      </c>
      <c r="J38" s="1059">
        <v>3.5</v>
      </c>
      <c r="K38" s="987">
        <v>5307</v>
      </c>
      <c r="L38" s="1059">
        <v>10.6</v>
      </c>
    </row>
    <row r="39" spans="1:12" s="1055" customFormat="1">
      <c r="A39" s="1302"/>
      <c r="B39" s="1053" t="s">
        <v>407</v>
      </c>
      <c r="C39" s="1299">
        <v>259267</v>
      </c>
      <c r="D39" s="1057">
        <v>773.3</v>
      </c>
      <c r="E39" s="987">
        <v>8123</v>
      </c>
      <c r="F39" s="1058">
        <v>3.1330635985297013E-2</v>
      </c>
      <c r="G39" s="1059">
        <v>21.3</v>
      </c>
      <c r="H39" s="1058">
        <v>2.7544290702185441E-2</v>
      </c>
      <c r="I39" s="987">
        <v>1449</v>
      </c>
      <c r="J39" s="1059">
        <v>5.3</v>
      </c>
      <c r="K39" s="987">
        <v>6674</v>
      </c>
      <c r="L39" s="1059">
        <v>16</v>
      </c>
    </row>
    <row r="40" spans="1:12" ht="20.25" customHeight="1">
      <c r="A40" s="1266">
        <v>2020</v>
      </c>
      <c r="B40" s="1056" t="s">
        <v>408</v>
      </c>
      <c r="C40" s="987">
        <v>233125</v>
      </c>
      <c r="D40" s="1059">
        <v>720.5</v>
      </c>
      <c r="E40" s="987">
        <v>7059</v>
      </c>
      <c r="F40" s="1058">
        <v>3.0279892761394103E-2</v>
      </c>
      <c r="G40" s="1059">
        <v>27.9</v>
      </c>
      <c r="H40" s="1058">
        <v>3.8723108952116586E-2</v>
      </c>
      <c r="I40" s="987">
        <v>1518</v>
      </c>
      <c r="J40" s="1059">
        <v>5</v>
      </c>
      <c r="K40" s="987">
        <v>5541</v>
      </c>
      <c r="L40" s="1059">
        <v>22.9</v>
      </c>
    </row>
    <row r="41" spans="1:12" s="1055" customFormat="1">
      <c r="A41" s="1302"/>
      <c r="B41" s="1053" t="s">
        <v>409</v>
      </c>
      <c r="C41" s="1299">
        <v>224100</v>
      </c>
      <c r="D41" s="1057">
        <v>691.9</v>
      </c>
      <c r="E41" s="987">
        <v>6029</v>
      </c>
      <c r="F41" s="1058">
        <v>2.7E-2</v>
      </c>
      <c r="G41" s="1059">
        <v>21.4</v>
      </c>
      <c r="H41" s="1058">
        <v>3.1E-2</v>
      </c>
      <c r="I41" s="987">
        <v>1353</v>
      </c>
      <c r="J41" s="1059">
        <v>8.8000000000000007</v>
      </c>
      <c r="K41" s="987">
        <v>4676</v>
      </c>
      <c r="L41" s="1059">
        <v>12.6</v>
      </c>
    </row>
    <row r="42" spans="1:12" s="1055" customFormat="1">
      <c r="A42" s="1302"/>
      <c r="B42" s="1053" t="s">
        <v>398</v>
      </c>
      <c r="C42" s="1299">
        <v>239633</v>
      </c>
      <c r="D42" s="1057">
        <v>700.9</v>
      </c>
      <c r="E42" s="987">
        <v>7364</v>
      </c>
      <c r="F42" s="1058">
        <f t="shared" ref="F42" si="2">E42/C42</f>
        <v>3.0730325122165978E-2</v>
      </c>
      <c r="G42" s="1059">
        <v>20.399999999999999</v>
      </c>
      <c r="H42" s="1058">
        <f t="shared" ref="H42" si="3">G42/D42</f>
        <v>2.9105435868169494E-2</v>
      </c>
      <c r="I42" s="987">
        <v>1501</v>
      </c>
      <c r="J42" s="1059">
        <v>3.6</v>
      </c>
      <c r="K42" s="987">
        <v>5863</v>
      </c>
      <c r="L42" s="1059">
        <v>16.899999999999999</v>
      </c>
    </row>
    <row r="43" spans="1:12" s="1055" customFormat="1">
      <c r="A43" s="1302"/>
      <c r="B43" s="1053" t="s">
        <v>399</v>
      </c>
      <c r="C43" s="1295">
        <v>167593</v>
      </c>
      <c r="D43" s="1314">
        <v>594.20000000000005</v>
      </c>
      <c r="E43" s="1296">
        <v>4994</v>
      </c>
      <c r="F43" s="1315">
        <v>2.9798380600621743E-2</v>
      </c>
      <c r="G43" s="1297">
        <v>11.8</v>
      </c>
      <c r="H43" s="1315">
        <v>1.985863345674857E-2</v>
      </c>
      <c r="I43" s="1296">
        <v>1141</v>
      </c>
      <c r="J43" s="1297">
        <v>3.4</v>
      </c>
      <c r="K43" s="1296">
        <v>3853</v>
      </c>
      <c r="L43" s="1297">
        <v>8.4</v>
      </c>
    </row>
    <row r="44" spans="1:12">
      <c r="A44" s="1303" t="s">
        <v>1600</v>
      </c>
      <c r="B44" s="1304"/>
      <c r="C44" s="1304"/>
      <c r="D44" s="1304"/>
      <c r="E44" s="1304"/>
      <c r="F44" s="1304"/>
      <c r="G44" s="1304"/>
      <c r="H44" s="1304"/>
      <c r="I44" s="1317"/>
      <c r="J44" s="1317"/>
      <c r="K44" s="1317"/>
      <c r="L44" s="1318" t="s">
        <v>1232</v>
      </c>
    </row>
    <row r="45" spans="1:12">
      <c r="A45" s="1282"/>
      <c r="B45" s="1305"/>
      <c r="C45" s="1305"/>
      <c r="D45" s="1305"/>
      <c r="E45" s="1305"/>
      <c r="F45" s="1305"/>
      <c r="G45" s="1305"/>
      <c r="H45" s="1305"/>
    </row>
    <row r="46" spans="1:12">
      <c r="A46" s="2195" t="s">
        <v>1233</v>
      </c>
      <c r="B46" s="2195"/>
      <c r="C46" s="2195"/>
      <c r="D46" s="2195"/>
      <c r="E46" s="2195"/>
      <c r="F46" s="2195"/>
      <c r="G46" s="2195"/>
      <c r="H46" s="2195"/>
      <c r="I46" s="2195"/>
      <c r="J46" s="2195"/>
      <c r="K46" s="2195"/>
      <c r="L46" s="2195"/>
    </row>
    <row r="49" spans="1:12">
      <c r="A49" s="1306"/>
      <c r="B49" s="1301"/>
      <c r="C49" s="1301"/>
      <c r="D49" s="1301"/>
      <c r="E49" s="1301"/>
      <c r="F49" s="1301"/>
      <c r="G49" s="1301"/>
      <c r="H49" s="1301"/>
      <c r="I49" s="1301"/>
      <c r="J49" s="1301"/>
      <c r="K49" s="1301"/>
      <c r="L49" s="1301"/>
    </row>
    <row r="50" spans="1:12">
      <c r="A50" s="1306"/>
      <c r="B50" s="1301"/>
      <c r="C50" s="1301"/>
      <c r="D50" s="1301"/>
      <c r="E50" s="1307"/>
      <c r="F50" s="1307"/>
      <c r="G50" s="1307"/>
      <c r="H50" s="1307"/>
      <c r="I50" s="1307"/>
      <c r="J50" s="1307"/>
      <c r="K50" s="1307"/>
      <c r="L50" s="1307"/>
    </row>
  </sheetData>
  <mergeCells count="21">
    <mergeCell ref="A1:L1"/>
    <mergeCell ref="A2:L2"/>
    <mergeCell ref="A3:L3"/>
    <mergeCell ref="A9:B12"/>
    <mergeCell ref="C9:D9"/>
    <mergeCell ref="E9:H9"/>
    <mergeCell ref="I9:J9"/>
    <mergeCell ref="K9:L9"/>
    <mergeCell ref="C10:D10"/>
    <mergeCell ref="E10:H10"/>
    <mergeCell ref="A19:B19"/>
    <mergeCell ref="A20:B20"/>
    <mergeCell ref="A46:L46"/>
    <mergeCell ref="I10:J10"/>
    <mergeCell ref="K10:L10"/>
    <mergeCell ref="A15:B15"/>
    <mergeCell ref="A16:B16"/>
    <mergeCell ref="A17:B17"/>
    <mergeCell ref="A18:B18"/>
    <mergeCell ref="A21:B21"/>
    <mergeCell ref="A22:B22"/>
  </mergeCells>
  <printOptions horizontalCentered="1"/>
  <pageMargins left="0.7" right="0.7" top="0.75" bottom="0.75" header="0.3" footer="0.3"/>
  <pageSetup scale="62"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9">
    <pageSetUpPr fitToPage="1"/>
  </sheetPr>
  <dimension ref="A1:AH50"/>
  <sheetViews>
    <sheetView topLeftCell="A27" zoomScale="80" zoomScaleNormal="80" workbookViewId="0">
      <selection activeCell="A49" sqref="A1:XFD1048576"/>
    </sheetView>
  </sheetViews>
  <sheetFormatPr defaultColWidth="18.28515625" defaultRowHeight="15.75"/>
  <cols>
    <col min="1" max="1" width="10.85546875" style="1308" customWidth="1"/>
    <col min="2" max="2" width="10.7109375" style="1054" customWidth="1"/>
    <col min="3" max="8" width="18.7109375" style="1054" customWidth="1"/>
    <col min="9" max="9" width="18.85546875" style="1054" customWidth="1"/>
    <col min="10" max="16384" width="18.28515625" style="1054"/>
  </cols>
  <sheetData>
    <row r="1" spans="1:9" ht="18" customHeight="1">
      <c r="A1" s="991" t="s">
        <v>1598</v>
      </c>
      <c r="B1" s="1289"/>
      <c r="C1" s="1289"/>
      <c r="D1" s="1289"/>
      <c r="E1" s="1289"/>
      <c r="F1" s="1289"/>
      <c r="G1" s="1289"/>
      <c r="H1" s="1289"/>
      <c r="I1" s="1289"/>
    </row>
    <row r="2" spans="1:9" ht="18" customHeight="1">
      <c r="A2" s="1256" t="s">
        <v>78</v>
      </c>
      <c r="B2" s="1290"/>
      <c r="C2" s="1290"/>
      <c r="D2" s="1290"/>
      <c r="E2" s="1290"/>
      <c r="F2" s="1290"/>
      <c r="G2" s="1290"/>
      <c r="H2" s="1290"/>
      <c r="I2" s="1290"/>
    </row>
    <row r="3" spans="1:9" ht="18">
      <c r="A3" s="1256" t="s">
        <v>1234</v>
      </c>
      <c r="B3" s="1257"/>
      <c r="C3" s="1257"/>
      <c r="D3" s="1257"/>
      <c r="E3" s="1257"/>
      <c r="F3" s="1257"/>
      <c r="G3" s="1257"/>
      <c r="H3" s="1257"/>
      <c r="I3" s="1257"/>
    </row>
    <row r="4" spans="1:9" ht="4.5" customHeight="1">
      <c r="A4" s="1257"/>
      <c r="B4" s="1257"/>
      <c r="C4" s="1257"/>
      <c r="D4" s="1257"/>
      <c r="E4" s="1257"/>
      <c r="F4" s="1257"/>
      <c r="G4" s="1257"/>
      <c r="H4" s="1257"/>
      <c r="I4" s="1257"/>
    </row>
    <row r="5" spans="1:9" hidden="1">
      <c r="A5" s="1257"/>
      <c r="B5" s="1257"/>
      <c r="C5" s="1257"/>
      <c r="D5" s="1257"/>
      <c r="E5" s="1257"/>
      <c r="F5" s="1257"/>
      <c r="G5" s="1257"/>
      <c r="H5" s="1257"/>
      <c r="I5" s="1257"/>
    </row>
    <row r="6" spans="1:9" hidden="1">
      <c r="A6" s="1257"/>
      <c r="B6" s="1257"/>
      <c r="C6" s="1257"/>
      <c r="D6" s="1257"/>
      <c r="E6" s="1257"/>
      <c r="F6" s="1257"/>
      <c r="G6" s="1257"/>
      <c r="H6" s="1257"/>
      <c r="I6" s="1257"/>
    </row>
    <row r="7" spans="1:9" hidden="1">
      <c r="A7" s="1257"/>
      <c r="B7" s="1257"/>
      <c r="C7" s="1257"/>
      <c r="D7" s="1257"/>
      <c r="E7" s="1257"/>
      <c r="F7" s="1257"/>
      <c r="G7" s="1257"/>
      <c r="H7" s="1257"/>
      <c r="I7" s="1257"/>
    </row>
    <row r="8" spans="1:9">
      <c r="A8" s="1291"/>
    </row>
    <row r="9" spans="1:9" s="1292" customFormat="1">
      <c r="A9" s="2185" t="s">
        <v>1235</v>
      </c>
      <c r="B9" s="2187"/>
      <c r="C9" s="2185" t="s">
        <v>1236</v>
      </c>
      <c r="D9" s="2186"/>
      <c r="E9" s="2187"/>
      <c r="F9" s="2185" t="s">
        <v>1237</v>
      </c>
      <c r="G9" s="2186"/>
      <c r="H9" s="2187"/>
      <c r="I9" s="2184" t="s">
        <v>1238</v>
      </c>
    </row>
    <row r="10" spans="1:9" s="1292" customFormat="1">
      <c r="A10" s="2201"/>
      <c r="B10" s="2202"/>
      <c r="C10" s="2189" t="s">
        <v>1239</v>
      </c>
      <c r="D10" s="2190"/>
      <c r="E10" s="2191"/>
      <c r="F10" s="2189" t="s">
        <v>1240</v>
      </c>
      <c r="G10" s="2190"/>
      <c r="H10" s="2191"/>
      <c r="I10" s="2192"/>
    </row>
    <row r="11" spans="1:9" s="1292" customFormat="1" ht="45.75" customHeight="1">
      <c r="A11" s="2189"/>
      <c r="B11" s="2191"/>
      <c r="C11" s="1293" t="s">
        <v>1241</v>
      </c>
      <c r="D11" s="1293" t="s">
        <v>1242</v>
      </c>
      <c r="E11" s="1293" t="s">
        <v>378</v>
      </c>
      <c r="F11" s="1293" t="s">
        <v>1241</v>
      </c>
      <c r="G11" s="1293" t="s">
        <v>1242</v>
      </c>
      <c r="H11" s="1293" t="s">
        <v>378</v>
      </c>
      <c r="I11" s="2188"/>
    </row>
    <row r="12" spans="1:9" ht="14.25" hidden="1" customHeight="1">
      <c r="A12" s="2196"/>
      <c r="B12" s="2197"/>
      <c r="C12" s="1294"/>
      <c r="D12" s="1294"/>
      <c r="E12" s="1295"/>
      <c r="F12" s="1295"/>
      <c r="G12" s="1295"/>
      <c r="H12" s="1296"/>
      <c r="I12" s="1297"/>
    </row>
    <row r="13" spans="1:9" ht="20.25" hidden="1" customHeight="1">
      <c r="A13" s="1298"/>
      <c r="B13" s="1056"/>
      <c r="C13" s="1056"/>
      <c r="D13" s="1056"/>
      <c r="E13" s="1299"/>
      <c r="F13" s="1299"/>
      <c r="G13" s="1299"/>
      <c r="H13" s="987"/>
      <c r="I13" s="1059"/>
    </row>
    <row r="14" spans="1:9" ht="20.25" hidden="1" customHeight="1">
      <c r="A14" s="1298"/>
      <c r="B14" s="1056"/>
      <c r="C14" s="1056"/>
      <c r="D14" s="1056"/>
      <c r="E14" s="1299"/>
      <c r="F14" s="1299"/>
      <c r="G14" s="1299"/>
      <c r="H14" s="987"/>
      <c r="I14" s="1059"/>
    </row>
    <row r="15" spans="1:9" ht="20.25" hidden="1" customHeight="1">
      <c r="A15" s="1298"/>
      <c r="B15" s="1056"/>
      <c r="C15" s="1056"/>
      <c r="D15" s="1056"/>
      <c r="E15" s="1299"/>
      <c r="F15" s="1299"/>
      <c r="G15" s="1299"/>
      <c r="H15" s="987"/>
      <c r="I15" s="1059"/>
    </row>
    <row r="16" spans="1:9" ht="20.25" hidden="1" customHeight="1">
      <c r="A16" s="1298"/>
      <c r="B16" s="1056"/>
      <c r="C16" s="1056"/>
      <c r="D16" s="1056"/>
      <c r="E16" s="1299"/>
      <c r="F16" s="1299"/>
      <c r="G16" s="1299"/>
      <c r="H16" s="987"/>
      <c r="I16" s="1059"/>
    </row>
    <row r="17" spans="1:34" ht="14.25" hidden="1" customHeight="1">
      <c r="A17" s="1300"/>
      <c r="B17" s="1056"/>
      <c r="C17" s="1056"/>
      <c r="D17" s="1056"/>
      <c r="E17" s="1299"/>
      <c r="F17" s="1299"/>
      <c r="G17" s="1299"/>
      <c r="H17" s="987"/>
      <c r="I17" s="1059"/>
    </row>
    <row r="18" spans="1:34" ht="14.25" hidden="1" customHeight="1">
      <c r="A18" s="1300"/>
      <c r="B18" s="1056"/>
      <c r="C18" s="1056"/>
      <c r="D18" s="1056"/>
      <c r="E18" s="1299"/>
      <c r="F18" s="1299"/>
      <c r="G18" s="1299"/>
      <c r="H18" s="987"/>
      <c r="I18" s="1059"/>
    </row>
    <row r="19" spans="1:34" ht="14.25" hidden="1" customHeight="1">
      <c r="A19" s="1300"/>
      <c r="B19" s="1056"/>
      <c r="C19" s="1056"/>
      <c r="D19" s="1056"/>
      <c r="E19" s="1299"/>
      <c r="F19" s="1299"/>
      <c r="G19" s="1299"/>
      <c r="H19" s="987"/>
      <c r="I19" s="1059"/>
    </row>
    <row r="20" spans="1:34" ht="14.25" hidden="1" customHeight="1">
      <c r="A20" s="1300"/>
      <c r="B20" s="1056"/>
      <c r="C20" s="1056"/>
      <c r="D20" s="1056"/>
      <c r="E20" s="1299"/>
      <c r="F20" s="1299"/>
      <c r="G20" s="1299"/>
      <c r="H20" s="987"/>
      <c r="I20" s="1059"/>
    </row>
    <row r="21" spans="1:34" ht="20.25" customHeight="1">
      <c r="A21" s="1266">
        <v>2018</v>
      </c>
      <c r="B21" s="1056"/>
      <c r="C21" s="987">
        <v>49048695</v>
      </c>
      <c r="D21" s="987">
        <v>15425030</v>
      </c>
      <c r="E21" s="987">
        <v>64473725</v>
      </c>
      <c r="F21" s="987">
        <v>1524054553.0560038</v>
      </c>
      <c r="G21" s="987">
        <v>453159702.84699965</v>
      </c>
      <c r="H21" s="987">
        <v>1977214255.9030037</v>
      </c>
      <c r="I21" s="987">
        <v>35010</v>
      </c>
      <c r="J21" s="1301"/>
      <c r="K21" s="1301"/>
      <c r="L21" s="1301"/>
      <c r="M21" s="1301"/>
      <c r="N21" s="1301"/>
      <c r="O21" s="1301"/>
      <c r="P21" s="1301"/>
      <c r="Q21" s="1301"/>
      <c r="R21" s="1301"/>
    </row>
    <row r="22" spans="1:34" ht="20.25" customHeight="1">
      <c r="A22" s="1273">
        <v>2019</v>
      </c>
      <c r="B22" s="1294"/>
      <c r="C22" s="1296">
        <f>SUM(C26:C29)</f>
        <v>58433552</v>
      </c>
      <c r="D22" s="1296">
        <f t="shared" ref="D22:H22" si="0">SUM(D26:D29)</f>
        <v>15246093</v>
      </c>
      <c r="E22" s="1296">
        <f t="shared" si="0"/>
        <v>73679645</v>
      </c>
      <c r="F22" s="1296">
        <f t="shared" si="0"/>
        <v>1877177352.7550023</v>
      </c>
      <c r="G22" s="1296">
        <f t="shared" si="0"/>
        <v>557218329.50299978</v>
      </c>
      <c r="H22" s="1296">
        <f t="shared" si="0"/>
        <v>2434395681.5980015</v>
      </c>
      <c r="I22" s="1296">
        <f>I29</f>
        <v>40262</v>
      </c>
    </row>
    <row r="23" spans="1:34" ht="20.25" customHeight="1">
      <c r="A23" s="1266">
        <v>2018</v>
      </c>
      <c r="B23" s="1056" t="s">
        <v>223</v>
      </c>
      <c r="C23" s="987">
        <v>12617936</v>
      </c>
      <c r="D23" s="987">
        <v>6188449</v>
      </c>
      <c r="E23" s="987">
        <v>18806385</v>
      </c>
      <c r="F23" s="987">
        <v>292813039.80600059</v>
      </c>
      <c r="G23" s="987">
        <v>83433455.183999836</v>
      </c>
      <c r="H23" s="987">
        <v>376246494.99000043</v>
      </c>
      <c r="I23" s="987">
        <v>33716</v>
      </c>
    </row>
    <row r="24" spans="1:34" ht="15.75" customHeight="1">
      <c r="A24" s="1300"/>
      <c r="B24" s="1056" t="s">
        <v>224</v>
      </c>
      <c r="C24" s="987">
        <v>12284552</v>
      </c>
      <c r="D24" s="987">
        <v>3264135</v>
      </c>
      <c r="E24" s="987">
        <v>15548687</v>
      </c>
      <c r="F24" s="987">
        <v>411937303.93900096</v>
      </c>
      <c r="G24" s="987">
        <v>125461870.77299982</v>
      </c>
      <c r="H24" s="987">
        <v>537399174.71200085</v>
      </c>
      <c r="I24" s="987">
        <v>33716</v>
      </c>
    </row>
    <row r="25" spans="1:34" ht="15.75" customHeight="1">
      <c r="A25" s="1300"/>
      <c r="B25" s="1056" t="s">
        <v>225</v>
      </c>
      <c r="C25" s="987">
        <v>12959656</v>
      </c>
      <c r="D25" s="987">
        <v>3227438</v>
      </c>
      <c r="E25" s="987">
        <v>16187094</v>
      </c>
      <c r="F25" s="987">
        <v>446656566.53900123</v>
      </c>
      <c r="G25" s="987">
        <v>130807039.65300003</v>
      </c>
      <c r="H25" s="987">
        <v>577463606.19200122</v>
      </c>
      <c r="I25" s="987">
        <v>35010</v>
      </c>
    </row>
    <row r="26" spans="1:34" ht="20.25" customHeight="1">
      <c r="A26" s="1266">
        <v>2019</v>
      </c>
      <c r="B26" s="1056" t="s">
        <v>222</v>
      </c>
      <c r="C26" s="987">
        <v>12796302</v>
      </c>
      <c r="D26" s="987">
        <v>3510080</v>
      </c>
      <c r="E26" s="987">
        <v>16306382</v>
      </c>
      <c r="F26" s="987">
        <v>422230368.26100159</v>
      </c>
      <c r="G26" s="987">
        <v>131552841.28499994</v>
      </c>
      <c r="H26" s="987">
        <v>553783209.44600153</v>
      </c>
      <c r="I26" s="987">
        <v>36574</v>
      </c>
    </row>
    <row r="27" spans="1:34" ht="15.75" customHeight="1">
      <c r="A27" s="1266"/>
      <c r="B27" s="1056" t="s">
        <v>223</v>
      </c>
      <c r="C27" s="987">
        <f>SUM(C31:C33)</f>
        <v>14033347</v>
      </c>
      <c r="D27" s="987">
        <f t="shared" ref="D27:H27" si="1">SUM(D31:D33)</f>
        <v>3522845</v>
      </c>
      <c r="E27" s="987">
        <f t="shared" si="1"/>
        <v>17556192</v>
      </c>
      <c r="F27" s="987">
        <f t="shared" si="1"/>
        <v>473318808.51700008</v>
      </c>
      <c r="G27" s="987">
        <f t="shared" si="1"/>
        <v>133581455.72299993</v>
      </c>
      <c r="H27" s="987">
        <f t="shared" si="1"/>
        <v>606900264.37999988</v>
      </c>
      <c r="I27" s="987">
        <f>I33</f>
        <v>39808</v>
      </c>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row>
    <row r="28" spans="1:34" ht="15.75" customHeight="1">
      <c r="A28" s="1266"/>
      <c r="B28" s="1056" t="s">
        <v>224</v>
      </c>
      <c r="C28" s="987">
        <f>SUM(C34:C36)</f>
        <v>14686997</v>
      </c>
      <c r="D28" s="987">
        <f t="shared" ref="D28:H28" si="2">SUM(D34:D36)</f>
        <v>4185241</v>
      </c>
      <c r="E28" s="987">
        <f t="shared" si="2"/>
        <v>18872238</v>
      </c>
      <c r="F28" s="987">
        <f>SUM(F34:F36)</f>
        <v>472353246.9109996</v>
      </c>
      <c r="G28" s="987">
        <f t="shared" si="2"/>
        <v>144655936.01699987</v>
      </c>
      <c r="H28" s="987">
        <f t="shared" si="2"/>
        <v>617009182.72799945</v>
      </c>
      <c r="I28" s="987">
        <f>I36</f>
        <v>40506</v>
      </c>
      <c r="J28" s="1301"/>
      <c r="K28" s="1301"/>
      <c r="L28" s="1301"/>
      <c r="M28" s="1301"/>
      <c r="N28" s="1301"/>
      <c r="O28" s="1301"/>
      <c r="P28" s="1301"/>
      <c r="Q28" s="1301"/>
      <c r="R28" s="1301"/>
      <c r="S28" s="1301"/>
      <c r="T28" s="1301"/>
    </row>
    <row r="29" spans="1:34" s="1301" customFormat="1" ht="15.75" customHeight="1">
      <c r="A29" s="1266"/>
      <c r="B29" s="1056" t="s">
        <v>225</v>
      </c>
      <c r="C29" s="987">
        <f>SUM(C37:C39)</f>
        <v>16916906</v>
      </c>
      <c r="D29" s="987">
        <f t="shared" ref="D29:H29" si="3">SUM(D37:D39)</f>
        <v>4027927</v>
      </c>
      <c r="E29" s="987">
        <f t="shared" si="3"/>
        <v>20944833</v>
      </c>
      <c r="F29" s="987">
        <f t="shared" si="3"/>
        <v>509274929.06600088</v>
      </c>
      <c r="G29" s="987">
        <f t="shared" si="3"/>
        <v>147428096.47800002</v>
      </c>
      <c r="H29" s="987">
        <f t="shared" si="3"/>
        <v>656703025.04400086</v>
      </c>
      <c r="I29" s="987">
        <f>I39</f>
        <v>40262</v>
      </c>
    </row>
    <row r="30" spans="1:34" ht="21" customHeight="1">
      <c r="A30" s="1273">
        <v>2020</v>
      </c>
      <c r="B30" s="1294" t="s">
        <v>222</v>
      </c>
      <c r="C30" s="1296">
        <f>SUM(C40:C42)</f>
        <v>17265204</v>
      </c>
      <c r="D30" s="1296">
        <f t="shared" ref="D30:H30" si="4">SUM(D40:D42)</f>
        <v>3404020</v>
      </c>
      <c r="E30" s="1296">
        <f t="shared" si="4"/>
        <v>20669224</v>
      </c>
      <c r="F30" s="1296">
        <f t="shared" si="4"/>
        <v>505694558.34437972</v>
      </c>
      <c r="G30" s="1296">
        <f t="shared" si="4"/>
        <v>111904396.35340837</v>
      </c>
      <c r="H30" s="1296">
        <f t="shared" si="4"/>
        <v>617598954.49778807</v>
      </c>
      <c r="I30" s="1296">
        <f>I42</f>
        <v>42768</v>
      </c>
    </row>
    <row r="31" spans="1:34" s="1055" customFormat="1" ht="20.25" customHeight="1">
      <c r="A31" s="1302">
        <v>2019</v>
      </c>
      <c r="B31" s="1053" t="s">
        <v>399</v>
      </c>
      <c r="C31" s="987">
        <f>'[71]Total POS Tans.'!$C$10+'[71]Total POS Tans.'!$E$10</f>
        <v>4645440</v>
      </c>
      <c r="D31" s="987">
        <f>'[71]Total POS Tans.'!$D$10+'[71]Total POS Tans.'!$F$10</f>
        <v>1311658</v>
      </c>
      <c r="E31" s="987">
        <f>SUM('[71]Total POS Tans.'!$C$10:$F$10)</f>
        <v>5957098</v>
      </c>
      <c r="F31" s="987">
        <f>'[71]Total POS Tans.'!$C$11+'[71]Total POS Tans.'!$E$11</f>
        <v>152217845.66700006</v>
      </c>
      <c r="G31" s="987">
        <f>'[71]Total POS Tans.'!$D$11+'[71]Total POS Tans.'!$F$11-0.14</f>
        <v>51099853.491999932</v>
      </c>
      <c r="H31" s="987">
        <f>SUM('[71]Total POS Tans.'!$C$11:$F$11)</f>
        <v>203317699.29899997</v>
      </c>
      <c r="I31" s="987">
        <f>'[71]Total POS Tans.'!$E$12</f>
        <v>38126</v>
      </c>
      <c r="J31" s="1054"/>
      <c r="K31" s="1054"/>
    </row>
    <row r="32" spans="1:34" s="1055" customFormat="1">
      <c r="A32" s="1302"/>
      <c r="B32" s="1053" t="s">
        <v>400</v>
      </c>
      <c r="C32" s="987">
        <f>'[72]Total POS Tans.'!$C$10+'[72]Total POS Tans.'!$E$10</f>
        <v>4449822</v>
      </c>
      <c r="D32" s="987">
        <f>'[72]Total POS Tans.'!$D$10+'[72]Total POS Tans.'!$F$10</f>
        <v>848147</v>
      </c>
      <c r="E32" s="987">
        <f>SUM('[72]Total POS Tans.'!$C$10:$F$10)</f>
        <v>5297969</v>
      </c>
      <c r="F32" s="987">
        <f>'[72]Total POS Tans.'!$C$11+'[72]Total POS Tans.'!$E$11</f>
        <v>161708806.87100002</v>
      </c>
      <c r="G32" s="987">
        <f>'[72]Total POS Tans.'!$D$11+'[72]Total POS Tans.'!$F$11</f>
        <v>33940274.868000001</v>
      </c>
      <c r="H32" s="987">
        <f>SUM('[72]Total POS Tans.'!$C$11:$F$11)</f>
        <v>195649081.73900002</v>
      </c>
      <c r="I32" s="987">
        <f>'[72]Total POS Tans.'!$E$12</f>
        <v>39039</v>
      </c>
      <c r="J32" s="1054"/>
      <c r="K32" s="1054"/>
    </row>
    <row r="33" spans="1:11" s="1055" customFormat="1">
      <c r="A33" s="1302"/>
      <c r="B33" s="1053" t="s">
        <v>401</v>
      </c>
      <c r="C33" s="987">
        <f>'[73]Total POS'!$C$10+'[73]Total POS'!$E$10</f>
        <v>4938085</v>
      </c>
      <c r="D33" s="987">
        <f>'[73]Total POS'!$D$10+'[73]Total POS'!$F$10</f>
        <v>1363040</v>
      </c>
      <c r="E33" s="987">
        <f>SUM('[73]Total POS'!$C$10:$F$10)</f>
        <v>6301125</v>
      </c>
      <c r="F33" s="987">
        <f>'[73]Total POS'!$C$11+'[73]Total POS'!$E$11</f>
        <v>159392155.97899994</v>
      </c>
      <c r="G33" s="987">
        <f>'[73]Total POS'!$D$11+'[73]Total POS'!$F$11</f>
        <v>48541327.362999998</v>
      </c>
      <c r="H33" s="987">
        <f>SUM('[73]Total POS'!$C$11:$F$11)</f>
        <v>207933483.34199995</v>
      </c>
      <c r="I33" s="987">
        <f>'[73]Total POS'!$E$12</f>
        <v>39808</v>
      </c>
      <c r="J33" s="1054"/>
      <c r="K33" s="1054"/>
    </row>
    <row r="34" spans="1:11" s="1055" customFormat="1">
      <c r="A34" s="1302"/>
      <c r="B34" s="1053" t="s">
        <v>402</v>
      </c>
      <c r="C34" s="987">
        <f>'[74]Total POS'!$C$10+'[74]Total POS'!$E$10</f>
        <v>5041456</v>
      </c>
      <c r="D34" s="987">
        <f>'[74]Total POS'!$D$10+'[74]Total POS'!$F$10</f>
        <v>1442821</v>
      </c>
      <c r="E34" s="987">
        <f>SUM('[74]Total POS'!$C$10:$F$10)</f>
        <v>6484277</v>
      </c>
      <c r="F34" s="987">
        <f>'[74]Total POS'!$C$11+'[74]Total POS'!$E$11</f>
        <v>175015137.35999966</v>
      </c>
      <c r="G34" s="987">
        <f>'[74]Total POS'!$D$11+'[74]Total POS'!$F$11</f>
        <v>49602973.184999995</v>
      </c>
      <c r="H34" s="987">
        <f>SUM('[74]Total POS'!$C$11:$F$11)-0.1</f>
        <v>224618110.44499967</v>
      </c>
      <c r="I34" s="987">
        <f>'[74]Total POS'!$E$12</f>
        <v>38579</v>
      </c>
      <c r="J34" s="1054"/>
      <c r="K34" s="1054"/>
    </row>
    <row r="35" spans="1:11" s="1055" customFormat="1">
      <c r="A35" s="1302"/>
      <c r="B35" s="1053" t="s">
        <v>403</v>
      </c>
      <c r="C35" s="987">
        <f>'[75]Total POS'!$C$10+'[75]Total POS'!$E$10</f>
        <v>4710039</v>
      </c>
      <c r="D35" s="987">
        <f>'[75]Total POS'!$D$10+'[75]Total POS'!$F$10</f>
        <v>1527497</v>
      </c>
      <c r="E35" s="987">
        <f>SUM('[75]Total POS'!$C$10:$F$10)</f>
        <v>6237536</v>
      </c>
      <c r="F35" s="987">
        <f>'[75]Total POS'!$C$11+'[75]Total POS'!$E$11</f>
        <v>145909513.23699963</v>
      </c>
      <c r="G35" s="987">
        <f>'[75]Total POS'!$D$11+'[75]Total POS'!$F$11</f>
        <v>52431751.591999888</v>
      </c>
      <c r="H35" s="987">
        <f>SUM('[75]Total POS'!$C$11:$F$11)</f>
        <v>198341264.82899952</v>
      </c>
      <c r="I35" s="987">
        <f>'[75]Total POS'!$E$12</f>
        <v>39786</v>
      </c>
      <c r="J35" s="1054"/>
      <c r="K35" s="1054"/>
    </row>
    <row r="36" spans="1:11" s="1055" customFormat="1">
      <c r="A36" s="1302"/>
      <c r="B36" s="1053" t="s">
        <v>404</v>
      </c>
      <c r="C36" s="987">
        <f>'[76]Total POS'!$C$10+'[76]Total POS'!$E$10</f>
        <v>4935502</v>
      </c>
      <c r="D36" s="987">
        <f>'[76]Total POS'!$D$10+'[76]Total POS'!$F$10</f>
        <v>1214923</v>
      </c>
      <c r="E36" s="987">
        <f>SUM('[76]Total POS'!$C$10:$F$10)</f>
        <v>6150425</v>
      </c>
      <c r="F36" s="987">
        <f>'[76]Total POS'!$C$11+'[76]Total POS'!$E$11</f>
        <v>151428596.31400031</v>
      </c>
      <c r="G36" s="987">
        <f>'[76]Total POS'!$D$11+'[76]Total POS'!$F$11</f>
        <v>42621211.239999987</v>
      </c>
      <c r="H36" s="987">
        <f>SUM('[76]Total POS'!$C$11:$F$11)-0.1</f>
        <v>194049807.45400029</v>
      </c>
      <c r="I36" s="987">
        <f>'[76]Total POS'!$E$12</f>
        <v>40506</v>
      </c>
      <c r="J36" s="1054"/>
      <c r="K36" s="1054"/>
    </row>
    <row r="37" spans="1:11" s="1055" customFormat="1">
      <c r="A37" s="1302"/>
      <c r="B37" s="1053" t="s">
        <v>405</v>
      </c>
      <c r="C37" s="987">
        <f>'[77]Total POS'!$C$10+'[77]Total POS'!$E$10</f>
        <v>5481052</v>
      </c>
      <c r="D37" s="987">
        <f>'[77]Total POS'!$D$10+'[77]Total POS'!$F$10</f>
        <v>1184836</v>
      </c>
      <c r="E37" s="987">
        <f>SUM('[77]Total POS'!$C$10:$F$10)</f>
        <v>6665888</v>
      </c>
      <c r="F37" s="987">
        <f>'[77]Total POS'!$C$11+'[77]Total POS'!$E$11</f>
        <v>165863477.71400088</v>
      </c>
      <c r="G37" s="987">
        <f>'[77]Total POS'!$D$11+'[77]Total POS'!$F$11</f>
        <v>40924249.090000018</v>
      </c>
      <c r="H37" s="987">
        <f>SUM('[77]Total POS'!$C$11:$F$11)</f>
        <v>206787726.80400088</v>
      </c>
      <c r="I37" s="987">
        <f>'[77]Total POS'!$E$12</f>
        <v>40944</v>
      </c>
      <c r="J37" s="1054"/>
      <c r="K37" s="1054"/>
    </row>
    <row r="38" spans="1:11" s="1055" customFormat="1">
      <c r="A38" s="1302"/>
      <c r="B38" s="1053" t="s">
        <v>406</v>
      </c>
      <c r="C38" s="987">
        <f>'[78]Total POS'!$C$10+'[78]Total POS'!$E$10</f>
        <v>5426381</v>
      </c>
      <c r="D38" s="987">
        <f>'[78]Total POS'!$D$10+'[78]Total POS'!$F$10</f>
        <v>1354369</v>
      </c>
      <c r="E38" s="987">
        <f>SUM('[78]Total POS'!$C$10:$F$10)</f>
        <v>6780750</v>
      </c>
      <c r="F38" s="987">
        <f>'[78]Total POS'!$C$11+'[78]Total POS'!$E$11</f>
        <v>162509397.31999999</v>
      </c>
      <c r="G38" s="987">
        <f>'[78]Total POS'!$D$11+'[78]Total POS'!$F$11</f>
        <v>54896308.348000005</v>
      </c>
      <c r="H38" s="987">
        <f>SUM('[78]Total POS'!$C$11:$F$11)-0.5</f>
        <v>217405705.16799998</v>
      </c>
      <c r="I38" s="987">
        <f>'[78]Total POS'!$E$12</f>
        <v>41545</v>
      </c>
      <c r="J38" s="1054"/>
      <c r="K38" s="1054"/>
    </row>
    <row r="39" spans="1:11" s="1055" customFormat="1">
      <c r="A39" s="1302"/>
      <c r="B39" s="1053" t="s">
        <v>407</v>
      </c>
      <c r="C39" s="987">
        <f>'[79]Total POS'!$C$10+'[79]Total POS'!$E$10</f>
        <v>6009473</v>
      </c>
      <c r="D39" s="987">
        <f>'[79]Total POS'!$D$10+'[79]Total POS'!$F$10</f>
        <v>1488722</v>
      </c>
      <c r="E39" s="987">
        <f>SUM('[79]Total POS'!$C$10:$F$10)</f>
        <v>7498195</v>
      </c>
      <c r="F39" s="987">
        <f>'[79]Total POS'!$C$11+'[79]Total POS'!$E$11</f>
        <v>180902054.03200001</v>
      </c>
      <c r="G39" s="987">
        <f>'[79]Total POS'!$D$11+'[79]Total POS'!$F$11</f>
        <v>51607539.039999992</v>
      </c>
      <c r="H39" s="987">
        <f>SUM('[79]Total POS'!$C$11:$F$11)</f>
        <v>232509593.072</v>
      </c>
      <c r="I39" s="987">
        <f>'[79]Total POS'!$E$12</f>
        <v>40262</v>
      </c>
      <c r="J39" s="1054"/>
      <c r="K39" s="1054"/>
    </row>
    <row r="40" spans="1:11" s="1055" customFormat="1" ht="20.25" customHeight="1">
      <c r="A40" s="1302">
        <v>2020</v>
      </c>
      <c r="B40" s="1053" t="s">
        <v>408</v>
      </c>
      <c r="C40" s="987">
        <f>'[80]Total POS'!$C$10+'[80]Total POS'!$E$10</f>
        <v>5935443</v>
      </c>
      <c r="D40" s="987">
        <f>'[80]Total POS'!$D$10+'[80]Total POS'!$F$10</f>
        <v>1720803</v>
      </c>
      <c r="E40" s="987">
        <f>SUM('[80]Total POS'!$C$10:$F$10)</f>
        <v>7656246</v>
      </c>
      <c r="F40" s="987">
        <f>'[80]Total POS'!$C$11+'[80]Total POS'!$E$11</f>
        <v>169943290.82471552</v>
      </c>
      <c r="G40" s="987">
        <f>'[80]Total POS'!$D$11+'[80]Total POS'!$F$11</f>
        <v>55485451.80459474</v>
      </c>
      <c r="H40" s="987">
        <f>SUM('[80]Total POS'!$C$11:$F$11)</f>
        <v>225428742.62931025</v>
      </c>
      <c r="I40" s="987">
        <f>'[80]Total POS'!$E$12</f>
        <v>41424</v>
      </c>
      <c r="J40" s="1054"/>
      <c r="K40" s="1054"/>
    </row>
    <row r="41" spans="1:11" s="1055" customFormat="1">
      <c r="A41" s="1302"/>
      <c r="B41" s="1053" t="s">
        <v>409</v>
      </c>
      <c r="C41" s="987">
        <f>'[81]Total POS'!$C$10+'[81]Total POS'!$E$10</f>
        <v>5697079</v>
      </c>
      <c r="D41" s="987">
        <f>'[81]Total POS'!$D$10+'[81]Total POS'!$F$10</f>
        <v>1301619</v>
      </c>
      <c r="E41" s="987">
        <f>SUM('[81]Total POS'!$C$10:$F$10)</f>
        <v>6998698</v>
      </c>
      <c r="F41" s="987">
        <f>'[81]Total POS'!$C$11+'[81]Total POS'!$E$11</f>
        <v>161814079.24262041</v>
      </c>
      <c r="G41" s="987">
        <f>'[81]Total POS'!$D$11+'[81]Total POS'!$F$11</f>
        <v>43874087.392770529</v>
      </c>
      <c r="H41" s="987">
        <f>SUM('[81]Total POS'!$C$11:$F$11)-0.2</f>
        <v>205688166.43539092</v>
      </c>
      <c r="I41" s="987">
        <f>'[81]Total POS'!$E$12</f>
        <v>42264</v>
      </c>
      <c r="J41" s="1054"/>
      <c r="K41" s="1054"/>
    </row>
    <row r="42" spans="1:11" s="1055" customFormat="1">
      <c r="A42" s="1302"/>
      <c r="B42" s="1053" t="s">
        <v>398</v>
      </c>
      <c r="C42" s="987">
        <f>'[82]Total POS'!$C$10+'[82]Total POS'!$E$10</f>
        <v>5632682</v>
      </c>
      <c r="D42" s="987">
        <f>'[82]Total POS'!$D$10+'[82]Total POS'!$F$10</f>
        <v>381598</v>
      </c>
      <c r="E42" s="987">
        <f>SUM('[82]Total POS'!$C$10:$F$10)</f>
        <v>6014280</v>
      </c>
      <c r="F42" s="987">
        <f>'[82]Total POS'!$C$11+'[82]Total POS'!$E$11</f>
        <v>173937188.27704376</v>
      </c>
      <c r="G42" s="987">
        <f>'[82]Total POS'!$D$11+'[82]Total POS'!$F$11</f>
        <v>12544857.156043094</v>
      </c>
      <c r="H42" s="987">
        <f>SUM('[82]Total POS'!$C$11:$F$11)</f>
        <v>186482045.43308684</v>
      </c>
      <c r="I42" s="987">
        <f>'[82]Total POS'!$E$12</f>
        <v>42768</v>
      </c>
      <c r="J42" s="1054"/>
      <c r="K42" s="1054"/>
    </row>
    <row r="43" spans="1:11" s="1055" customFormat="1">
      <c r="A43" s="1302"/>
      <c r="B43" s="1053" t="s">
        <v>399</v>
      </c>
      <c r="C43" s="987">
        <f>'[83]Total POS'!$C$10+'[83]Total POS'!$E$10</f>
        <v>4671995</v>
      </c>
      <c r="D43" s="987">
        <f>'[83]Total POS'!$D$10+'[83]Total POS'!$F$10</f>
        <v>268131</v>
      </c>
      <c r="E43" s="987">
        <f>SUM('[83]Total POS'!$C$10:$F$10)</f>
        <v>4940126</v>
      </c>
      <c r="F43" s="987">
        <f>'[83]Total POS'!$C$11+'[83]Total POS'!$E$11</f>
        <v>132968920.50162041</v>
      </c>
      <c r="G43" s="987">
        <f>'[83]Total POS'!$D$11+'[83]Total POS'!$F$11</f>
        <v>9223510.3337705247</v>
      </c>
      <c r="H43" s="987">
        <f>SUM('[83]Total POS'!$C$11:$F$11)</f>
        <v>142192430.83539093</v>
      </c>
      <c r="I43" s="987">
        <f>'[83]Total POS'!$E$12</f>
        <v>42397</v>
      </c>
      <c r="J43" s="1054"/>
      <c r="K43" s="1054"/>
    </row>
    <row r="44" spans="1:11">
      <c r="A44" s="1303"/>
      <c r="B44" s="1304"/>
      <c r="C44" s="1304"/>
      <c r="D44" s="1304"/>
      <c r="E44" s="1304"/>
      <c r="F44" s="1304"/>
      <c r="G44" s="1304"/>
      <c r="H44" s="1304"/>
      <c r="I44" s="1304"/>
    </row>
    <row r="45" spans="1:11">
      <c r="A45" s="1282"/>
      <c r="B45" s="1305"/>
      <c r="C45" s="1305"/>
      <c r="D45" s="1305"/>
      <c r="E45" s="1305"/>
      <c r="F45" s="1305"/>
      <c r="G45" s="1305"/>
      <c r="H45" s="1305"/>
      <c r="I45" s="1305"/>
    </row>
    <row r="46" spans="1:11">
      <c r="A46" s="2195" t="s">
        <v>1243</v>
      </c>
      <c r="B46" s="2195"/>
      <c r="C46" s="2195"/>
      <c r="D46" s="2195"/>
      <c r="E46" s="2195"/>
      <c r="F46" s="2195"/>
      <c r="G46" s="2195"/>
      <c r="H46" s="2195"/>
      <c r="I46" s="2195"/>
    </row>
    <row r="49" spans="1:9">
      <c r="A49" s="1306"/>
      <c r="B49" s="1301"/>
      <c r="C49" s="1301"/>
      <c r="D49" s="1301"/>
      <c r="E49" s="1301"/>
      <c r="F49" s="1301"/>
      <c r="G49" s="1301"/>
      <c r="H49" s="1301"/>
      <c r="I49" s="1301"/>
    </row>
    <row r="50" spans="1:9">
      <c r="A50" s="1306"/>
      <c r="B50" s="1301"/>
      <c r="C50" s="1301"/>
      <c r="D50" s="1301"/>
      <c r="E50" s="1301"/>
      <c r="F50" s="1301"/>
      <c r="G50" s="1301"/>
      <c r="H50" s="1307"/>
      <c r="I50" s="1307"/>
    </row>
  </sheetData>
  <mergeCells count="8">
    <mergeCell ref="A12:B12"/>
    <mergeCell ref="A46:I46"/>
    <mergeCell ref="A9:B11"/>
    <mergeCell ref="C9:E9"/>
    <mergeCell ref="F9:H9"/>
    <mergeCell ref="I9:I11"/>
    <mergeCell ref="C10:E10"/>
    <mergeCell ref="F10:H10"/>
  </mergeCells>
  <printOptions horizontalCentered="1"/>
  <pageMargins left="0.7" right="0.7" top="0.75" bottom="0.75" header="0.3" footer="0.3"/>
  <pageSetup scale="81"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4">
    <pageSetUpPr fitToPage="1"/>
  </sheetPr>
  <dimension ref="A1:S41"/>
  <sheetViews>
    <sheetView topLeftCell="D1" zoomScale="70" zoomScaleNormal="70" workbookViewId="0">
      <selection activeCell="A49" sqref="A1:XFD1048576"/>
    </sheetView>
  </sheetViews>
  <sheetFormatPr defaultColWidth="18.28515625" defaultRowHeight="15"/>
  <cols>
    <col min="1" max="1" width="6.140625" style="1284" customWidth="1"/>
    <col min="2" max="2" width="45.85546875" style="1258" customWidth="1"/>
    <col min="3" max="3" width="15" style="1258" bestFit="1" customWidth="1"/>
    <col min="4" max="4" width="14.28515625" style="1258" bestFit="1" customWidth="1"/>
    <col min="5" max="5" width="15" style="1258" bestFit="1" customWidth="1"/>
    <col min="6" max="6" width="15.5703125" style="1258" bestFit="1" customWidth="1"/>
    <col min="7" max="7" width="15" style="1258" bestFit="1" customWidth="1"/>
    <col min="8" max="8" width="15.5703125" style="1258" bestFit="1" customWidth="1"/>
    <col min="9" max="9" width="15" style="1258" bestFit="1" customWidth="1"/>
    <col min="10" max="10" width="15.5703125" style="1258" bestFit="1" customWidth="1"/>
    <col min="11" max="11" width="15" style="1258" bestFit="1" customWidth="1"/>
    <col min="12" max="12" width="15.5703125" style="1258" bestFit="1" customWidth="1"/>
    <col min="13" max="13" width="15" style="1258" bestFit="1" customWidth="1"/>
    <col min="14" max="14" width="15.5703125" style="1258" bestFit="1" customWidth="1"/>
    <col min="15" max="15" width="15" style="1258" bestFit="1" customWidth="1"/>
    <col min="16" max="16" width="15.5703125" style="1258" bestFit="1" customWidth="1"/>
    <col min="17" max="17" width="15" style="1258" bestFit="1" customWidth="1"/>
    <col min="18" max="18" width="15.5703125" style="1258" bestFit="1" customWidth="1"/>
    <col min="19" max="19" width="46.7109375" style="1258" customWidth="1"/>
    <col min="20" max="16384" width="18.28515625" style="1258"/>
  </cols>
  <sheetData>
    <row r="1" spans="1:19" ht="18" customHeight="1">
      <c r="A1" s="1256" t="s">
        <v>1597</v>
      </c>
      <c r="B1" s="1257"/>
      <c r="C1" s="1257"/>
      <c r="D1" s="1257"/>
      <c r="E1" s="1257"/>
      <c r="F1" s="1257"/>
      <c r="G1" s="1257"/>
      <c r="H1" s="1257"/>
      <c r="I1" s="1257"/>
      <c r="J1" s="1257"/>
      <c r="K1" s="1257"/>
      <c r="L1" s="1257"/>
      <c r="M1" s="1257"/>
      <c r="N1" s="1257"/>
      <c r="O1" s="1257"/>
      <c r="P1" s="1257"/>
      <c r="Q1" s="1257"/>
      <c r="R1" s="1257"/>
      <c r="S1" s="1257"/>
    </row>
    <row r="2" spans="1:19" ht="18" customHeight="1">
      <c r="A2" s="1256" t="s">
        <v>80</v>
      </c>
      <c r="B2" s="1259"/>
      <c r="C2" s="1259"/>
      <c r="D2" s="1259"/>
      <c r="E2" s="1259"/>
      <c r="F2" s="1259"/>
      <c r="G2" s="1259"/>
      <c r="H2" s="1259"/>
      <c r="I2" s="1259"/>
      <c r="J2" s="1259"/>
      <c r="K2" s="1259"/>
      <c r="L2" s="1259"/>
      <c r="M2" s="1259"/>
      <c r="N2" s="1259"/>
      <c r="O2" s="1259"/>
      <c r="P2" s="1259"/>
      <c r="Q2" s="1259"/>
      <c r="R2" s="1259"/>
      <c r="S2" s="1259"/>
    </row>
    <row r="3" spans="1:19" ht="18">
      <c r="A3" s="1256" t="s">
        <v>79</v>
      </c>
      <c r="B3" s="1257"/>
      <c r="C3" s="1257"/>
      <c r="D3" s="1257"/>
      <c r="E3" s="1257"/>
      <c r="F3" s="1257"/>
      <c r="G3" s="1257"/>
      <c r="H3" s="1257"/>
      <c r="I3" s="1257"/>
      <c r="J3" s="1257"/>
      <c r="K3" s="1257"/>
      <c r="L3" s="1257"/>
      <c r="M3" s="1257"/>
      <c r="N3" s="1257"/>
      <c r="O3" s="1257"/>
      <c r="P3" s="1257"/>
      <c r="Q3" s="1257"/>
      <c r="R3" s="1257"/>
      <c r="S3" s="1257"/>
    </row>
    <row r="4" spans="1:19" ht="4.5" customHeight="1">
      <c r="A4" s="1257"/>
      <c r="B4" s="1257"/>
      <c r="C4" s="1260"/>
      <c r="D4" s="1260"/>
      <c r="E4" s="1260"/>
      <c r="F4" s="1260"/>
      <c r="G4" s="1260"/>
      <c r="H4" s="1260"/>
      <c r="I4" s="1260"/>
      <c r="J4" s="1260"/>
      <c r="K4" s="1260"/>
      <c r="L4" s="1260"/>
      <c r="M4" s="1260"/>
      <c r="N4" s="1260"/>
      <c r="O4" s="1260"/>
      <c r="P4" s="1260"/>
      <c r="Q4" s="1260"/>
      <c r="R4" s="1260"/>
      <c r="S4" s="1257"/>
    </row>
    <row r="5" spans="1:19" ht="15.75" hidden="1" customHeight="1">
      <c r="A5" s="1257"/>
      <c r="B5" s="1257"/>
      <c r="C5" s="1260"/>
      <c r="D5" s="1260"/>
      <c r="E5" s="1260"/>
      <c r="F5" s="1260"/>
      <c r="G5" s="1260"/>
      <c r="H5" s="1260"/>
      <c r="I5" s="1260"/>
      <c r="J5" s="1260"/>
      <c r="K5" s="1260"/>
      <c r="L5" s="1260"/>
      <c r="M5" s="1260"/>
      <c r="N5" s="1260"/>
      <c r="O5" s="1260"/>
      <c r="P5" s="1260"/>
      <c r="Q5" s="1260"/>
      <c r="R5" s="1260"/>
      <c r="S5" s="1257"/>
    </row>
    <row r="6" spans="1:19" ht="15.75" hidden="1" customHeight="1">
      <c r="A6" s="1257"/>
      <c r="B6" s="1257"/>
      <c r="C6" s="1260"/>
      <c r="D6" s="1260"/>
      <c r="E6" s="1260"/>
      <c r="F6" s="1260"/>
      <c r="G6" s="1260"/>
      <c r="H6" s="1260"/>
      <c r="I6" s="1260"/>
      <c r="J6" s="1260"/>
      <c r="K6" s="1260"/>
      <c r="L6" s="1260"/>
      <c r="M6" s="1260"/>
      <c r="N6" s="1260"/>
      <c r="O6" s="1260"/>
      <c r="P6" s="1260"/>
      <c r="Q6" s="1260"/>
      <c r="R6" s="1260"/>
      <c r="S6" s="1257"/>
    </row>
    <row r="7" spans="1:19" ht="15.75" hidden="1" customHeight="1">
      <c r="A7" s="1257"/>
      <c r="B7" s="1257"/>
      <c r="C7" s="1260"/>
      <c r="D7" s="1260"/>
      <c r="E7" s="1260"/>
      <c r="F7" s="1260"/>
      <c r="G7" s="1260"/>
      <c r="H7" s="1260"/>
      <c r="I7" s="1260"/>
      <c r="J7" s="1260"/>
      <c r="K7" s="1260"/>
      <c r="L7" s="1260"/>
      <c r="M7" s="1260"/>
      <c r="N7" s="1260"/>
      <c r="O7" s="1260"/>
      <c r="P7" s="1260"/>
      <c r="Q7" s="1260"/>
      <c r="R7" s="1260"/>
      <c r="S7" s="1257"/>
    </row>
    <row r="8" spans="1:19">
      <c r="A8" s="1019" t="s">
        <v>1244</v>
      </c>
      <c r="D8" s="1019"/>
      <c r="F8" s="1019"/>
      <c r="H8" s="1019"/>
      <c r="J8" s="1019"/>
      <c r="L8" s="1019"/>
      <c r="N8" s="1019"/>
      <c r="P8" s="1019"/>
      <c r="R8" s="1019"/>
      <c r="S8" s="1019" t="s">
        <v>1245</v>
      </c>
    </row>
    <row r="9" spans="1:19" s="1262" customFormat="1" ht="20.25" customHeight="1">
      <c r="A9" s="2184"/>
      <c r="B9" s="2184" t="s">
        <v>1246</v>
      </c>
      <c r="C9" s="1261">
        <v>2019</v>
      </c>
      <c r="D9" s="1261"/>
      <c r="E9" s="1261"/>
      <c r="F9" s="1261"/>
      <c r="G9" s="1261"/>
      <c r="H9" s="1261"/>
      <c r="I9" s="1261"/>
      <c r="J9" s="1261"/>
      <c r="K9" s="1261">
        <v>2020</v>
      </c>
      <c r="L9" s="1261"/>
      <c r="M9" s="1261"/>
      <c r="N9" s="1261"/>
      <c r="O9" s="1261"/>
      <c r="P9" s="1261"/>
      <c r="Q9" s="1261"/>
      <c r="R9" s="1261"/>
      <c r="S9" s="2184" t="s">
        <v>1247</v>
      </c>
    </row>
    <row r="10" spans="1:19" s="1262" customFormat="1" ht="20.25" customHeight="1">
      <c r="A10" s="2192"/>
      <c r="B10" s="2192"/>
      <c r="C10" s="2203" t="s">
        <v>1248</v>
      </c>
      <c r="D10" s="2204"/>
      <c r="E10" s="2203" t="s">
        <v>1249</v>
      </c>
      <c r="F10" s="2204"/>
      <c r="G10" s="2203" t="s">
        <v>1250</v>
      </c>
      <c r="H10" s="2204"/>
      <c r="I10" s="2203" t="s">
        <v>1251</v>
      </c>
      <c r="J10" s="2204"/>
      <c r="K10" s="2203" t="s">
        <v>1252</v>
      </c>
      <c r="L10" s="2204"/>
      <c r="M10" s="2203" t="s">
        <v>1253</v>
      </c>
      <c r="N10" s="2204"/>
      <c r="O10" s="2203" t="s">
        <v>1565</v>
      </c>
      <c r="P10" s="2204"/>
      <c r="Q10" s="2203" t="s">
        <v>1578</v>
      </c>
      <c r="R10" s="2204"/>
      <c r="S10" s="2192"/>
    </row>
    <row r="11" spans="1:19" s="1262" customFormat="1" ht="15.75">
      <c r="A11" s="2192"/>
      <c r="B11" s="2192"/>
      <c r="C11" s="1263" t="s">
        <v>1236</v>
      </c>
      <c r="D11" s="1263" t="s">
        <v>1254</v>
      </c>
      <c r="E11" s="1263" t="s">
        <v>1236</v>
      </c>
      <c r="F11" s="1263" t="s">
        <v>1254</v>
      </c>
      <c r="G11" s="1263" t="s">
        <v>1236</v>
      </c>
      <c r="H11" s="1263" t="s">
        <v>1254</v>
      </c>
      <c r="I11" s="1263" t="s">
        <v>1236</v>
      </c>
      <c r="J11" s="1263" t="s">
        <v>1254</v>
      </c>
      <c r="K11" s="1263" t="s">
        <v>1236</v>
      </c>
      <c r="L11" s="1263" t="s">
        <v>1254</v>
      </c>
      <c r="M11" s="1263" t="s">
        <v>1236</v>
      </c>
      <c r="N11" s="1263" t="s">
        <v>1254</v>
      </c>
      <c r="O11" s="1263" t="s">
        <v>1236</v>
      </c>
      <c r="P11" s="1263" t="s">
        <v>1254</v>
      </c>
      <c r="Q11" s="1263" t="s">
        <v>1236</v>
      </c>
      <c r="R11" s="1263" t="s">
        <v>1254</v>
      </c>
      <c r="S11" s="2192"/>
    </row>
    <row r="12" spans="1:19" s="1265" customFormat="1" ht="15.75">
      <c r="A12" s="2188"/>
      <c r="B12" s="2188"/>
      <c r="C12" s="1264" t="s">
        <v>1255</v>
      </c>
      <c r="D12" s="1264" t="s">
        <v>1256</v>
      </c>
      <c r="E12" s="1264" t="s">
        <v>1255</v>
      </c>
      <c r="F12" s="1264" t="s">
        <v>1256</v>
      </c>
      <c r="G12" s="1264" t="s">
        <v>1255</v>
      </c>
      <c r="H12" s="1264" t="s">
        <v>1256</v>
      </c>
      <c r="I12" s="1264" t="s">
        <v>1255</v>
      </c>
      <c r="J12" s="1264" t="s">
        <v>1256</v>
      </c>
      <c r="K12" s="1264" t="s">
        <v>1255</v>
      </c>
      <c r="L12" s="1264" t="s">
        <v>1256</v>
      </c>
      <c r="M12" s="1264" t="s">
        <v>1255</v>
      </c>
      <c r="N12" s="1264" t="s">
        <v>1256</v>
      </c>
      <c r="O12" s="1264" t="s">
        <v>1255</v>
      </c>
      <c r="P12" s="1264" t="s">
        <v>1256</v>
      </c>
      <c r="Q12" s="1264" t="s">
        <v>1255</v>
      </c>
      <c r="R12" s="1264" t="s">
        <v>1256</v>
      </c>
      <c r="S12" s="2188"/>
    </row>
    <row r="13" spans="1:19" ht="31.5" customHeight="1">
      <c r="A13" s="1266">
        <v>1</v>
      </c>
      <c r="B13" s="1267" t="s">
        <v>1257</v>
      </c>
      <c r="C13" s="1268">
        <f>'[76]POS by sector '!$G$10</f>
        <v>6965</v>
      </c>
      <c r="D13" s="1268">
        <f>'[76]POS by sector '!$H$10</f>
        <v>2338144.0960000004</v>
      </c>
      <c r="E13" s="1268">
        <f>'[77]POS by sector '!$G$10</f>
        <v>5163</v>
      </c>
      <c r="F13" s="1268">
        <f>'[77]POS by sector '!$H$10</f>
        <v>1457969.83</v>
      </c>
      <c r="G13" s="1268">
        <f>'[78]POS by sector '!$G$10</f>
        <v>5207</v>
      </c>
      <c r="H13" s="1268">
        <f>'[78]POS by sector '!$H$10</f>
        <v>1203163.9839999999</v>
      </c>
      <c r="I13" s="1268">
        <f>'[79]POS by sector '!$G$10</f>
        <v>5378</v>
      </c>
      <c r="J13" s="1268">
        <f>'[79]POS by sector '!$H$10</f>
        <v>1467921.3289999999</v>
      </c>
      <c r="K13" s="1268">
        <f>'[80]POS by sector '!$G$10</f>
        <v>7524</v>
      </c>
      <c r="L13" s="1268">
        <f>'[80]POS by sector '!$H$10</f>
        <v>3242257.0180000002</v>
      </c>
      <c r="M13" s="1268">
        <f>'[81]POS by sector '!$G$10</f>
        <v>5390</v>
      </c>
      <c r="N13" s="1268">
        <f>'[81]POS by sector '!$H$10</f>
        <v>1917189.8289999999</v>
      </c>
      <c r="O13" s="1268">
        <f>'[82]POS by sector '!$G$10</f>
        <v>1977</v>
      </c>
      <c r="P13" s="1268">
        <f>'[82]POS by sector '!$H$10</f>
        <v>735751.78399999999</v>
      </c>
      <c r="Q13" s="1268">
        <f>'[83]POS by sector '!$G$10</f>
        <v>2956</v>
      </c>
      <c r="R13" s="1268">
        <f>'[83]POS by sector '!$H$10</f>
        <v>1556967.9310000001</v>
      </c>
      <c r="S13" s="1269" t="s">
        <v>1258</v>
      </c>
    </row>
    <row r="14" spans="1:19" ht="43.5" customHeight="1">
      <c r="A14" s="1266">
        <v>2</v>
      </c>
      <c r="B14" s="1270" t="s">
        <v>1259</v>
      </c>
      <c r="C14" s="1268">
        <f>'[76]POS by sector '!$G$11</f>
        <v>17100</v>
      </c>
      <c r="D14" s="1268">
        <f>'[76]POS by sector '!$H$11</f>
        <v>1001179.6089999996</v>
      </c>
      <c r="E14" s="1268">
        <f>'[77]POS by sector '!$G$11</f>
        <v>17060</v>
      </c>
      <c r="F14" s="1268">
        <f>'[77]POS by sector '!$H$11</f>
        <v>969340.57299999928</v>
      </c>
      <c r="G14" s="1268">
        <f>'[78]POS by sector '!$G$11</f>
        <v>16097</v>
      </c>
      <c r="H14" s="1268">
        <f>'[78]POS by sector '!$H$11</f>
        <v>1000647.3329999999</v>
      </c>
      <c r="I14" s="1268">
        <f>'[79]POS by sector '!$G$11</f>
        <v>16782</v>
      </c>
      <c r="J14" s="1268">
        <f>'[79]POS by sector '!$H$11</f>
        <v>1347875.291</v>
      </c>
      <c r="K14" s="1268">
        <f>'[80]POS by sector '!$G$11</f>
        <v>16256</v>
      </c>
      <c r="L14" s="1268">
        <f>'[80]POS by sector '!$H$11</f>
        <v>1937434.0399999998</v>
      </c>
      <c r="M14" s="1268">
        <f>'[81]POS by sector '!$G$11</f>
        <v>15660</v>
      </c>
      <c r="N14" s="1268">
        <f>'[81]POS by sector '!$H$11</f>
        <v>1252237.3650000002</v>
      </c>
      <c r="O14" s="1268">
        <f>'[82]POS by sector '!$G$11</f>
        <v>8746</v>
      </c>
      <c r="P14" s="1268">
        <f>'[82]POS by sector '!$H$11</f>
        <v>622372.13599999994</v>
      </c>
      <c r="Q14" s="1268">
        <f>'[83]POS by sector '!$G$11</f>
        <v>3746</v>
      </c>
      <c r="R14" s="1268">
        <f>'[83]POS by sector '!$H$11</f>
        <v>437785.78700000013</v>
      </c>
      <c r="S14" s="1271" t="s">
        <v>1260</v>
      </c>
    </row>
    <row r="15" spans="1:19" ht="31.5" customHeight="1">
      <c r="A15" s="1266">
        <v>3</v>
      </c>
      <c r="B15" s="1270" t="s">
        <v>1261</v>
      </c>
      <c r="C15" s="1268">
        <f>'[76]POS by sector '!$G$12</f>
        <v>274344</v>
      </c>
      <c r="D15" s="1268">
        <f>'[76]POS by sector '!$H$12</f>
        <v>2321583.1300000106</v>
      </c>
      <c r="E15" s="1268">
        <f>'[77]POS by sector '!$G$12</f>
        <v>303459</v>
      </c>
      <c r="F15" s="1268">
        <f>'[77]POS by sector '!$H$12</f>
        <v>2440360.3920000209</v>
      </c>
      <c r="G15" s="1268">
        <f>'[78]POS by sector '!$G$12</f>
        <v>325316</v>
      </c>
      <c r="H15" s="1268">
        <f>'[78]POS by sector '!$H$12</f>
        <v>2749143.8889999995</v>
      </c>
      <c r="I15" s="1268">
        <f>'[79]POS by sector '!$G$12</f>
        <v>349754</v>
      </c>
      <c r="J15" s="1268">
        <f>'[79]POS by sector '!$H$12</f>
        <v>2975323.4169999994</v>
      </c>
      <c r="K15" s="1268">
        <f>'[80]POS by sector '!$G$12</f>
        <v>351501</v>
      </c>
      <c r="L15" s="1268">
        <f>'[80]POS by sector '!$H$12</f>
        <v>3066205.7940000002</v>
      </c>
      <c r="M15" s="1268">
        <f>'[81]POS by sector '!$G$12</f>
        <v>343799</v>
      </c>
      <c r="N15" s="1268">
        <f>'[81]POS by sector '!$H$12</f>
        <v>2761863.4730000002</v>
      </c>
      <c r="O15" s="1268">
        <f>'[82]POS by sector '!$G$12</f>
        <v>257544</v>
      </c>
      <c r="P15" s="1268">
        <f>'[82]POS by sector '!$H$12</f>
        <v>1980558.0920000002</v>
      </c>
      <c r="Q15" s="1268">
        <f>'[83]POS by sector '!$G$12</f>
        <v>148685</v>
      </c>
      <c r="R15" s="1268">
        <f>'[83]POS by sector '!$H$12</f>
        <v>1155167.0290000001</v>
      </c>
      <c r="S15" s="1271" t="s">
        <v>1262</v>
      </c>
    </row>
    <row r="16" spans="1:19" ht="31.5" customHeight="1">
      <c r="A16" s="1266">
        <v>4</v>
      </c>
      <c r="B16" s="1270" t="s">
        <v>1263</v>
      </c>
      <c r="C16" s="1268">
        <f>'[76]POS by sector '!$G$13</f>
        <v>89214</v>
      </c>
      <c r="D16" s="1268">
        <f>'[76]POS by sector '!$H$13</f>
        <v>2618501.8000000003</v>
      </c>
      <c r="E16" s="1268">
        <f>'[77]POS by sector '!$G$13</f>
        <v>98850</v>
      </c>
      <c r="F16" s="1268">
        <f>'[77]POS by sector '!$H$13</f>
        <v>2976111.5460000038</v>
      </c>
      <c r="G16" s="1268">
        <f>'[78]POS by sector '!$G$13</f>
        <v>95329</v>
      </c>
      <c r="H16" s="1268">
        <f>'[78]POS by sector '!$H$13</f>
        <v>2760213.2659999998</v>
      </c>
      <c r="I16" s="1268">
        <f>'[79]POS by sector '!$G$13</f>
        <v>100615</v>
      </c>
      <c r="J16" s="1268">
        <f>'[79]POS by sector '!$H$13</f>
        <v>3018670.4160000002</v>
      </c>
      <c r="K16" s="1268">
        <f>'[80]POS by sector '!$G$13</f>
        <v>98419</v>
      </c>
      <c r="L16" s="1268">
        <f>'[80]POS by sector '!$H$13</f>
        <v>2929421.1510000001</v>
      </c>
      <c r="M16" s="1268">
        <f>'[81]POS by sector '!$G$13</f>
        <v>101318</v>
      </c>
      <c r="N16" s="1268">
        <f>'[81]POS by sector '!$H$13</f>
        <v>2943098.4720000001</v>
      </c>
      <c r="O16" s="1268">
        <f>'[82]POS by sector '!$G$13</f>
        <v>91174</v>
      </c>
      <c r="P16" s="1268">
        <f>'[82]POS by sector '!$H$13</f>
        <v>2585868.2820000001</v>
      </c>
      <c r="Q16" s="1268">
        <f>'[83]POS by sector '!$G$13</f>
        <v>64878</v>
      </c>
      <c r="R16" s="1268">
        <f>'[83]POS by sector '!$H$13</f>
        <v>1650148.3529999999</v>
      </c>
      <c r="S16" s="1271" t="s">
        <v>1264</v>
      </c>
    </row>
    <row r="17" spans="1:19" ht="31.5" customHeight="1">
      <c r="A17" s="1266">
        <v>5</v>
      </c>
      <c r="B17" s="1270" t="s">
        <v>1265</v>
      </c>
      <c r="C17" s="1268">
        <f>'[76]POS by sector '!$G$14</f>
        <v>177126</v>
      </c>
      <c r="D17" s="1268">
        <f>'[76]POS by sector '!$H$14</f>
        <v>43359501.589999996</v>
      </c>
      <c r="E17" s="1268">
        <f>'[77]POS by sector '!$G$14</f>
        <v>203296</v>
      </c>
      <c r="F17" s="1268">
        <f>'[77]POS by sector '!$H$14</f>
        <v>48008123.139999986</v>
      </c>
      <c r="G17" s="1268">
        <f>'[78]POS by sector '!$G$14</f>
        <v>183594</v>
      </c>
      <c r="H17" s="1268">
        <f>'[78]POS by sector '!$H$14</f>
        <v>42194831.691</v>
      </c>
      <c r="I17" s="1268">
        <f>'[79]POS by sector '!$G$14</f>
        <v>190889</v>
      </c>
      <c r="J17" s="1268">
        <f>'[79]POS by sector '!$H$14</f>
        <v>51953589.474999994</v>
      </c>
      <c r="K17" s="1268">
        <f>'[80]POS by sector '!$G$14</f>
        <v>198698</v>
      </c>
      <c r="L17" s="1268">
        <f>'[80]POS by sector '!$H$14</f>
        <v>43815639.759999998</v>
      </c>
      <c r="M17" s="1268">
        <f>'[81]POS by sector '!$G$14</f>
        <v>194525</v>
      </c>
      <c r="N17" s="1268">
        <f>'[81]POS by sector '!$H$14</f>
        <v>42817399.603999995</v>
      </c>
      <c r="O17" s="1268">
        <f>'[82]POS by sector '!$G$14</f>
        <v>184879</v>
      </c>
      <c r="P17" s="1268">
        <f>'[82]POS by sector '!$H$14</f>
        <v>40875696.293000005</v>
      </c>
      <c r="Q17" s="1268">
        <f>'[83]POS by sector '!$G$14</f>
        <v>136141</v>
      </c>
      <c r="R17" s="1268">
        <f>'[83]POS by sector '!$H$14</f>
        <v>26126823.658999998</v>
      </c>
      <c r="S17" s="1271" t="s">
        <v>1266</v>
      </c>
    </row>
    <row r="18" spans="1:19" ht="47.25">
      <c r="A18" s="1266">
        <v>6</v>
      </c>
      <c r="B18" s="1270" t="s">
        <v>1267</v>
      </c>
      <c r="C18" s="1268">
        <f>'[76]POS by sector '!$G$15</f>
        <v>21896</v>
      </c>
      <c r="D18" s="1268">
        <f>'[76]POS by sector '!$H$15</f>
        <v>1955825.1000000015</v>
      </c>
      <c r="E18" s="1268">
        <f>'[77]POS by sector '!$G$15</f>
        <v>29828</v>
      </c>
      <c r="F18" s="1268">
        <f>'[77]POS by sector '!$H$15</f>
        <v>2472775.4610000011</v>
      </c>
      <c r="G18" s="1268">
        <f>'[78]POS by sector '!$G$15</f>
        <v>34306</v>
      </c>
      <c r="H18" s="1268">
        <f>'[78]POS by sector '!$H$15</f>
        <v>2541204.2699999996</v>
      </c>
      <c r="I18" s="1268">
        <f>'[79]POS by sector '!$G$15</f>
        <v>37290</v>
      </c>
      <c r="J18" s="1268">
        <f>'[79]POS by sector '!$H$15</f>
        <v>2523599.0609999998</v>
      </c>
      <c r="K18" s="1268">
        <f>'[80]POS by sector '!$G$15</f>
        <v>35686</v>
      </c>
      <c r="L18" s="1268">
        <f>'[80]POS by sector '!$H$15</f>
        <v>2545007.7820000001</v>
      </c>
      <c r="M18" s="1268">
        <f>'[81]POS by sector '!$G$15</f>
        <v>34969</v>
      </c>
      <c r="N18" s="1268">
        <f>'[81]POS by sector '!$H$15</f>
        <v>2548471.8730000001</v>
      </c>
      <c r="O18" s="1268">
        <f>'[82]POS by sector '!$G$15</f>
        <v>39271</v>
      </c>
      <c r="P18" s="1268">
        <f>'[82]POS by sector '!$H$15</f>
        <v>3141695.8109999998</v>
      </c>
      <c r="Q18" s="1268">
        <f>'[83]POS by sector '!$G$15</f>
        <v>30588</v>
      </c>
      <c r="R18" s="1268">
        <f>'[83]POS by sector '!$H$15</f>
        <v>2292667.5550000002</v>
      </c>
      <c r="S18" s="1272" t="s">
        <v>1268</v>
      </c>
    </row>
    <row r="19" spans="1:19" ht="31.5" customHeight="1">
      <c r="A19" s="1266">
        <v>7</v>
      </c>
      <c r="B19" s="1270" t="s">
        <v>1269</v>
      </c>
      <c r="C19" s="1268">
        <f>'[76]POS by sector '!$G$16</f>
        <v>289079</v>
      </c>
      <c r="D19" s="1268">
        <f>'[76]POS by sector '!$H$16</f>
        <v>3276342.1549999909</v>
      </c>
      <c r="E19" s="1268">
        <f>'[77]POS by sector '!$G$16</f>
        <v>304766</v>
      </c>
      <c r="F19" s="1268">
        <f>'[77]POS by sector '!$H$16</f>
        <v>3313283.4749999726</v>
      </c>
      <c r="G19" s="1268">
        <f>'[78]POS by sector '!$G$16</f>
        <v>305139</v>
      </c>
      <c r="H19" s="1268">
        <f>'[78]POS by sector '!$H$16</f>
        <v>3278043.733</v>
      </c>
      <c r="I19" s="1268">
        <f>'[79]POS by sector '!$G$16</f>
        <v>298840</v>
      </c>
      <c r="J19" s="1268">
        <f>'[79]POS by sector '!$H$16</f>
        <v>3337538.7149999999</v>
      </c>
      <c r="K19" s="1268">
        <f>'[80]POS by sector '!$G$16</f>
        <v>304605</v>
      </c>
      <c r="L19" s="1268">
        <f>'[80]POS by sector '!$H$16</f>
        <v>3361121.6519999998</v>
      </c>
      <c r="M19" s="1268">
        <f>'[81]POS by sector '!$G$16</f>
        <v>309908</v>
      </c>
      <c r="N19" s="1268">
        <f>'[81]POS by sector '!$H$16</f>
        <v>3415165.8341809995</v>
      </c>
      <c r="O19" s="1268">
        <f>'[82]POS by sector '!$G$16</f>
        <v>368763</v>
      </c>
      <c r="P19" s="1268">
        <f>'[82]POS by sector '!$H$16</f>
        <v>4898540.95</v>
      </c>
      <c r="Q19" s="1268">
        <f>'[83]POS by sector '!$G$16</f>
        <v>329867</v>
      </c>
      <c r="R19" s="1268">
        <f>'[83]POS by sector '!$H$16</f>
        <v>4236833.246181</v>
      </c>
      <c r="S19" s="1271" t="s">
        <v>1270</v>
      </c>
    </row>
    <row r="20" spans="1:19" ht="31.5" customHeight="1">
      <c r="A20" s="1266">
        <v>8</v>
      </c>
      <c r="B20" s="1270" t="s">
        <v>1271</v>
      </c>
      <c r="C20" s="1268">
        <f>'[76]POS by sector '!$G$17</f>
        <v>8354</v>
      </c>
      <c r="D20" s="1268">
        <f>'[76]POS by sector '!$H$17</f>
        <v>1925137.3620000002</v>
      </c>
      <c r="E20" s="1268">
        <f>'[77]POS by sector '!$G$17</f>
        <v>10925</v>
      </c>
      <c r="F20" s="1268">
        <f>'[77]POS by sector '!$H$17</f>
        <v>2877540.3479999988</v>
      </c>
      <c r="G20" s="1268">
        <f>'[78]POS by sector '!$G$17</f>
        <v>14815</v>
      </c>
      <c r="H20" s="1268">
        <f>'[78]POS by sector '!$H$17</f>
        <v>7275554.1579999998</v>
      </c>
      <c r="I20" s="1268">
        <f>'[79]POS by sector '!$G$17</f>
        <v>14129</v>
      </c>
      <c r="J20" s="1268">
        <f>'[79]POS by sector '!$H$17</f>
        <v>3825065.159</v>
      </c>
      <c r="K20" s="1268">
        <f>'[80]POS by sector '!$G$17</f>
        <v>10704</v>
      </c>
      <c r="L20" s="1268">
        <f>'[80]POS by sector '!$H$17</f>
        <v>2935215.676</v>
      </c>
      <c r="M20" s="1268">
        <f>'[81]POS by sector '!$G$17</f>
        <v>11047</v>
      </c>
      <c r="N20" s="1268">
        <f>'[81]POS by sector '!$H$17</f>
        <v>3288098.46</v>
      </c>
      <c r="O20" s="1268">
        <f>'[82]POS by sector '!$G$17</f>
        <v>11208</v>
      </c>
      <c r="P20" s="1268">
        <f>'[82]POS by sector '!$H$17</f>
        <v>3027147.2520000003</v>
      </c>
      <c r="Q20" s="1268">
        <f>'[83]POS by sector '!$G$17</f>
        <v>3393</v>
      </c>
      <c r="R20" s="1268">
        <f>'[83]POS by sector '!$H$17</f>
        <v>1356801.1349999998</v>
      </c>
      <c r="S20" s="1271" t="s">
        <v>1272</v>
      </c>
    </row>
    <row r="21" spans="1:19" ht="31.5" customHeight="1">
      <c r="A21" s="1266">
        <v>9</v>
      </c>
      <c r="B21" s="1270" t="s">
        <v>1273</v>
      </c>
      <c r="C21" s="1268">
        <f>'[76]POS by sector '!$G$18</f>
        <v>255932</v>
      </c>
      <c r="D21" s="1268">
        <f>'[76]POS by sector '!$H$18</f>
        <v>5751356.4310000008</v>
      </c>
      <c r="E21" s="1268">
        <f>'[77]POS by sector '!$G$18</f>
        <v>248156</v>
      </c>
      <c r="F21" s="1268">
        <f>'[77]POS by sector '!$H$18</f>
        <v>5428921.8819999984</v>
      </c>
      <c r="G21" s="1268">
        <f>'[78]POS by sector '!$G$18</f>
        <v>245894</v>
      </c>
      <c r="H21" s="1268">
        <f>'[78]POS by sector '!$H$18</f>
        <v>5074388.4450000003</v>
      </c>
      <c r="I21" s="1268">
        <f>'[79]POS by sector '!$G$18</f>
        <v>259476</v>
      </c>
      <c r="J21" s="1268">
        <f>'[79]POS by sector '!$H$18</f>
        <v>5430589</v>
      </c>
      <c r="K21" s="1268">
        <f>'[80]POS by sector '!$G$18</f>
        <v>252100</v>
      </c>
      <c r="L21" s="1268">
        <f>'[80]POS by sector '!$H$18</f>
        <v>5170788.0779999997</v>
      </c>
      <c r="M21" s="1268">
        <f>'[81]POS by sector '!$G$18</f>
        <v>244147</v>
      </c>
      <c r="N21" s="1268">
        <f>'[81]POS by sector '!$H$18</f>
        <v>5277097.4610000011</v>
      </c>
      <c r="O21" s="1268">
        <f>'[82]POS by sector '!$G$18</f>
        <v>262505</v>
      </c>
      <c r="P21" s="1268">
        <f>'[82]POS by sector '!$H$18</f>
        <v>7170613.0620000008</v>
      </c>
      <c r="Q21" s="1268">
        <f>'[83]POS by sector '!$G$18</f>
        <v>229682</v>
      </c>
      <c r="R21" s="1268">
        <f>'[83]POS by sector '!$H$18</f>
        <v>6126540.6869999999</v>
      </c>
      <c r="S21" s="1271" t="s">
        <v>1274</v>
      </c>
    </row>
    <row r="22" spans="1:19" ht="31.5" customHeight="1">
      <c r="A22" s="1266">
        <v>10</v>
      </c>
      <c r="B22" s="1270" t="s">
        <v>1275</v>
      </c>
      <c r="C22" s="1268">
        <f>'[76]POS by sector '!$G$19</f>
        <v>93906</v>
      </c>
      <c r="D22" s="1268">
        <f>'[76]POS by sector '!$H$19</f>
        <v>2411789.6069999994</v>
      </c>
      <c r="E22" s="1268">
        <f>'[77]POS by sector '!$G$19</f>
        <v>92620</v>
      </c>
      <c r="F22" s="1268">
        <f>'[77]POS by sector '!$H$19</f>
        <v>2586997.6999999988</v>
      </c>
      <c r="G22" s="1268">
        <f>'[78]POS by sector '!$G$19</f>
        <v>113133</v>
      </c>
      <c r="H22" s="1268">
        <f>'[78]POS by sector '!$H$19</f>
        <v>3199925.1870000004</v>
      </c>
      <c r="I22" s="1268">
        <f>'[79]POS by sector '!$G$19</f>
        <v>150544</v>
      </c>
      <c r="J22" s="1268">
        <f>'[79]POS by sector '!$H$19</f>
        <v>4164370.037</v>
      </c>
      <c r="K22" s="1268">
        <f>'[80]POS by sector '!$G$19</f>
        <v>119034</v>
      </c>
      <c r="L22" s="1268">
        <f>'[80]POS by sector '!$H$19</f>
        <v>3139299.1180000002</v>
      </c>
      <c r="M22" s="1268">
        <f>'[81]POS by sector '!$G$19</f>
        <v>86724</v>
      </c>
      <c r="N22" s="1268">
        <f>'[81]POS by sector '!$H$19</f>
        <v>2585748.693</v>
      </c>
      <c r="O22" s="1268">
        <f>'[82]POS by sector '!$G$19</f>
        <v>60834</v>
      </c>
      <c r="P22" s="1268">
        <f>'[82]POS by sector '!$H$19</f>
        <v>1883415.5019999999</v>
      </c>
      <c r="Q22" s="1268">
        <f>'[83]POS by sector '!$G$19</f>
        <v>41629</v>
      </c>
      <c r="R22" s="1268">
        <f>'[83]POS by sector '!$H$19</f>
        <v>1337329.3489999999</v>
      </c>
      <c r="S22" s="1271" t="s">
        <v>1276</v>
      </c>
    </row>
    <row r="23" spans="1:19" ht="31.5" customHeight="1">
      <c r="A23" s="1266">
        <v>11</v>
      </c>
      <c r="B23" s="1270" t="s">
        <v>1277</v>
      </c>
      <c r="C23" s="1268">
        <f>'[76]POS by sector '!$G$20</f>
        <v>23754</v>
      </c>
      <c r="D23" s="1268">
        <f>'[76]POS by sector '!$H$20</f>
        <v>1758520.9640000034</v>
      </c>
      <c r="E23" s="1268">
        <f>'[77]POS by sector '!$G$20</f>
        <v>26432</v>
      </c>
      <c r="F23" s="1268">
        <f>'[77]POS by sector '!$H$20</f>
        <v>2089500.5480000018</v>
      </c>
      <c r="G23" s="1268">
        <f>'[78]POS by sector '!$G$20</f>
        <v>28125</v>
      </c>
      <c r="H23" s="1268">
        <f>'[78]POS by sector '!$H$20</f>
        <v>2100721.4849999999</v>
      </c>
      <c r="I23" s="1268">
        <f>'[79]POS by sector '!$G$20</f>
        <v>29413</v>
      </c>
      <c r="J23" s="1268">
        <f>'[79]POS by sector '!$H$20</f>
        <v>2097258.6320000002</v>
      </c>
      <c r="K23" s="1268">
        <f>'[80]POS by sector '!$G$20</f>
        <v>26207</v>
      </c>
      <c r="L23" s="1268">
        <f>'[80]POS by sector '!$H$20</f>
        <v>1800085.8947155098</v>
      </c>
      <c r="M23" s="1268">
        <f>'[81]POS by sector '!$G$20</f>
        <v>24243</v>
      </c>
      <c r="N23" s="1268">
        <f>'[81]POS by sector '!$H$20</f>
        <v>1791264.69143941</v>
      </c>
      <c r="O23" s="1268">
        <f>'[82]POS by sector '!$G$20</f>
        <v>27740</v>
      </c>
      <c r="P23" s="1268">
        <f>'[82]POS by sector '!$H$20</f>
        <v>2279331.6690437603</v>
      </c>
      <c r="Q23" s="1268">
        <f>'[83]POS by sector '!$G$20</f>
        <v>19263</v>
      </c>
      <c r="R23" s="1268">
        <f>'[83]POS by sector '!$H$20</f>
        <v>1575919.1544394102</v>
      </c>
      <c r="S23" s="1271" t="s">
        <v>1278</v>
      </c>
    </row>
    <row r="24" spans="1:19" ht="30" customHeight="1">
      <c r="A24" s="1266">
        <v>12</v>
      </c>
      <c r="B24" s="1270" t="s">
        <v>1279</v>
      </c>
      <c r="C24" s="1268">
        <f>'[76]POS by sector '!$G$21</f>
        <v>13017</v>
      </c>
      <c r="D24" s="1268">
        <f>'[76]POS by sector '!$H$21</f>
        <v>1575369.6410000005</v>
      </c>
      <c r="E24" s="1268">
        <f>'[77]POS by sector '!$G$21</f>
        <v>15430</v>
      </c>
      <c r="F24" s="1268">
        <f>'[77]POS by sector '!$H$21</f>
        <v>1880659.3360000006</v>
      </c>
      <c r="G24" s="1268">
        <f>'[78]POS by sector '!$G$21</f>
        <v>13522</v>
      </c>
      <c r="H24" s="1268">
        <f>'[78]POS by sector '!$H$21</f>
        <v>1648414.9000000001</v>
      </c>
      <c r="I24" s="1268">
        <f>'[79]POS by sector '!$G$21</f>
        <v>14551</v>
      </c>
      <c r="J24" s="1268">
        <f>'[79]POS by sector '!$H$21</f>
        <v>1824975.8429999999</v>
      </c>
      <c r="K24" s="1268">
        <f>'[80]POS by sector '!$G$21</f>
        <v>15261</v>
      </c>
      <c r="L24" s="1268">
        <f>'[80]POS by sector '!$H$21</f>
        <v>1842300.5589999999</v>
      </c>
      <c r="M24" s="1268">
        <f>'[81]POS by sector '!$G$21</f>
        <v>13315</v>
      </c>
      <c r="N24" s="1268">
        <f>'[81]POS by sector '!$H$21</f>
        <v>1560778.5289999999</v>
      </c>
      <c r="O24" s="1268">
        <f>'[82]POS by sector '!$G$21</f>
        <v>14237</v>
      </c>
      <c r="P24" s="1268">
        <f>'[82]POS by sector '!$H$21</f>
        <v>1794570.095</v>
      </c>
      <c r="Q24" s="1268">
        <f>'[83]POS by sector '!$G$21</f>
        <v>10712</v>
      </c>
      <c r="R24" s="1268">
        <f>'[83]POS by sector '!$H$21</f>
        <v>1341527.723</v>
      </c>
      <c r="S24" s="1271" t="s">
        <v>1280</v>
      </c>
    </row>
    <row r="25" spans="1:19" ht="31.5" customHeight="1">
      <c r="A25" s="1266">
        <v>13</v>
      </c>
      <c r="B25" s="1270" t="s">
        <v>1281</v>
      </c>
      <c r="C25" s="1268">
        <f>'[76]POS by sector '!$G$22</f>
        <v>118230</v>
      </c>
      <c r="D25" s="1268">
        <f>'[76]POS by sector '!$H$22</f>
        <v>3879187.4869999993</v>
      </c>
      <c r="E25" s="1268">
        <f>'[77]POS by sector '!$G$22</f>
        <v>123117</v>
      </c>
      <c r="F25" s="1268">
        <f>'[77]POS by sector '!$H$22</f>
        <v>4145406.4019999988</v>
      </c>
      <c r="G25" s="1268">
        <f>'[78]POS by sector '!$G$22</f>
        <v>114711</v>
      </c>
      <c r="H25" s="1268">
        <f>'[78]POS by sector '!$H$22</f>
        <v>3831051.6239999998</v>
      </c>
      <c r="I25" s="1268">
        <f>'[79]POS by sector '!$G$22</f>
        <v>122184</v>
      </c>
      <c r="J25" s="1268">
        <f>'[79]POS by sector '!$H$22</f>
        <v>4175239.4789999994</v>
      </c>
      <c r="K25" s="1268">
        <f>'[80]POS by sector '!$G$22</f>
        <v>121299</v>
      </c>
      <c r="L25" s="1268">
        <f>'[80]POS by sector '!$H$22</f>
        <v>3891957.22</v>
      </c>
      <c r="M25" s="1268">
        <f>'[81]POS by sector '!$G$22</f>
        <v>115353</v>
      </c>
      <c r="N25" s="1268">
        <f>'[81]POS by sector '!$H$22</f>
        <v>3889515.375</v>
      </c>
      <c r="O25" s="1268">
        <f>'[82]POS by sector '!$G$22</f>
        <v>123148</v>
      </c>
      <c r="P25" s="1268">
        <f>'[82]POS by sector '!$H$22</f>
        <v>4236031.8689999999</v>
      </c>
      <c r="Q25" s="1268">
        <f>'[83]POS by sector '!$G$22</f>
        <v>112756</v>
      </c>
      <c r="R25" s="1268">
        <f>'[83]POS by sector '!$H$22</f>
        <v>3909041.0559999999</v>
      </c>
      <c r="S25" s="1271" t="s">
        <v>1282</v>
      </c>
    </row>
    <row r="26" spans="1:19" ht="31.5" customHeight="1">
      <c r="A26" s="1266">
        <v>14</v>
      </c>
      <c r="B26" s="1270" t="s">
        <v>1283</v>
      </c>
      <c r="C26" s="1268">
        <f>'[76]POS by sector '!$G$23</f>
        <v>3949</v>
      </c>
      <c r="D26" s="1268">
        <f>'[76]POS by sector '!$H$23</f>
        <v>206608.38000000009</v>
      </c>
      <c r="E26" s="1268">
        <f>'[77]POS by sector '!$G$23</f>
        <v>4505</v>
      </c>
      <c r="F26" s="1268">
        <f>'[77]POS by sector '!$H$23</f>
        <v>252941.37400000007</v>
      </c>
      <c r="G26" s="1268">
        <f>'[78]POS by sector '!$G$23</f>
        <v>33055</v>
      </c>
      <c r="H26" s="1268">
        <f>'[78]POS by sector '!$H$23</f>
        <v>409757.05799999996</v>
      </c>
      <c r="I26" s="1268">
        <f>'[79]POS by sector '!$G$23</f>
        <v>125734</v>
      </c>
      <c r="J26" s="1268">
        <f>'[79]POS by sector '!$H$23</f>
        <v>1000291.3879999999</v>
      </c>
      <c r="K26" s="1268">
        <f>'[80]POS by sector '!$G$23</f>
        <v>135377</v>
      </c>
      <c r="L26" s="1268">
        <f>'[80]POS by sector '!$H$23</f>
        <v>1040568.797</v>
      </c>
      <c r="M26" s="1268">
        <f>'[81]POS by sector '!$G$23</f>
        <v>127616</v>
      </c>
      <c r="N26" s="1268">
        <f>'[81]POS by sector '!$H$23</f>
        <v>1005348.662</v>
      </c>
      <c r="O26" s="1268">
        <f>'[82]POS by sector '!$G$23</f>
        <v>142001</v>
      </c>
      <c r="P26" s="1268">
        <f>'[82]POS by sector '!$H$23</f>
        <v>1173226.4140000001</v>
      </c>
      <c r="Q26" s="1268">
        <f>'[83]POS by sector '!$G$23</f>
        <v>137561</v>
      </c>
      <c r="R26" s="1268">
        <f>'[83]POS by sector '!$H$23</f>
        <v>1216687.8640000001</v>
      </c>
      <c r="S26" s="1271" t="s">
        <v>1284</v>
      </c>
    </row>
    <row r="27" spans="1:19" ht="31.5">
      <c r="A27" s="1266">
        <v>15</v>
      </c>
      <c r="B27" s="1270" t="s">
        <v>1285</v>
      </c>
      <c r="C27" s="1268">
        <f>'[76]POS by sector '!$G$24</f>
        <v>27359</v>
      </c>
      <c r="D27" s="1268">
        <f>'[76]POS by sector '!$H$24</f>
        <v>3057956.135000004</v>
      </c>
      <c r="E27" s="1268">
        <f>'[77]POS by sector '!$G$24</f>
        <v>33371</v>
      </c>
      <c r="F27" s="1268">
        <f>'[77]POS by sector '!$H$24</f>
        <v>4362052.6029999992</v>
      </c>
      <c r="G27" s="1268">
        <f>'[78]POS by sector '!$G$24</f>
        <v>45255</v>
      </c>
      <c r="H27" s="1268">
        <f>'[78]POS by sector '!$H$24</f>
        <v>4070604.8339999998</v>
      </c>
      <c r="I27" s="1268">
        <f>'[79]POS by sector '!$G$24</f>
        <v>44704</v>
      </c>
      <c r="J27" s="1268">
        <f>'[79]POS by sector '!$H$24</f>
        <v>3887095.1410000003</v>
      </c>
      <c r="K27" s="1268">
        <f>'[80]POS by sector '!$G$24</f>
        <v>41413</v>
      </c>
      <c r="L27" s="1268">
        <f>'[80]POS by sector '!$H$24</f>
        <v>4180879.1859999998</v>
      </c>
      <c r="M27" s="1268">
        <f>'[81]POS by sector '!$G$24</f>
        <v>40357</v>
      </c>
      <c r="N27" s="1268">
        <f>'[81]POS by sector '!$H$24</f>
        <v>3447336.0410000002</v>
      </c>
      <c r="O27" s="1268">
        <f>'[82]POS by sector '!$G$24</f>
        <v>38844</v>
      </c>
      <c r="P27" s="1268">
        <f>'[82]POS by sector '!$H$24</f>
        <v>3879974.7719999999</v>
      </c>
      <c r="Q27" s="1268">
        <f>'[83]POS by sector '!$G$24</f>
        <v>31778</v>
      </c>
      <c r="R27" s="1268">
        <f>'[83]POS by sector '!$H$24</f>
        <v>2352574.0390000003</v>
      </c>
      <c r="S27" s="1271" t="s">
        <v>1286</v>
      </c>
    </row>
    <row r="28" spans="1:19" ht="31.5" customHeight="1">
      <c r="A28" s="1266">
        <v>16</v>
      </c>
      <c r="B28" s="1270" t="s">
        <v>1287</v>
      </c>
      <c r="C28" s="1268">
        <f>'[76]POS by sector '!$G$25</f>
        <v>4811</v>
      </c>
      <c r="D28" s="1268">
        <f>'[76]POS by sector '!$H$25</f>
        <v>1487793.398</v>
      </c>
      <c r="E28" s="1268">
        <f>'[77]POS by sector '!$G$25</f>
        <v>5165</v>
      </c>
      <c r="F28" s="1268">
        <f>'[77]POS by sector '!$H$25</f>
        <v>1655959.8959999997</v>
      </c>
      <c r="G28" s="1268">
        <f>'[78]POS by sector '!$G$25</f>
        <v>5035</v>
      </c>
      <c r="H28" s="1268">
        <f>'[78]POS by sector '!$H$25</f>
        <v>1342243.4880000001</v>
      </c>
      <c r="I28" s="1268">
        <f>'[79]POS by sector '!$G$25</f>
        <v>5229</v>
      </c>
      <c r="J28" s="1268">
        <f>'[79]POS by sector '!$H$25</f>
        <v>1708038.4449999998</v>
      </c>
      <c r="K28" s="1268">
        <f>'[80]POS by sector '!$G$25</f>
        <v>5005</v>
      </c>
      <c r="L28" s="1268">
        <f>'[80]POS by sector '!$H$25</f>
        <v>1554754.8770000001</v>
      </c>
      <c r="M28" s="1268">
        <f>'[81]POS by sector '!$G$25</f>
        <v>4503</v>
      </c>
      <c r="N28" s="1268">
        <f>'[81]POS by sector '!$H$25</f>
        <v>1156597.8319999999</v>
      </c>
      <c r="O28" s="1268">
        <f>'[82]POS by sector '!$G$25</f>
        <v>2488</v>
      </c>
      <c r="P28" s="1268">
        <f>'[82]POS by sector '!$H$25</f>
        <v>584458.978</v>
      </c>
      <c r="Q28" s="1268">
        <f>'[83]POS by sector '!$G$25</f>
        <v>1042</v>
      </c>
      <c r="R28" s="1268">
        <f>'[83]POS by sector '!$H$25</f>
        <v>222499.27299999999</v>
      </c>
      <c r="S28" s="1272" t="s">
        <v>1288</v>
      </c>
    </row>
    <row r="29" spans="1:19" ht="31.5" customHeight="1">
      <c r="A29" s="1266">
        <v>17</v>
      </c>
      <c r="B29" s="1270" t="s">
        <v>1289</v>
      </c>
      <c r="C29" s="1268">
        <f>'[76]POS by sector '!$G$26</f>
        <v>52785</v>
      </c>
      <c r="D29" s="1268">
        <f>'[76]POS by sector '!$H$26</f>
        <v>1086308.8089999955</v>
      </c>
      <c r="E29" s="1268">
        <f>'[77]POS by sector '!$G$26</f>
        <v>61697</v>
      </c>
      <c r="F29" s="1268">
        <f>'[77]POS by sector '!$H$26</f>
        <v>1125982.5079999955</v>
      </c>
      <c r="G29" s="1268">
        <f>'[78]POS by sector '!$G$26</f>
        <v>50926</v>
      </c>
      <c r="H29" s="1268">
        <f>'[78]POS by sector '!$H$26</f>
        <v>991808.26399999997</v>
      </c>
      <c r="I29" s="1268">
        <f>'[79]POS by sector '!$G$26</f>
        <v>58164</v>
      </c>
      <c r="J29" s="1268">
        <f>'[79]POS by sector '!$H$26</f>
        <v>1152007.152</v>
      </c>
      <c r="K29" s="1268">
        <f>'[80]POS by sector '!$G$26</f>
        <v>56129</v>
      </c>
      <c r="L29" s="1268">
        <f>'[80]POS by sector '!$H$26</f>
        <v>1109647.0989999999</v>
      </c>
      <c r="M29" s="1268">
        <f>'[81]POS by sector '!$G$26</f>
        <v>44591</v>
      </c>
      <c r="N29" s="1268">
        <f>'[81]POS by sector '!$H$26</f>
        <v>987447.63300000003</v>
      </c>
      <c r="O29" s="1268">
        <f>'[82]POS by sector '!$G$26</f>
        <v>19552</v>
      </c>
      <c r="P29" s="1268">
        <f>'[82]POS by sector '!$H$26</f>
        <v>447130.21100000001</v>
      </c>
      <c r="Q29" s="1268">
        <f>'[83]POS by sector '!$G$26</f>
        <v>4051</v>
      </c>
      <c r="R29" s="1268">
        <f>'[83]POS by sector '!$H$26</f>
        <v>249407.603</v>
      </c>
      <c r="S29" s="1271" t="s">
        <v>1290</v>
      </c>
    </row>
    <row r="30" spans="1:19" ht="46.5" customHeight="1">
      <c r="A30" s="1266">
        <v>18</v>
      </c>
      <c r="B30" s="1270" t="s">
        <v>1291</v>
      </c>
      <c r="C30" s="1268">
        <f>'[76]POS by sector '!$G$27</f>
        <v>17979</v>
      </c>
      <c r="D30" s="1268">
        <f>'[76]POS by sector '!$H$27</f>
        <v>1597339.1050000051</v>
      </c>
      <c r="E30" s="1268">
        <f>'[77]POS by sector '!$G$27</f>
        <v>18700</v>
      </c>
      <c r="F30" s="1268">
        <f>'[77]POS by sector '!$H$27</f>
        <v>1788799.2000000053</v>
      </c>
      <c r="G30" s="1268">
        <f>'[78]POS by sector '!$G$27</f>
        <v>20165</v>
      </c>
      <c r="H30" s="1268">
        <f>'[78]POS by sector '!$H$27</f>
        <v>1833646.4380000001</v>
      </c>
      <c r="I30" s="1268">
        <f>'[79]POS by sector '!$G$27</f>
        <v>24777</v>
      </c>
      <c r="J30" s="1268">
        <f>'[79]POS by sector '!$H$27</f>
        <v>2309335.4440000001</v>
      </c>
      <c r="K30" s="1268">
        <f>'[80]POS by sector '!$G$27</f>
        <v>20919</v>
      </c>
      <c r="L30" s="1268">
        <f>'[80]POS by sector '!$H$27</f>
        <v>2119305.3119999999</v>
      </c>
      <c r="M30" s="1268">
        <f>'[81]POS by sector '!$G$27</f>
        <v>17987</v>
      </c>
      <c r="N30" s="1268">
        <f>'[81]POS by sector '!$H$27</f>
        <v>1719004.6140000001</v>
      </c>
      <c r="O30" s="1268">
        <f>'[82]POS by sector '!$G$27</f>
        <v>18641</v>
      </c>
      <c r="P30" s="1268">
        <f>'[82]POS by sector '!$H$27</f>
        <v>2027490.5090000001</v>
      </c>
      <c r="Q30" s="1268">
        <f>'[83]POS by sector '!$G$27</f>
        <v>16381</v>
      </c>
      <c r="R30" s="1268">
        <f>'[83]POS by sector '!$H$27</f>
        <v>1628640.5459999999</v>
      </c>
      <c r="S30" s="1271" t="s">
        <v>1292</v>
      </c>
    </row>
    <row r="31" spans="1:19" ht="31.5" customHeight="1">
      <c r="A31" s="1266">
        <v>19</v>
      </c>
      <c r="B31" s="1270" t="s">
        <v>1293</v>
      </c>
      <c r="C31" s="1268">
        <f>'[76]POS by sector '!$G$28</f>
        <v>6504</v>
      </c>
      <c r="D31" s="1268">
        <f>'[76]POS by sector '!$H$28</f>
        <v>155511.99499999915</v>
      </c>
      <c r="E31" s="1268">
        <f>'[77]POS by sector '!$G$28</f>
        <v>4882</v>
      </c>
      <c r="F31" s="1268">
        <f>'[77]POS by sector '!$H$28</f>
        <v>86178.347999999984</v>
      </c>
      <c r="G31" s="1268">
        <f>'[78]POS by sector '!$G$28</f>
        <v>4186</v>
      </c>
      <c r="H31" s="1268">
        <f>'[78]POS by sector '!$H$28</f>
        <v>78546.988000000012</v>
      </c>
      <c r="I31" s="1268">
        <f>'[79]POS by sector '!$G$28</f>
        <v>3604</v>
      </c>
      <c r="J31" s="1268">
        <f>'[79]POS by sector '!$H$28</f>
        <v>88786.888999999996</v>
      </c>
      <c r="K31" s="1268">
        <f>'[80]POS by sector '!$G$28</f>
        <v>3641</v>
      </c>
      <c r="L31" s="1268">
        <f>'[80]POS by sector '!$H$28</f>
        <v>78015.489999999991</v>
      </c>
      <c r="M31" s="1268">
        <f>'[81]POS by sector '!$G$28</f>
        <v>3748</v>
      </c>
      <c r="N31" s="1268">
        <f>'[81]POS by sector '!$H$28</f>
        <v>88684.54800000001</v>
      </c>
      <c r="O31" s="1268">
        <f>'[82]POS by sector '!$G$28</f>
        <v>3348</v>
      </c>
      <c r="P31" s="1268">
        <f>'[82]POS by sector '!$H$28</f>
        <v>72874.573000000004</v>
      </c>
      <c r="Q31" s="1268">
        <f>'[83]POS by sector '!$G$28</f>
        <v>2541</v>
      </c>
      <c r="R31" s="1268">
        <f>'[83]POS by sector '!$H$28</f>
        <v>48962.612999999998</v>
      </c>
      <c r="S31" s="1271" t="s">
        <v>1294</v>
      </c>
    </row>
    <row r="32" spans="1:19" ht="31.5" customHeight="1">
      <c r="A32" s="1266">
        <v>20</v>
      </c>
      <c r="B32" s="1270" t="s">
        <v>1295</v>
      </c>
      <c r="C32" s="1268">
        <f>'[76]POS by sector '!$G$29</f>
        <v>388263</v>
      </c>
      <c r="D32" s="1268">
        <f>'[76]POS by sector '!$H$29</f>
        <v>9914758.2990000024</v>
      </c>
      <c r="E32" s="1268">
        <f>'[77]POS by sector '!$G$29</f>
        <v>403121</v>
      </c>
      <c r="F32" s="1268">
        <f>'[77]POS by sector '!$H$29</f>
        <v>10720922.354000006</v>
      </c>
      <c r="G32" s="1268">
        <f>'[78]POS by sector '!$G$29</f>
        <v>405789</v>
      </c>
      <c r="H32" s="1268">
        <f>'[78]POS by sector '!$H$29</f>
        <v>10890950.245000001</v>
      </c>
      <c r="I32" s="1268">
        <f>'[79]POS by sector '!$G$29</f>
        <v>437557</v>
      </c>
      <c r="J32" s="1268">
        <f>'[79]POS by sector '!$H$29</f>
        <v>11408071.593999997</v>
      </c>
      <c r="K32" s="1268">
        <f>'[80]POS by sector '!$G$29</f>
        <v>411557</v>
      </c>
      <c r="L32" s="1268">
        <f>'[80]POS by sector '!$H$29</f>
        <v>10823072.945999999</v>
      </c>
      <c r="M32" s="1268">
        <f>'[81]POS by sector '!$G$29</f>
        <v>383681</v>
      </c>
      <c r="N32" s="1268">
        <f>'[81]POS by sector '!$H$29</f>
        <v>10213327.907</v>
      </c>
      <c r="O32" s="1268">
        <f>'[82]POS by sector '!$G$29</f>
        <v>331689</v>
      </c>
      <c r="P32" s="1268">
        <f>'[82]POS by sector '!$H$29</f>
        <v>10083713.943999998</v>
      </c>
      <c r="Q32" s="1268">
        <f>'[83]POS by sector '!$G$29</f>
        <v>211686</v>
      </c>
      <c r="R32" s="1268">
        <f>'[83]POS by sector '!$H$29</f>
        <v>7157650.5790000008</v>
      </c>
      <c r="S32" s="1271" t="s">
        <v>1296</v>
      </c>
    </row>
    <row r="33" spans="1:19" s="1277" customFormat="1" ht="31.5" customHeight="1">
      <c r="A33" s="1273"/>
      <c r="B33" s="1274" t="s">
        <v>378</v>
      </c>
      <c r="C33" s="1275">
        <f>'[76]POS by sector '!$G$30</f>
        <v>1890567</v>
      </c>
      <c r="D33" s="1275">
        <f>'[76]POS by sector '!$H$30</f>
        <v>91678715.093000025</v>
      </c>
      <c r="E33" s="1275">
        <f>'[77]POS by sector '!$G$30</f>
        <v>2010543</v>
      </c>
      <c r="F33" s="1275">
        <f>'[77]POS by sector '!$H$30</f>
        <v>100639826.91599998</v>
      </c>
      <c r="G33" s="1275">
        <f>'[78]POS by sector '!$G$30</f>
        <v>2059599</v>
      </c>
      <c r="H33" s="1275">
        <f>'[78]POS by sector '!$H$30</f>
        <v>98474861.280000016</v>
      </c>
      <c r="I33" s="1275">
        <f>'[79]POS by sector '!$G$30</f>
        <v>2289614</v>
      </c>
      <c r="J33" s="1275">
        <f>'[79]POS by sector '!$H$30</f>
        <v>109695641.90699998</v>
      </c>
      <c r="K33" s="1275">
        <f>'[80]POS by sector '!$G$30</f>
        <v>2231335</v>
      </c>
      <c r="L33" s="1275">
        <f>'[80]POS by sector '!$H$30</f>
        <v>100582977.44971551</v>
      </c>
      <c r="M33" s="1275">
        <f>'[81]POS by sector '!$G$30</f>
        <v>2122881</v>
      </c>
      <c r="N33" s="1275">
        <f>'[81]POS by sector '!$H$30</f>
        <v>94665676.896620408</v>
      </c>
      <c r="O33" s="1275">
        <f>'[82]POS by sector '!$G$30</f>
        <v>2008589</v>
      </c>
      <c r="P33" s="1275">
        <f>'[82]POS by sector '!$H$30</f>
        <v>93500462.198043764</v>
      </c>
      <c r="Q33" s="1275">
        <f>'[83]POS by sector '!$G$30</f>
        <v>1539336</v>
      </c>
      <c r="R33" s="1275">
        <f>'[83]POS by sector '!$H$30</f>
        <v>65979975.181620404</v>
      </c>
      <c r="S33" s="1276" t="s">
        <v>367</v>
      </c>
    </row>
    <row r="34" spans="1:19" ht="27.75" customHeight="1">
      <c r="A34" s="1278" t="s">
        <v>1297</v>
      </c>
      <c r="B34" s="1279"/>
      <c r="C34" s="1280"/>
      <c r="D34" s="1280"/>
      <c r="E34" s="1280"/>
      <c r="F34" s="1280"/>
      <c r="G34" s="1280"/>
      <c r="H34" s="1280"/>
      <c r="I34" s="1280"/>
      <c r="J34" s="1280"/>
      <c r="K34" s="1280"/>
      <c r="L34" s="1280"/>
      <c r="M34" s="1280"/>
      <c r="N34" s="1280"/>
      <c r="O34" s="1280"/>
      <c r="P34" s="1280"/>
      <c r="Q34" s="1280"/>
      <c r="R34" s="1280"/>
      <c r="S34" s="1281" t="s">
        <v>1298</v>
      </c>
    </row>
    <row r="35" spans="1:19" ht="18">
      <c r="A35" s="1278" t="s">
        <v>1299</v>
      </c>
      <c r="B35" s="1279"/>
      <c r="C35" s="1280"/>
      <c r="D35" s="1280"/>
      <c r="E35" s="1280"/>
      <c r="F35" s="1280"/>
      <c r="G35" s="1280"/>
      <c r="H35" s="1280"/>
      <c r="I35" s="1280"/>
      <c r="J35" s="1280"/>
      <c r="K35" s="1280"/>
      <c r="L35" s="1280"/>
      <c r="M35" s="1280"/>
      <c r="N35" s="1280"/>
      <c r="O35" s="1280"/>
      <c r="P35" s="1280"/>
      <c r="Q35" s="1280"/>
      <c r="R35" s="1280"/>
      <c r="S35" s="1281" t="s">
        <v>1300</v>
      </c>
    </row>
    <row r="36" spans="1:19">
      <c r="A36" s="1282"/>
      <c r="B36" s="1282"/>
      <c r="C36" s="1282"/>
      <c r="D36" s="1282"/>
      <c r="E36" s="1282"/>
      <c r="F36" s="1282"/>
      <c r="G36" s="1282"/>
      <c r="H36" s="1282"/>
      <c r="I36" s="1282"/>
      <c r="J36" s="1282"/>
      <c r="K36" s="1282"/>
      <c r="L36" s="1282"/>
      <c r="M36" s="1282"/>
      <c r="N36" s="1282"/>
      <c r="O36" s="1282"/>
      <c r="P36" s="1282"/>
      <c r="Q36" s="1282"/>
      <c r="R36" s="1282"/>
    </row>
    <row r="37" spans="1:19">
      <c r="A37" s="1283" t="s">
        <v>1301</v>
      </c>
      <c r="B37" s="1283"/>
      <c r="C37" s="1283"/>
      <c r="D37" s="1283"/>
      <c r="E37" s="1283"/>
      <c r="F37" s="1283"/>
      <c r="G37" s="1283"/>
      <c r="H37" s="1283"/>
      <c r="I37" s="1283"/>
      <c r="J37" s="1283"/>
      <c r="K37" s="1283"/>
      <c r="L37" s="1283"/>
      <c r="M37" s="1283"/>
      <c r="N37" s="1283"/>
      <c r="O37" s="1283"/>
      <c r="P37" s="1283"/>
      <c r="Q37" s="1283"/>
      <c r="R37" s="1283"/>
      <c r="S37" s="1283"/>
    </row>
    <row r="39" spans="1:19">
      <c r="C39" s="1285"/>
      <c r="D39" s="1285"/>
      <c r="E39" s="1285"/>
      <c r="F39" s="1285"/>
      <c r="G39" s="1285"/>
      <c r="H39" s="1285"/>
      <c r="I39" s="1285"/>
      <c r="J39" s="1285"/>
      <c r="K39" s="1285"/>
      <c r="L39" s="1285"/>
      <c r="M39" s="1285"/>
      <c r="N39" s="1285"/>
      <c r="O39" s="1285"/>
      <c r="P39" s="1285"/>
      <c r="Q39" s="1285"/>
      <c r="R39" s="1285"/>
    </row>
    <row r="40" spans="1:19">
      <c r="A40" s="1286"/>
      <c r="B40" s="1287"/>
      <c r="C40" s="1287"/>
      <c r="D40" s="1287"/>
      <c r="E40" s="1287"/>
      <c r="F40" s="1287"/>
      <c r="G40" s="1287"/>
      <c r="H40" s="1287"/>
      <c r="I40" s="1287"/>
      <c r="J40" s="1287"/>
      <c r="K40" s="1287"/>
      <c r="L40" s="1287"/>
      <c r="M40" s="1287"/>
      <c r="N40" s="1287"/>
      <c r="O40" s="1287"/>
      <c r="P40" s="1287"/>
      <c r="Q40" s="1287"/>
      <c r="R40" s="1287"/>
      <c r="S40" s="1287"/>
    </row>
    <row r="41" spans="1:19">
      <c r="A41" s="1286"/>
      <c r="B41" s="1287"/>
      <c r="C41" s="1288"/>
      <c r="D41" s="1288"/>
      <c r="E41" s="1288"/>
      <c r="F41" s="1288"/>
      <c r="G41" s="1288"/>
      <c r="H41" s="1288"/>
      <c r="I41" s="1288"/>
      <c r="J41" s="1288"/>
      <c r="K41" s="1288"/>
      <c r="L41" s="1288"/>
      <c r="M41" s="1288"/>
      <c r="N41" s="1288"/>
      <c r="O41" s="1288"/>
      <c r="P41" s="1288"/>
      <c r="Q41" s="1288"/>
      <c r="R41" s="1288"/>
      <c r="S41" s="1288"/>
    </row>
  </sheetData>
  <mergeCells count="11">
    <mergeCell ref="A9:A12"/>
    <mergeCell ref="B9:B12"/>
    <mergeCell ref="S9:S12"/>
    <mergeCell ref="C10:D10"/>
    <mergeCell ref="E10:F10"/>
    <mergeCell ref="G10:H10"/>
    <mergeCell ref="I10:J10"/>
    <mergeCell ref="K10:L10"/>
    <mergeCell ref="O10:P10"/>
    <mergeCell ref="M10:N10"/>
    <mergeCell ref="Q10:R10"/>
  </mergeCells>
  <printOptions horizontalCentered="1"/>
  <pageMargins left="0.25" right="0.25" top="0.75" bottom="0.75" header="0.3" footer="0.3"/>
  <pageSetup scale="4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5">
    <pageSetUpPr fitToPage="1"/>
  </sheetPr>
  <dimension ref="A1:S41"/>
  <sheetViews>
    <sheetView topLeftCell="C1" zoomScale="70" zoomScaleNormal="70" workbookViewId="0">
      <selection activeCell="A49" sqref="A1:XFD1048576"/>
    </sheetView>
  </sheetViews>
  <sheetFormatPr defaultColWidth="18.28515625" defaultRowHeight="15"/>
  <cols>
    <col min="1" max="1" width="6.140625" style="1284" customWidth="1"/>
    <col min="2" max="2" width="45.85546875" style="1258" customWidth="1"/>
    <col min="3" max="3" width="15" style="1258" bestFit="1" customWidth="1"/>
    <col min="4" max="4" width="14.28515625" style="1258" bestFit="1" customWidth="1"/>
    <col min="5" max="5" width="15" style="1258" bestFit="1" customWidth="1"/>
    <col min="6" max="6" width="14.28515625" style="1258" bestFit="1" customWidth="1"/>
    <col min="7" max="7" width="15" style="1258" bestFit="1" customWidth="1"/>
    <col min="8" max="8" width="14.28515625" style="1258" bestFit="1" customWidth="1"/>
    <col min="9" max="9" width="15" style="1258" bestFit="1" customWidth="1"/>
    <col min="10" max="10" width="14.28515625" style="1258" bestFit="1" customWidth="1"/>
    <col min="11" max="11" width="15" style="1258" bestFit="1" customWidth="1"/>
    <col min="12" max="12" width="14.28515625" style="1258" bestFit="1" customWidth="1"/>
    <col min="13" max="13" width="15" style="1258" bestFit="1" customWidth="1"/>
    <col min="14" max="14" width="14.28515625" style="1258" bestFit="1" customWidth="1"/>
    <col min="15" max="15" width="15" style="1258" bestFit="1" customWidth="1"/>
    <col min="16" max="16" width="14.28515625" style="1258" bestFit="1" customWidth="1"/>
    <col min="17" max="17" width="15" style="1258" bestFit="1" customWidth="1"/>
    <col min="18" max="18" width="14.28515625" style="1258" bestFit="1" customWidth="1"/>
    <col min="19" max="19" width="46.7109375" style="1258" customWidth="1"/>
    <col min="20" max="16384" width="18.28515625" style="1258"/>
  </cols>
  <sheetData>
    <row r="1" spans="1:19" ht="18" customHeight="1">
      <c r="A1" s="1256" t="s">
        <v>1596</v>
      </c>
      <c r="B1" s="1257"/>
      <c r="C1" s="1257"/>
      <c r="D1" s="1257"/>
      <c r="E1" s="1257"/>
      <c r="F1" s="1257"/>
      <c r="G1" s="1257"/>
      <c r="H1" s="1257"/>
      <c r="I1" s="1257"/>
      <c r="J1" s="1257"/>
      <c r="K1" s="1257"/>
      <c r="L1" s="1257"/>
      <c r="M1" s="1257"/>
      <c r="N1" s="1257"/>
      <c r="O1" s="1257"/>
      <c r="P1" s="1257"/>
      <c r="Q1" s="1257"/>
      <c r="R1" s="1257"/>
      <c r="S1" s="1257"/>
    </row>
    <row r="2" spans="1:19" ht="18" customHeight="1">
      <c r="A2" s="1256" t="s">
        <v>82</v>
      </c>
      <c r="B2" s="1259"/>
      <c r="C2" s="1259"/>
      <c r="D2" s="1259"/>
      <c r="E2" s="1259"/>
      <c r="F2" s="1259"/>
      <c r="G2" s="1259"/>
      <c r="H2" s="1259"/>
      <c r="I2" s="1259"/>
      <c r="J2" s="1259"/>
      <c r="K2" s="1259"/>
      <c r="L2" s="1259"/>
      <c r="M2" s="1259"/>
      <c r="N2" s="1259"/>
      <c r="O2" s="1259"/>
      <c r="P2" s="1259"/>
      <c r="Q2" s="1259"/>
      <c r="R2" s="1259"/>
      <c r="S2" s="1259"/>
    </row>
    <row r="3" spans="1:19" ht="18">
      <c r="A3" s="1256" t="s">
        <v>81</v>
      </c>
      <c r="B3" s="1257"/>
      <c r="C3" s="1257"/>
      <c r="D3" s="1257"/>
      <c r="E3" s="1257"/>
      <c r="F3" s="1257"/>
      <c r="G3" s="1257"/>
      <c r="H3" s="1257"/>
      <c r="I3" s="1257"/>
      <c r="J3" s="1257"/>
      <c r="K3" s="1257"/>
      <c r="L3" s="1257"/>
      <c r="M3" s="1257"/>
      <c r="N3" s="1257"/>
      <c r="O3" s="1257"/>
      <c r="P3" s="1257"/>
      <c r="Q3" s="1257"/>
      <c r="R3" s="1257"/>
      <c r="S3" s="1257"/>
    </row>
    <row r="4" spans="1:19" ht="4.5" customHeight="1">
      <c r="A4" s="1257"/>
      <c r="B4" s="1257"/>
      <c r="C4" s="1260"/>
      <c r="D4" s="1260"/>
      <c r="E4" s="1260"/>
      <c r="F4" s="1260"/>
      <c r="G4" s="1260"/>
      <c r="H4" s="1260"/>
      <c r="I4" s="1260"/>
      <c r="J4" s="1260"/>
      <c r="K4" s="1260"/>
      <c r="L4" s="1260"/>
      <c r="M4" s="1260"/>
      <c r="N4" s="1260"/>
      <c r="O4" s="1260"/>
      <c r="P4" s="1260"/>
      <c r="Q4" s="1260"/>
      <c r="R4" s="1260"/>
      <c r="S4" s="1257"/>
    </row>
    <row r="5" spans="1:19" ht="15.75" hidden="1" customHeight="1">
      <c r="A5" s="1257"/>
      <c r="B5" s="1257"/>
      <c r="C5" s="1260"/>
      <c r="D5" s="1260"/>
      <c r="E5" s="1260"/>
      <c r="F5" s="1260"/>
      <c r="G5" s="1260"/>
      <c r="H5" s="1260"/>
      <c r="I5" s="1260"/>
      <c r="J5" s="1260"/>
      <c r="K5" s="1260"/>
      <c r="L5" s="1260"/>
      <c r="M5" s="1260"/>
      <c r="N5" s="1260"/>
      <c r="O5" s="1260"/>
      <c r="P5" s="1260"/>
      <c r="Q5" s="1260"/>
      <c r="R5" s="1260"/>
      <c r="S5" s="1257"/>
    </row>
    <row r="6" spans="1:19" ht="15.75" hidden="1" customHeight="1">
      <c r="A6" s="1257"/>
      <c r="B6" s="1257"/>
      <c r="C6" s="1260"/>
      <c r="D6" s="1260"/>
      <c r="E6" s="1260"/>
      <c r="F6" s="1260"/>
      <c r="G6" s="1260"/>
      <c r="H6" s="1260"/>
      <c r="I6" s="1260"/>
      <c r="J6" s="1260"/>
      <c r="K6" s="1260"/>
      <c r="L6" s="1260"/>
      <c r="M6" s="1260"/>
      <c r="N6" s="1260"/>
      <c r="O6" s="1260"/>
      <c r="P6" s="1260"/>
      <c r="Q6" s="1260"/>
      <c r="R6" s="1260"/>
      <c r="S6" s="1257"/>
    </row>
    <row r="7" spans="1:19" ht="15.75" hidden="1" customHeight="1">
      <c r="A7" s="1257"/>
      <c r="B7" s="1257"/>
      <c r="C7" s="1260"/>
      <c r="D7" s="1260"/>
      <c r="E7" s="1260"/>
      <c r="F7" s="1260"/>
      <c r="G7" s="1260"/>
      <c r="H7" s="1260"/>
      <c r="I7" s="1260"/>
      <c r="J7" s="1260"/>
      <c r="K7" s="1260"/>
      <c r="L7" s="1260"/>
      <c r="M7" s="1260"/>
      <c r="N7" s="1260"/>
      <c r="O7" s="1260"/>
      <c r="P7" s="1260"/>
      <c r="Q7" s="1260"/>
      <c r="R7" s="1260"/>
      <c r="S7" s="1257"/>
    </row>
    <row r="8" spans="1:19">
      <c r="A8" s="1019" t="s">
        <v>1244</v>
      </c>
      <c r="D8" s="1019"/>
      <c r="F8" s="1019"/>
      <c r="H8" s="1019"/>
      <c r="J8" s="1019"/>
      <c r="L8" s="1019"/>
      <c r="N8" s="1019"/>
      <c r="P8" s="1019"/>
      <c r="R8" s="1019"/>
      <c r="S8" s="1019" t="s">
        <v>1245</v>
      </c>
    </row>
    <row r="9" spans="1:19" s="1262" customFormat="1" ht="20.25" customHeight="1">
      <c r="A9" s="2184"/>
      <c r="B9" s="2184" t="s">
        <v>1246</v>
      </c>
      <c r="C9" s="1261">
        <v>2019</v>
      </c>
      <c r="D9" s="1261"/>
      <c r="E9" s="1261"/>
      <c r="F9" s="1261"/>
      <c r="G9" s="1261"/>
      <c r="H9" s="1261"/>
      <c r="I9" s="1261"/>
      <c r="J9" s="1261"/>
      <c r="K9" s="1261">
        <v>2020</v>
      </c>
      <c r="L9" s="1261"/>
      <c r="M9" s="1261"/>
      <c r="N9" s="1261"/>
      <c r="O9" s="1261"/>
      <c r="P9" s="1261"/>
      <c r="Q9" s="1261"/>
      <c r="R9" s="1261"/>
      <c r="S9" s="2184" t="s">
        <v>1247</v>
      </c>
    </row>
    <row r="10" spans="1:19" s="1262" customFormat="1" ht="20.25" customHeight="1">
      <c r="A10" s="2192"/>
      <c r="B10" s="2192"/>
      <c r="C10" s="2203" t="s">
        <v>1248</v>
      </c>
      <c r="D10" s="2204"/>
      <c r="E10" s="2203" t="s">
        <v>1249</v>
      </c>
      <c r="F10" s="2204"/>
      <c r="G10" s="2203" t="s">
        <v>1250</v>
      </c>
      <c r="H10" s="2204"/>
      <c r="I10" s="2203" t="s">
        <v>1251</v>
      </c>
      <c r="J10" s="2204"/>
      <c r="K10" s="2203" t="s">
        <v>1252</v>
      </c>
      <c r="L10" s="2204"/>
      <c r="M10" s="2203" t="s">
        <v>1253</v>
      </c>
      <c r="N10" s="2204"/>
      <c r="O10" s="2203" t="s">
        <v>1565</v>
      </c>
      <c r="P10" s="2204"/>
      <c r="Q10" s="2203" t="s">
        <v>1578</v>
      </c>
      <c r="R10" s="2204"/>
      <c r="S10" s="2192"/>
    </row>
    <row r="11" spans="1:19" s="1262" customFormat="1" ht="15.75">
      <c r="A11" s="2192"/>
      <c r="B11" s="2192"/>
      <c r="C11" s="1263" t="s">
        <v>1236</v>
      </c>
      <c r="D11" s="1263" t="s">
        <v>1254</v>
      </c>
      <c r="E11" s="1263" t="s">
        <v>1236</v>
      </c>
      <c r="F11" s="1263" t="s">
        <v>1254</v>
      </c>
      <c r="G11" s="1263" t="s">
        <v>1236</v>
      </c>
      <c r="H11" s="1263" t="s">
        <v>1254</v>
      </c>
      <c r="I11" s="1263" t="s">
        <v>1236</v>
      </c>
      <c r="J11" s="1263" t="s">
        <v>1254</v>
      </c>
      <c r="K11" s="1263" t="s">
        <v>1236</v>
      </c>
      <c r="L11" s="1263" t="s">
        <v>1254</v>
      </c>
      <c r="M11" s="1263" t="s">
        <v>1236</v>
      </c>
      <c r="N11" s="1263" t="s">
        <v>1254</v>
      </c>
      <c r="O11" s="1263" t="s">
        <v>1236</v>
      </c>
      <c r="P11" s="1263" t="s">
        <v>1254</v>
      </c>
      <c r="Q11" s="1263" t="s">
        <v>1236</v>
      </c>
      <c r="R11" s="1263" t="s">
        <v>1254</v>
      </c>
      <c r="S11" s="2192"/>
    </row>
    <row r="12" spans="1:19" s="1265" customFormat="1" ht="15.75">
      <c r="A12" s="2188"/>
      <c r="B12" s="2188"/>
      <c r="C12" s="1264" t="s">
        <v>1255</v>
      </c>
      <c r="D12" s="1264" t="s">
        <v>1256</v>
      </c>
      <c r="E12" s="1264" t="s">
        <v>1255</v>
      </c>
      <c r="F12" s="1264" t="s">
        <v>1256</v>
      </c>
      <c r="G12" s="1264" t="s">
        <v>1255</v>
      </c>
      <c r="H12" s="1264" t="s">
        <v>1256</v>
      </c>
      <c r="I12" s="1264" t="s">
        <v>1255</v>
      </c>
      <c r="J12" s="1264" t="s">
        <v>1256</v>
      </c>
      <c r="K12" s="1264" t="s">
        <v>1255</v>
      </c>
      <c r="L12" s="1264" t="s">
        <v>1256</v>
      </c>
      <c r="M12" s="1264" t="s">
        <v>1255</v>
      </c>
      <c r="N12" s="1264" t="s">
        <v>1256</v>
      </c>
      <c r="O12" s="1264" t="s">
        <v>1255</v>
      </c>
      <c r="P12" s="1264" t="s">
        <v>1256</v>
      </c>
      <c r="Q12" s="1264" t="s">
        <v>1255</v>
      </c>
      <c r="R12" s="1264" t="s">
        <v>1256</v>
      </c>
      <c r="S12" s="2188"/>
    </row>
    <row r="13" spans="1:19" ht="31.5" customHeight="1">
      <c r="A13" s="1266">
        <v>1</v>
      </c>
      <c r="B13" s="1267" t="s">
        <v>1257</v>
      </c>
      <c r="C13" s="1268">
        <f>'[76]POS by sector '!$I$10</f>
        <v>695</v>
      </c>
      <c r="D13" s="1268">
        <f>'[76]POS by sector '!$J$10</f>
        <v>250933.12899999999</v>
      </c>
      <c r="E13" s="1268">
        <f>'[77]POS by sector '!$I$10</f>
        <v>512</v>
      </c>
      <c r="F13" s="1268">
        <f>'[77]POS by sector '!$J$10</f>
        <v>150132.38699999999</v>
      </c>
      <c r="G13" s="1268">
        <f>'[78]POS by sector '!$I$10</f>
        <v>552</v>
      </c>
      <c r="H13" s="1268">
        <f>'[78]POS by sector '!$J$10</f>
        <v>131405.23000000001</v>
      </c>
      <c r="I13" s="1268">
        <f>'[79]POS by sector '!$I$10</f>
        <v>523</v>
      </c>
      <c r="J13" s="1268">
        <f>'[79]POS by sector '!$J$10</f>
        <v>146001.772</v>
      </c>
      <c r="K13" s="1268">
        <f>'[80]POS by sector '!$I$10</f>
        <v>665</v>
      </c>
      <c r="L13" s="1268">
        <f>'[80]POS by sector '!$J$10</f>
        <v>259172.70599999998</v>
      </c>
      <c r="M13" s="1268">
        <f>'[81]POS by sector '!$I$10</f>
        <v>535</v>
      </c>
      <c r="N13" s="1268">
        <f>'[81]POS by sector '!$J$10</f>
        <v>196093.34899999999</v>
      </c>
      <c r="O13" s="1268">
        <f>'[82]POS by sector '!$I$10</f>
        <v>301</v>
      </c>
      <c r="P13" s="1268">
        <f>'[82]POS by sector '!$J$10</f>
        <v>72152.843999999997</v>
      </c>
      <c r="Q13" s="1268">
        <f>'[83]POS by sector '!$I$10</f>
        <v>254</v>
      </c>
      <c r="R13" s="1268">
        <f>'[83]POS by sector '!$J$10</f>
        <v>118804.53</v>
      </c>
      <c r="S13" s="1269" t="s">
        <v>1258</v>
      </c>
    </row>
    <row r="14" spans="1:19" ht="43.5" customHeight="1">
      <c r="A14" s="1266">
        <v>2</v>
      </c>
      <c r="B14" s="1270" t="s">
        <v>1259</v>
      </c>
      <c r="C14" s="1268">
        <f>'[76]POS by sector '!$I$11</f>
        <v>82441</v>
      </c>
      <c r="D14" s="1268">
        <f>'[76]POS by sector '!$J$11</f>
        <v>8591661.6370000094</v>
      </c>
      <c r="E14" s="1268">
        <f>'[77]POS by sector '!$I$11</f>
        <v>75335</v>
      </c>
      <c r="F14" s="1268">
        <f>'[77]POS by sector '!$J$11</f>
        <v>7755696.9920000052</v>
      </c>
      <c r="G14" s="1268">
        <f>'[78]POS by sector '!$I$11</f>
        <v>84924</v>
      </c>
      <c r="H14" s="1268">
        <f>'[78]POS by sector '!$J$11</f>
        <v>9067941.5030000024</v>
      </c>
      <c r="I14" s="1268">
        <f>'[79]POS by sector '!$I$11</f>
        <v>82565</v>
      </c>
      <c r="J14" s="1268">
        <f>'[79]POS by sector '!$J$11</f>
        <v>8171263.5440000016</v>
      </c>
      <c r="K14" s="1268">
        <f>'[80]POS by sector '!$I$11</f>
        <v>84216</v>
      </c>
      <c r="L14" s="1268">
        <f>'[80]POS by sector '!$J$11</f>
        <v>8921134.2249999978</v>
      </c>
      <c r="M14" s="1268">
        <f>'[81]POS by sector '!$I$11</f>
        <v>69583</v>
      </c>
      <c r="N14" s="1268">
        <f>'[81]POS by sector '!$J$11</f>
        <v>4685368.6670000004</v>
      </c>
      <c r="O14" s="1268">
        <f>'[82]POS by sector '!$I$11</f>
        <v>14840</v>
      </c>
      <c r="P14" s="1268">
        <f>'[82]POS by sector '!$J$11</f>
        <v>2241318.85366</v>
      </c>
      <c r="Q14" s="1268">
        <f>'[83]POS by sector '!$I$11</f>
        <v>11718</v>
      </c>
      <c r="R14" s="1268">
        <f>'[83]POS by sector '!$J$11</f>
        <v>2008813.2780000004</v>
      </c>
      <c r="S14" s="1271" t="s">
        <v>1260</v>
      </c>
    </row>
    <row r="15" spans="1:19" ht="31.5" customHeight="1">
      <c r="A15" s="1266">
        <v>3</v>
      </c>
      <c r="B15" s="1270" t="s">
        <v>1261</v>
      </c>
      <c r="C15" s="1268">
        <f>'[76]POS by sector '!$I$12</f>
        <v>127823</v>
      </c>
      <c r="D15" s="1268">
        <f>'[76]POS by sector '!$J$12</f>
        <v>1664324.4149999989</v>
      </c>
      <c r="E15" s="1268">
        <f>'[77]POS by sector '!$I$12</f>
        <v>124717</v>
      </c>
      <c r="F15" s="1268">
        <f>'[77]POS by sector '!$J$12</f>
        <v>1643031.6610000005</v>
      </c>
      <c r="G15" s="1268">
        <f>'[78]POS by sector '!$I$12</f>
        <v>137526</v>
      </c>
      <c r="H15" s="1268">
        <f>'[78]POS by sector '!$J$12</f>
        <v>1861993.7600000002</v>
      </c>
      <c r="I15" s="1268">
        <f>'[79]POS by sector '!$I$12</f>
        <v>144709</v>
      </c>
      <c r="J15" s="1268">
        <f>'[79]POS by sector '!$J$12</f>
        <v>2011371.5770000005</v>
      </c>
      <c r="K15" s="1268">
        <f>'[80]POS by sector '!$I$12</f>
        <v>149769</v>
      </c>
      <c r="L15" s="1268">
        <f>'[80]POS by sector '!$J$12</f>
        <v>2104338.5029999996</v>
      </c>
      <c r="M15" s="1268">
        <f>'[81]POS by sector '!$I$12</f>
        <v>63519</v>
      </c>
      <c r="N15" s="1268">
        <f>'[81]POS by sector '!$J$12</f>
        <v>1355747.851</v>
      </c>
      <c r="O15" s="1268">
        <f>'[82]POS by sector '!$I$12</f>
        <v>43331</v>
      </c>
      <c r="P15" s="1268">
        <f>'[82]POS by sector '!$J$12</f>
        <v>474519.56400000013</v>
      </c>
      <c r="Q15" s="1268">
        <f>'[83]POS by sector '!$I$12</f>
        <v>26202</v>
      </c>
      <c r="R15" s="1268">
        <f>'[83]POS by sector '!$J$12</f>
        <v>429186.66300000006</v>
      </c>
      <c r="S15" s="1271" t="s">
        <v>1262</v>
      </c>
    </row>
    <row r="16" spans="1:19" ht="31.5" customHeight="1">
      <c r="A16" s="1266">
        <v>4</v>
      </c>
      <c r="B16" s="1270" t="s">
        <v>1263</v>
      </c>
      <c r="C16" s="1268">
        <f>'[76]POS by sector '!$I$13</f>
        <v>7386</v>
      </c>
      <c r="D16" s="1268">
        <f>'[76]POS by sector '!$J$13</f>
        <v>394689.47</v>
      </c>
      <c r="E16" s="1268">
        <f>'[77]POS by sector '!$I$13</f>
        <v>8121</v>
      </c>
      <c r="F16" s="1268">
        <f>'[77]POS by sector '!$J$13</f>
        <v>455740.53800000006</v>
      </c>
      <c r="G16" s="1268">
        <f>'[78]POS by sector '!$I$13</f>
        <v>7587</v>
      </c>
      <c r="H16" s="1268">
        <f>'[78]POS by sector '!$J$13</f>
        <v>428525.09700000001</v>
      </c>
      <c r="I16" s="1268">
        <f>'[79]POS by sector '!$I$13</f>
        <v>7835</v>
      </c>
      <c r="J16" s="1268">
        <f>'[79]POS by sector '!$J$13</f>
        <v>426807.86099999998</v>
      </c>
      <c r="K16" s="1268">
        <f>'[80]POS by sector '!$I$13</f>
        <v>8246</v>
      </c>
      <c r="L16" s="1268">
        <f>'[80]POS by sector '!$J$13</f>
        <v>433968.68099999998</v>
      </c>
      <c r="M16" s="1268">
        <f>'[81]POS by sector '!$I$13</f>
        <v>20339</v>
      </c>
      <c r="N16" s="1268">
        <f>'[81]POS by sector '!$J$13</f>
        <v>550284.24599999993</v>
      </c>
      <c r="O16" s="1268">
        <f>'[82]POS by sector '!$I$13</f>
        <v>4166</v>
      </c>
      <c r="P16" s="1268">
        <f>'[82]POS by sector '!$J$13</f>
        <v>209249.38500000001</v>
      </c>
      <c r="Q16" s="1268">
        <f>'[83]POS by sector '!$I$13</f>
        <v>2935</v>
      </c>
      <c r="R16" s="1268">
        <f>'[83]POS by sector '!$J$13</f>
        <v>124577.64199999999</v>
      </c>
      <c r="S16" s="1271" t="s">
        <v>1264</v>
      </c>
    </row>
    <row r="17" spans="1:19" ht="31.5" customHeight="1">
      <c r="A17" s="1266">
        <v>5</v>
      </c>
      <c r="B17" s="1270" t="s">
        <v>1265</v>
      </c>
      <c r="C17" s="1268">
        <f>'[76]POS by sector '!$I$14</f>
        <v>18517</v>
      </c>
      <c r="D17" s="1268">
        <f>'[76]POS by sector '!$J$14</f>
        <v>928155.47899999993</v>
      </c>
      <c r="E17" s="1268">
        <f>'[77]POS by sector '!$I$14</f>
        <v>21054</v>
      </c>
      <c r="F17" s="1268">
        <f>'[77]POS by sector '!$J$14</f>
        <v>913998.32000000007</v>
      </c>
      <c r="G17" s="1268">
        <f>'[78]POS by sector '!$I$14</f>
        <v>21077</v>
      </c>
      <c r="H17" s="1268">
        <f>'[78]POS by sector '!$J$14</f>
        <v>710888.26199999999</v>
      </c>
      <c r="I17" s="1268">
        <f>'[79]POS by sector '!$I$14</f>
        <v>21152</v>
      </c>
      <c r="J17" s="1268">
        <f>'[79]POS by sector '!$J$14</f>
        <v>892782.30500000005</v>
      </c>
      <c r="K17" s="1268">
        <f>'[80]POS by sector '!$I$14</f>
        <v>22338</v>
      </c>
      <c r="L17" s="1268">
        <f>'[80]POS by sector '!$J$14</f>
        <v>928843.16999999993</v>
      </c>
      <c r="M17" s="1268">
        <f>'[81]POS by sector '!$I$14</f>
        <v>3342</v>
      </c>
      <c r="N17" s="1268">
        <f>'[81]POS by sector '!$J$14</f>
        <v>254027.04300000001</v>
      </c>
      <c r="O17" s="1268">
        <f>'[82]POS by sector '!$I$14</f>
        <v>6324</v>
      </c>
      <c r="P17" s="1268">
        <f>'[82]POS by sector '!$J$14</f>
        <v>496672.12500000006</v>
      </c>
      <c r="Q17" s="1268">
        <f>'[83]POS by sector '!$I$14</f>
        <v>3339</v>
      </c>
      <c r="R17" s="1268">
        <f>'[83]POS by sector '!$J$14</f>
        <v>305090.391</v>
      </c>
      <c r="S17" s="1271" t="s">
        <v>1266</v>
      </c>
    </row>
    <row r="18" spans="1:19" ht="47.25">
      <c r="A18" s="1266">
        <v>6</v>
      </c>
      <c r="B18" s="1270" t="s">
        <v>1267</v>
      </c>
      <c r="C18" s="1268">
        <f>'[76]POS by sector '!$I$15</f>
        <v>7407</v>
      </c>
      <c r="D18" s="1268">
        <f>'[76]POS by sector '!$J$15</f>
        <v>335824.96200000006</v>
      </c>
      <c r="E18" s="1268">
        <f>'[77]POS by sector '!$I$15</f>
        <v>7260</v>
      </c>
      <c r="F18" s="1268">
        <f>'[77]POS by sector '!$J$15</f>
        <v>286944.49300000019</v>
      </c>
      <c r="G18" s="1268">
        <f>'[78]POS by sector '!$I$15</f>
        <v>7676</v>
      </c>
      <c r="H18" s="1268">
        <f>'[78]POS by sector '!$J$15</f>
        <v>343019.60499999998</v>
      </c>
      <c r="I18" s="1268">
        <f>'[79]POS by sector '!$I$15</f>
        <v>8261</v>
      </c>
      <c r="J18" s="1268">
        <f>'[79]POS by sector '!$J$15</f>
        <v>337018.97100000002</v>
      </c>
      <c r="K18" s="1268">
        <f>'[80]POS by sector '!$I$15</f>
        <v>8344</v>
      </c>
      <c r="L18" s="1268">
        <f>'[80]POS by sector '!$J$15</f>
        <v>347734.42200000002</v>
      </c>
      <c r="M18" s="1268">
        <f>'[81]POS by sector '!$I$15</f>
        <v>9061</v>
      </c>
      <c r="N18" s="1268">
        <f>'[81]POS by sector '!$J$15</f>
        <v>372402.63200000004</v>
      </c>
      <c r="O18" s="1268">
        <f>'[82]POS by sector '!$I$15</f>
        <v>2149</v>
      </c>
      <c r="P18" s="1268">
        <f>'[82]POS by sector '!$J$15</f>
        <v>172031.32</v>
      </c>
      <c r="Q18" s="1268">
        <f>'[83]POS by sector '!$I$15</f>
        <v>1268</v>
      </c>
      <c r="R18" s="1268">
        <f>'[83]POS by sector '!$J$15</f>
        <v>167794.36800000002</v>
      </c>
      <c r="S18" s="1272" t="s">
        <v>1268</v>
      </c>
    </row>
    <row r="19" spans="1:19" ht="31.5" customHeight="1">
      <c r="A19" s="1266">
        <v>7</v>
      </c>
      <c r="B19" s="1270" t="s">
        <v>1269</v>
      </c>
      <c r="C19" s="1268">
        <f>'[76]POS by sector '!$I$16</f>
        <v>32137</v>
      </c>
      <c r="D19" s="1268">
        <f>'[76]POS by sector '!$J$16</f>
        <v>481679.34199999925</v>
      </c>
      <c r="E19" s="1268">
        <f>'[77]POS by sector '!$I$16</f>
        <v>32693</v>
      </c>
      <c r="F19" s="1268">
        <f>'[77]POS by sector '!$J$16</f>
        <v>485409.51900000044</v>
      </c>
      <c r="G19" s="1268">
        <f>'[78]POS by sector '!$I$16</f>
        <v>35249</v>
      </c>
      <c r="H19" s="1268">
        <f>'[78]POS by sector '!$J$16</f>
        <v>557816.07300000009</v>
      </c>
      <c r="I19" s="1268">
        <f>'[79]POS by sector '!$I$16</f>
        <v>37501</v>
      </c>
      <c r="J19" s="1268">
        <f>'[79]POS by sector '!$J$16</f>
        <v>614092.74700000009</v>
      </c>
      <c r="K19" s="1268">
        <f>'[80]POS by sector '!$I$16</f>
        <v>37262</v>
      </c>
      <c r="L19" s="1268">
        <f>'[80]POS by sector '!$J$16</f>
        <v>530279.11900000006</v>
      </c>
      <c r="M19" s="1268">
        <f>'[81]POS by sector '!$I$16</f>
        <v>20567</v>
      </c>
      <c r="N19" s="1268">
        <f>'[81]POS by sector '!$J$16</f>
        <v>438791.82000000007</v>
      </c>
      <c r="O19" s="1268">
        <f>'[82]POS by sector '!$I$16</f>
        <v>21305</v>
      </c>
      <c r="P19" s="1268">
        <f>'[82]POS by sector '!$J$16</f>
        <v>393285.81300000008</v>
      </c>
      <c r="Q19" s="1268">
        <f>'[83]POS by sector '!$I$16</f>
        <v>19004</v>
      </c>
      <c r="R19" s="1268">
        <f>'[83]POS by sector '!$J$16</f>
        <v>358736.09700000007</v>
      </c>
      <c r="S19" s="1271" t="s">
        <v>1270</v>
      </c>
    </row>
    <row r="20" spans="1:19" ht="31.5" customHeight="1">
      <c r="A20" s="1266">
        <v>8</v>
      </c>
      <c r="B20" s="1270" t="s">
        <v>1271</v>
      </c>
      <c r="C20" s="1268">
        <f>'[76]POS by sector '!$I$17</f>
        <v>3644</v>
      </c>
      <c r="D20" s="1268">
        <f>'[76]POS by sector '!$J$17</f>
        <v>1365804.4019999995</v>
      </c>
      <c r="E20" s="1268">
        <f>'[77]POS by sector '!$I$17</f>
        <v>4021</v>
      </c>
      <c r="F20" s="1268">
        <f>'[77]POS by sector '!$J$17</f>
        <v>1522919.838</v>
      </c>
      <c r="G20" s="1268">
        <f>'[78]POS by sector '!$I$17</f>
        <v>7310</v>
      </c>
      <c r="H20" s="1268">
        <f>'[78]POS by sector '!$J$17</f>
        <v>7189064.4850000003</v>
      </c>
      <c r="I20" s="1268">
        <f>'[79]POS by sector '!$I$17</f>
        <v>5936</v>
      </c>
      <c r="J20" s="1268">
        <f>'[79]POS by sector '!$J$17</f>
        <v>2750764.9</v>
      </c>
      <c r="K20" s="1268">
        <f>'[80]POS by sector '!$I$17</f>
        <v>4215</v>
      </c>
      <c r="L20" s="1268">
        <f>'[80]POS by sector '!$J$17</f>
        <v>1707461.159</v>
      </c>
      <c r="M20" s="1268">
        <f>'[81]POS by sector '!$I$17</f>
        <v>24495</v>
      </c>
      <c r="N20" s="1268">
        <f>'[81]POS by sector '!$J$17</f>
        <v>993209.89199999999</v>
      </c>
      <c r="O20" s="1268">
        <f>'[82]POS by sector '!$I$17</f>
        <v>1266</v>
      </c>
      <c r="P20" s="1268">
        <f>'[82]POS by sector '!$J$17</f>
        <v>388117.761</v>
      </c>
      <c r="Q20" s="1268">
        <f>'[83]POS by sector '!$I$17</f>
        <v>642</v>
      </c>
      <c r="R20" s="1268">
        <f>'[83]POS by sector '!$J$17</f>
        <v>275770.28300000005</v>
      </c>
      <c r="S20" s="1271" t="s">
        <v>1272</v>
      </c>
    </row>
    <row r="21" spans="1:19" ht="31.5" customHeight="1">
      <c r="A21" s="1266">
        <v>9</v>
      </c>
      <c r="B21" s="1270" t="s">
        <v>1273</v>
      </c>
      <c r="C21" s="1268">
        <f>'[76]POS by sector '!$I$18</f>
        <v>34608</v>
      </c>
      <c r="D21" s="1268">
        <f>'[76]POS by sector '!$J$18</f>
        <v>862655.29</v>
      </c>
      <c r="E21" s="1268">
        <f>'[77]POS by sector '!$I$18</f>
        <v>33274</v>
      </c>
      <c r="F21" s="1268">
        <f>'[77]POS by sector '!$J$18</f>
        <v>777217.28899999999</v>
      </c>
      <c r="G21" s="1268">
        <f>'[78]POS by sector '!$I$18</f>
        <v>34735</v>
      </c>
      <c r="H21" s="1268">
        <f>'[78]POS by sector '!$J$18</f>
        <v>805909.92300000018</v>
      </c>
      <c r="I21" s="1268">
        <f>'[79]POS by sector '!$I$18</f>
        <v>35953</v>
      </c>
      <c r="J21" s="1268">
        <f>'[79]POS by sector '!$J$18</f>
        <v>843855.69200000004</v>
      </c>
      <c r="K21" s="1268">
        <f>'[80]POS by sector '!$I$18</f>
        <v>33115</v>
      </c>
      <c r="L21" s="1268">
        <f>'[80]POS by sector '!$J$18</f>
        <v>745506.16900000011</v>
      </c>
      <c r="M21" s="1268">
        <f>'[81]POS by sector '!$I$18</f>
        <v>28637</v>
      </c>
      <c r="N21" s="1268">
        <f>'[81]POS by sector '!$J$18</f>
        <v>979237.255</v>
      </c>
      <c r="O21" s="1268">
        <f>'[82]POS by sector '!$I$18</f>
        <v>17615</v>
      </c>
      <c r="P21" s="1268">
        <f>'[82]POS by sector '!$J$18</f>
        <v>529696.35399999993</v>
      </c>
      <c r="Q21" s="1268">
        <f>'[83]POS by sector '!$I$18</f>
        <v>15217</v>
      </c>
      <c r="R21" s="1268">
        <f>'[83]POS by sector '!$J$18</f>
        <v>477493.10200000001</v>
      </c>
      <c r="S21" s="1271" t="s">
        <v>1274</v>
      </c>
    </row>
    <row r="22" spans="1:19" ht="31.5" customHeight="1">
      <c r="A22" s="1266">
        <v>10</v>
      </c>
      <c r="B22" s="1270" t="s">
        <v>1275</v>
      </c>
      <c r="C22" s="1268">
        <f>'[76]POS by sector '!$I$19</f>
        <v>52867</v>
      </c>
      <c r="D22" s="1268">
        <f>'[76]POS by sector '!$J$19</f>
        <v>2317237.6970000002</v>
      </c>
      <c r="E22" s="1268">
        <f>'[77]POS by sector '!$I$19</f>
        <v>51721</v>
      </c>
      <c r="F22" s="1268">
        <f>'[77]POS by sector '!$J$19</f>
        <v>2374292.8479999998</v>
      </c>
      <c r="G22" s="1268">
        <f>'[78]POS by sector '!$I$19</f>
        <v>56883</v>
      </c>
      <c r="H22" s="1268">
        <f>'[78]POS by sector '!$J$19</f>
        <v>2843982.3460000004</v>
      </c>
      <c r="I22" s="1268">
        <f>'[79]POS by sector '!$I$19</f>
        <v>65349</v>
      </c>
      <c r="J22" s="1268">
        <f>'[79]POS by sector '!$J$19</f>
        <v>3198650.4360000007</v>
      </c>
      <c r="K22" s="1268">
        <f>'[80]POS by sector '!$I$19</f>
        <v>59220</v>
      </c>
      <c r="L22" s="1268">
        <f>'[80]POS by sector '!$J$19</f>
        <v>2681751.6629999997</v>
      </c>
      <c r="M22" s="1268">
        <f>'[81]POS by sector '!$I$19</f>
        <v>7986</v>
      </c>
      <c r="N22" s="1268">
        <f>'[81]POS by sector '!$J$19</f>
        <v>662163.97599999956</v>
      </c>
      <c r="O22" s="1268">
        <f>'[82]POS by sector '!$I$19</f>
        <v>8043</v>
      </c>
      <c r="P22" s="1268">
        <f>'[82]POS by sector '!$J$19</f>
        <v>600486.34599999979</v>
      </c>
      <c r="Q22" s="1268">
        <f>'[83]POS by sector '!$I$19</f>
        <v>5651</v>
      </c>
      <c r="R22" s="1268">
        <f>'[83]POS by sector '!$J$19</f>
        <v>407174.26499999961</v>
      </c>
      <c r="S22" s="1271" t="s">
        <v>1276</v>
      </c>
    </row>
    <row r="23" spans="1:19" ht="31.5" customHeight="1">
      <c r="A23" s="1266">
        <v>11</v>
      </c>
      <c r="B23" s="1270" t="s">
        <v>1277</v>
      </c>
      <c r="C23" s="1268">
        <f>'[76]POS by sector '!$I$20</f>
        <v>6305</v>
      </c>
      <c r="D23" s="1268">
        <f>'[76]POS by sector '!$J$20</f>
        <v>333302.88299999997</v>
      </c>
      <c r="E23" s="1268">
        <f>'[77]POS by sector '!$I$20</f>
        <v>6211</v>
      </c>
      <c r="F23" s="1268">
        <f>'[77]POS by sector '!$J$20</f>
        <v>341008.30099999998</v>
      </c>
      <c r="G23" s="1268">
        <f>'[78]POS by sector '!$I$20</f>
        <v>7207</v>
      </c>
      <c r="H23" s="1268">
        <f>'[78]POS by sector '!$J$20</f>
        <v>411471.60499999998</v>
      </c>
      <c r="I23" s="1268">
        <f>'[79]POS by sector '!$I$20</f>
        <v>7012</v>
      </c>
      <c r="J23" s="1268">
        <f>'[79]POS by sector '!$J$20</f>
        <v>416778.4850000001</v>
      </c>
      <c r="K23" s="1268">
        <f>'[80]POS by sector '!$I$20</f>
        <v>6045</v>
      </c>
      <c r="L23" s="1268">
        <f>'[80]POS by sector '!$J$20</f>
        <v>317794.87160724006</v>
      </c>
      <c r="M23" s="1268">
        <f>'[81]POS by sector '!$I$20</f>
        <v>36376</v>
      </c>
      <c r="N23" s="1268">
        <f>'[81]POS by sector '!$J$20</f>
        <v>4276955.1849168697</v>
      </c>
      <c r="O23" s="1268">
        <f>'[82]POS by sector '!$I$20</f>
        <v>1538</v>
      </c>
      <c r="P23" s="1268">
        <f>'[82]POS by sector '!$J$20</f>
        <v>160652.71595623999</v>
      </c>
      <c r="Q23" s="1268">
        <f>'[83]POS by sector '!$I$20</f>
        <v>1087</v>
      </c>
      <c r="R23" s="1268">
        <f>'[83]POS by sector '!$J$20</f>
        <v>119604.06191687001</v>
      </c>
      <c r="S23" s="1271" t="s">
        <v>1278</v>
      </c>
    </row>
    <row r="24" spans="1:19" ht="30" customHeight="1">
      <c r="A24" s="1266">
        <v>12</v>
      </c>
      <c r="B24" s="1270" t="s">
        <v>1279</v>
      </c>
      <c r="C24" s="1268">
        <f>'[76]POS by sector '!$I$21</f>
        <v>1079</v>
      </c>
      <c r="D24" s="1268">
        <f>'[76]POS by sector '!$J$21</f>
        <v>74318.89899999999</v>
      </c>
      <c r="E24" s="1268">
        <f>'[77]POS by sector '!$I$21</f>
        <v>1081</v>
      </c>
      <c r="F24" s="1268">
        <f>'[77]POS by sector '!$J$21</f>
        <v>71873.187999999995</v>
      </c>
      <c r="G24" s="1268">
        <f>'[78]POS by sector '!$I$21</f>
        <v>856</v>
      </c>
      <c r="H24" s="1268">
        <f>'[78]POS by sector '!$J$21</f>
        <v>83187.552999999985</v>
      </c>
      <c r="I24" s="1268">
        <f>'[79]POS by sector '!$I$21</f>
        <v>1263</v>
      </c>
      <c r="J24" s="1268">
        <f>'[79]POS by sector '!$J$21</f>
        <v>81686.656000000003</v>
      </c>
      <c r="K24" s="1268">
        <f>'[80]POS by sector '!$I$21</f>
        <v>1700</v>
      </c>
      <c r="L24" s="1268">
        <f>'[80]POS by sector '!$J$21</f>
        <v>68642.634999999995</v>
      </c>
      <c r="M24" s="1268">
        <f>'[81]POS by sector '!$I$21</f>
        <v>1494</v>
      </c>
      <c r="N24" s="1268">
        <f>'[81]POS by sector '!$J$21</f>
        <v>65550.608999999997</v>
      </c>
      <c r="O24" s="1268">
        <f>'[82]POS by sector '!$I$21</f>
        <v>447</v>
      </c>
      <c r="P24" s="1268">
        <f>'[82]POS by sector '!$J$21</f>
        <v>40546.536</v>
      </c>
      <c r="Q24" s="1268">
        <f>'[83]POS by sector '!$I$21</f>
        <v>299</v>
      </c>
      <c r="R24" s="1268">
        <f>'[83]POS by sector '!$J$21</f>
        <v>31539.924000000003</v>
      </c>
      <c r="S24" s="1271" t="s">
        <v>1280</v>
      </c>
    </row>
    <row r="25" spans="1:19" ht="31.5" customHeight="1">
      <c r="A25" s="1266">
        <v>13</v>
      </c>
      <c r="B25" s="1270" t="s">
        <v>1281</v>
      </c>
      <c r="C25" s="1268">
        <f>'[76]POS by sector '!$I$22</f>
        <v>10285</v>
      </c>
      <c r="D25" s="1268">
        <f>'[76]POS by sector '!$J$22</f>
        <v>234826.55299999996</v>
      </c>
      <c r="E25" s="1268">
        <f>'[77]POS by sector '!$I$22</f>
        <v>10961</v>
      </c>
      <c r="F25" s="1268">
        <f>'[77]POS by sector '!$J$22</f>
        <v>216921.95799999996</v>
      </c>
      <c r="G25" s="1268">
        <f>'[78]POS by sector '!$I$22</f>
        <v>10538</v>
      </c>
      <c r="H25" s="1268">
        <f>'[78]POS by sector '!$J$22</f>
        <v>212221.35799999998</v>
      </c>
      <c r="I25" s="1268">
        <f>'[79]POS by sector '!$I$22</f>
        <v>10258</v>
      </c>
      <c r="J25" s="1268">
        <f>'[79]POS by sector '!$J$22</f>
        <v>207121.17</v>
      </c>
      <c r="K25" s="1268">
        <f>'[80]POS by sector '!$I$22</f>
        <v>11352</v>
      </c>
      <c r="L25" s="1268">
        <f>'[80]POS by sector '!$J$22</f>
        <v>211106.62800000003</v>
      </c>
      <c r="M25" s="1268">
        <f>'[81]POS by sector '!$I$22</f>
        <v>4602</v>
      </c>
      <c r="N25" s="1268">
        <f>'[81]POS by sector '!$J$22</f>
        <v>1832439.287</v>
      </c>
      <c r="O25" s="1268">
        <f>'[82]POS by sector '!$I$22</f>
        <v>6145</v>
      </c>
      <c r="P25" s="1268">
        <f>'[82]POS by sector '!$J$22</f>
        <v>149414.72199999998</v>
      </c>
      <c r="Q25" s="1268">
        <f>'[83]POS by sector '!$I$22</f>
        <v>5535</v>
      </c>
      <c r="R25" s="1268">
        <f>'[83]POS by sector '!$J$22</f>
        <v>155180.15100000001</v>
      </c>
      <c r="S25" s="1271" t="s">
        <v>1282</v>
      </c>
    </row>
    <row r="26" spans="1:19" ht="31.5" customHeight="1">
      <c r="A26" s="1266">
        <v>14</v>
      </c>
      <c r="B26" s="1270" t="s">
        <v>1283</v>
      </c>
      <c r="C26" s="1268">
        <f>'[76]POS by sector '!$I$23</f>
        <v>1451</v>
      </c>
      <c r="D26" s="1268">
        <f>'[76]POS by sector '!$J$23</f>
        <v>115260.26699999999</v>
      </c>
      <c r="E26" s="1268">
        <f>'[77]POS by sector '!$I$23</f>
        <v>1777</v>
      </c>
      <c r="F26" s="1268">
        <f>'[77]POS by sector '!$J$23</f>
        <v>95680.701000000001</v>
      </c>
      <c r="G26" s="1268">
        <f>'[78]POS by sector '!$I$23</f>
        <v>2348</v>
      </c>
      <c r="H26" s="1268">
        <f>'[78]POS by sector '!$J$23</f>
        <v>304936.76500000001</v>
      </c>
      <c r="I26" s="1268">
        <f>'[79]POS by sector '!$I$23</f>
        <v>6396</v>
      </c>
      <c r="J26" s="1268">
        <f>'[79]POS by sector '!$J$23</f>
        <v>113137.94</v>
      </c>
      <c r="K26" s="1268">
        <f>'[80]POS by sector '!$I$23</f>
        <v>30696</v>
      </c>
      <c r="L26" s="1268">
        <f>'[80]POS by sector '!$J$23</f>
        <v>303163.41986311</v>
      </c>
      <c r="M26" s="1268">
        <f>'[81]POS by sector '!$I$23</f>
        <v>185850</v>
      </c>
      <c r="N26" s="1268">
        <f>'[81]POS by sector '!$J$23</f>
        <v>5237828.6660058713</v>
      </c>
      <c r="O26" s="1268">
        <f>'[82]POS by sector '!$I$23</f>
        <v>66706</v>
      </c>
      <c r="P26" s="1268">
        <f>'[82]POS by sector '!$J$23</f>
        <v>567177.97742685</v>
      </c>
      <c r="Q26" s="1268">
        <f>'[83]POS by sector '!$I$23</f>
        <v>77828</v>
      </c>
      <c r="R26" s="1268">
        <f>'[83]POS by sector '!$J$23</f>
        <v>617610.92900587013</v>
      </c>
      <c r="S26" s="1271" t="s">
        <v>1284</v>
      </c>
    </row>
    <row r="27" spans="1:19" ht="31.5">
      <c r="A27" s="1266">
        <v>15</v>
      </c>
      <c r="B27" s="1270" t="s">
        <v>1285</v>
      </c>
      <c r="C27" s="1268">
        <f>'[76]POS by sector '!$I$24</f>
        <v>2398</v>
      </c>
      <c r="D27" s="1268">
        <f>'[76]POS by sector '!$J$24</f>
        <v>413538.696</v>
      </c>
      <c r="E27" s="1268">
        <f>'[77]POS by sector '!$I$24</f>
        <v>2653</v>
      </c>
      <c r="F27" s="1268">
        <f>'[77]POS by sector '!$J$24</f>
        <v>375075.39</v>
      </c>
      <c r="G27" s="1268">
        <f>'[78]POS by sector '!$I$24</f>
        <v>3528</v>
      </c>
      <c r="H27" s="1268">
        <f>'[78]POS by sector '!$J$24</f>
        <v>470621.17200000002</v>
      </c>
      <c r="I27" s="1268">
        <f>'[79]POS by sector '!$I$24</f>
        <v>3706</v>
      </c>
      <c r="J27" s="1268">
        <f>'[79]POS by sector '!$J$24</f>
        <v>462303.97600000002</v>
      </c>
      <c r="K27" s="1268">
        <f>'[80]POS by sector '!$I$24</f>
        <v>3660</v>
      </c>
      <c r="L27" s="1268">
        <f>'[80]POS by sector '!$J$24</f>
        <v>503883.69999999995</v>
      </c>
      <c r="M27" s="1268">
        <f>'[81]POS by sector '!$I$24</f>
        <v>3075</v>
      </c>
      <c r="N27" s="1268">
        <f>'[81]POS by sector '!$J$24</f>
        <v>440158.11700000003</v>
      </c>
      <c r="O27" s="1268">
        <f>'[82]POS by sector '!$I$24</f>
        <v>1452</v>
      </c>
      <c r="P27" s="1268">
        <f>'[82]POS by sector '!$J$24</f>
        <v>398510.33600000001</v>
      </c>
      <c r="Q27" s="1268">
        <f>'[83]POS by sector '!$I$24</f>
        <v>1185</v>
      </c>
      <c r="R27" s="1268">
        <f>'[83]POS by sector '!$J$24</f>
        <v>258351.609</v>
      </c>
      <c r="S27" s="1271" t="s">
        <v>1286</v>
      </c>
    </row>
    <row r="28" spans="1:19" ht="31.5" customHeight="1">
      <c r="A28" s="1266">
        <v>16</v>
      </c>
      <c r="B28" s="1270" t="s">
        <v>1287</v>
      </c>
      <c r="C28" s="1268">
        <f>'[76]POS by sector '!$I$25</f>
        <v>1545</v>
      </c>
      <c r="D28" s="1268">
        <f>'[76]POS by sector '!$J$25</f>
        <v>235248.86700000003</v>
      </c>
      <c r="E28" s="1268">
        <f>'[77]POS by sector '!$I$25</f>
        <v>1431</v>
      </c>
      <c r="F28" s="1268">
        <f>'[77]POS by sector '!$J$25</f>
        <v>233705.21</v>
      </c>
      <c r="G28" s="1268">
        <f>'[78]POS by sector '!$I$25</f>
        <v>1305</v>
      </c>
      <c r="H28" s="1268">
        <f>'[78]POS by sector '!$J$25</f>
        <v>241787.53999999998</v>
      </c>
      <c r="I28" s="1268">
        <f>'[79]POS by sector '!$I$25</f>
        <v>1138</v>
      </c>
      <c r="J28" s="1268">
        <f>'[79]POS by sector '!$J$25</f>
        <v>221893.77899999998</v>
      </c>
      <c r="K28" s="1268">
        <f>'[80]POS by sector '!$I$25</f>
        <v>1252</v>
      </c>
      <c r="L28" s="1268">
        <f>'[80]POS by sector '!$J$25</f>
        <v>248340.01112440997</v>
      </c>
      <c r="M28" s="1268">
        <f>'[81]POS by sector '!$I$25</f>
        <v>61895</v>
      </c>
      <c r="N28" s="1268">
        <f>'[81]POS by sector '!$J$25</f>
        <v>642367.31484778982</v>
      </c>
      <c r="O28" s="1268">
        <f>'[82]POS by sector '!$I$25</f>
        <v>898</v>
      </c>
      <c r="P28" s="1268">
        <f>'[82]POS by sector '!$J$25</f>
        <v>140795.155</v>
      </c>
      <c r="Q28" s="1268">
        <f>'[83]POS by sector '!$I$25</f>
        <v>461</v>
      </c>
      <c r="R28" s="1268">
        <f>'[83]POS by sector '!$J$25</f>
        <v>77308.016847789986</v>
      </c>
      <c r="S28" s="1272" t="s">
        <v>1288</v>
      </c>
    </row>
    <row r="29" spans="1:19" ht="31.5" customHeight="1">
      <c r="A29" s="1266">
        <v>17</v>
      </c>
      <c r="B29" s="1270" t="s">
        <v>1289</v>
      </c>
      <c r="C29" s="1268">
        <f>'[76]POS by sector '!$I$26</f>
        <v>44506</v>
      </c>
      <c r="D29" s="1268">
        <f>'[76]POS by sector '!$J$26</f>
        <v>663662.55000000016</v>
      </c>
      <c r="E29" s="1268">
        <f>'[77]POS by sector '!$I$26</f>
        <v>46931</v>
      </c>
      <c r="F29" s="1268">
        <f>'[77]POS by sector '!$J$26</f>
        <v>648417.34499999997</v>
      </c>
      <c r="G29" s="1268">
        <f>'[78]POS by sector '!$I$26</f>
        <v>34256</v>
      </c>
      <c r="H29" s="1268">
        <f>'[78]POS by sector '!$J$26</f>
        <v>552555.50899999996</v>
      </c>
      <c r="I29" s="1268">
        <f>'[79]POS by sector '!$I$26</f>
        <v>34922</v>
      </c>
      <c r="J29" s="1268">
        <f>'[79]POS by sector '!$J$26</f>
        <v>556401.73900000006</v>
      </c>
      <c r="K29" s="1268">
        <f>'[80]POS by sector '!$I$26</f>
        <v>43200</v>
      </c>
      <c r="L29" s="1268">
        <f>'[80]POS by sector '!$J$26</f>
        <v>669591.46200000006</v>
      </c>
      <c r="M29" s="1268">
        <f>'[81]POS by sector '!$I$26</f>
        <v>20647</v>
      </c>
      <c r="N29" s="1268">
        <f>'[81]POS by sector '!$J$26</f>
        <v>423247.88999999996</v>
      </c>
      <c r="O29" s="1268">
        <f>'[82]POS by sector '!$I$26</f>
        <v>5176</v>
      </c>
      <c r="P29" s="1268">
        <f>'[82]POS by sector '!$J$26</f>
        <v>58903.409999999996</v>
      </c>
      <c r="Q29" s="1268">
        <f>'[83]POS by sector '!$I$26</f>
        <v>2457</v>
      </c>
      <c r="R29" s="1268">
        <f>'[83]POS by sector '!$J$26</f>
        <v>105899.311</v>
      </c>
      <c r="S29" s="1271" t="s">
        <v>1290</v>
      </c>
    </row>
    <row r="30" spans="1:19" ht="46.5" customHeight="1">
      <c r="A30" s="1266">
        <v>18</v>
      </c>
      <c r="B30" s="1270" t="s">
        <v>1291</v>
      </c>
      <c r="C30" s="1268">
        <f>'[76]POS by sector '!$I$27</f>
        <v>4480</v>
      </c>
      <c r="D30" s="1268">
        <f>'[76]POS by sector '!$J$27</f>
        <v>371042.34399999992</v>
      </c>
      <c r="E30" s="1268">
        <f>'[77]POS by sector '!$I$27</f>
        <v>4697</v>
      </c>
      <c r="F30" s="1268">
        <f>'[77]POS by sector '!$J$27</f>
        <v>397593.37900000002</v>
      </c>
      <c r="G30" s="1268">
        <f>'[78]POS by sector '!$I$27</f>
        <v>4875</v>
      </c>
      <c r="H30" s="1268">
        <f>'[78]POS by sector '!$J$27</f>
        <v>414042.16800000006</v>
      </c>
      <c r="I30" s="1268">
        <f>'[79]POS by sector '!$I$27</f>
        <v>5570</v>
      </c>
      <c r="J30" s="1268">
        <f>'[79]POS by sector '!$J$27</f>
        <v>534417.25899999996</v>
      </c>
      <c r="K30" s="1268">
        <f>'[80]POS by sector '!$I$27</f>
        <v>5486</v>
      </c>
      <c r="L30" s="1268">
        <f>'[80]POS by sector '!$J$27</f>
        <v>459787.90600000002</v>
      </c>
      <c r="M30" s="1268">
        <f>'[81]POS by sector '!$I$27</f>
        <v>10338</v>
      </c>
      <c r="N30" s="1268">
        <f>'[81]POS by sector '!$J$27</f>
        <v>318987.53900000011</v>
      </c>
      <c r="O30" s="1268">
        <f>'[82]POS by sector '!$I$27</f>
        <v>1395</v>
      </c>
      <c r="P30" s="1268">
        <f>'[82]POS by sector '!$J$27</f>
        <v>152773.92299999998</v>
      </c>
      <c r="Q30" s="1268">
        <f>'[83]POS by sector '!$I$27</f>
        <v>955</v>
      </c>
      <c r="R30" s="1268">
        <f>'[83]POS by sector '!$J$27</f>
        <v>148637.20900000003</v>
      </c>
      <c r="S30" s="1271" t="s">
        <v>1292</v>
      </c>
    </row>
    <row r="31" spans="1:19" ht="31.5" customHeight="1">
      <c r="A31" s="1266">
        <v>19</v>
      </c>
      <c r="B31" s="1270" t="s">
        <v>1293</v>
      </c>
      <c r="C31" s="1268">
        <f>'[76]POS by sector '!$I$28</f>
        <v>895</v>
      </c>
      <c r="D31" s="1268">
        <f>'[76]POS by sector '!$J$28</f>
        <v>15172.239999999998</v>
      </c>
      <c r="E31" s="1268">
        <f>'[77]POS by sector '!$I$28</f>
        <v>893</v>
      </c>
      <c r="F31" s="1268">
        <f>'[77]POS by sector '!$J$28</f>
        <v>19330.664000000001</v>
      </c>
      <c r="G31" s="1268">
        <f>'[78]POS by sector '!$I$28</f>
        <v>1036</v>
      </c>
      <c r="H31" s="1268">
        <f>'[78]POS by sector '!$J$28</f>
        <v>25611.131999999998</v>
      </c>
      <c r="I31" s="1268">
        <f>'[79]POS by sector '!$I$28</f>
        <v>658</v>
      </c>
      <c r="J31" s="1268">
        <f>'[79]POS by sector '!$J$28</f>
        <v>14614.269</v>
      </c>
      <c r="K31" s="1268">
        <f>'[80]POS by sector '!$I$28</f>
        <v>589</v>
      </c>
      <c r="L31" s="1268">
        <f>'[80]POS by sector '!$J$28</f>
        <v>15451.689999999999</v>
      </c>
      <c r="M31" s="1268">
        <f>'[81]POS by sector '!$I$28</f>
        <v>58227</v>
      </c>
      <c r="N31" s="1268">
        <f>'[81]POS by sector '!$J$28</f>
        <v>464369.68700000003</v>
      </c>
      <c r="O31" s="1268">
        <f>'[82]POS by sector '!$I$28</f>
        <v>153</v>
      </c>
      <c r="P31" s="1268">
        <f>'[82]POS by sector '!$J$28</f>
        <v>6962.9390000000003</v>
      </c>
      <c r="Q31" s="1268">
        <f>'[83]POS by sector '!$I$28</f>
        <v>191</v>
      </c>
      <c r="R31" s="1268">
        <f>'[83]POS by sector '!$J$28</f>
        <v>11411.262000000002</v>
      </c>
      <c r="S31" s="1271" t="s">
        <v>1294</v>
      </c>
    </row>
    <row r="32" spans="1:19" ht="31.5" customHeight="1">
      <c r="A32" s="1266">
        <v>20</v>
      </c>
      <c r="B32" s="1270" t="s">
        <v>1295</v>
      </c>
      <c r="C32" s="1268">
        <f>'[76]POS by sector '!$I$29</f>
        <v>240896</v>
      </c>
      <c r="D32" s="1268">
        <f>'[76]POS by sector '!$J$29</f>
        <v>7204555.8960000006</v>
      </c>
      <c r="E32" s="1268">
        <f>'[77]POS by sector '!$I$29</f>
        <v>231513</v>
      </c>
      <c r="F32" s="1268">
        <f>'[77]POS by sector '!$J$29</f>
        <v>7005658.881000001</v>
      </c>
      <c r="G32" s="1268">
        <f>'[78]POS by sector '!$I$29</f>
        <v>234529</v>
      </c>
      <c r="H32" s="1268">
        <f>'[78]POS by sector '!$J$29</f>
        <v>7098163.2750000004</v>
      </c>
      <c r="I32" s="1268">
        <f>'[79]POS by sector '!$I$29</f>
        <v>241271</v>
      </c>
      <c r="J32" s="1268">
        <f>'[79]POS by sector '!$J$29</f>
        <v>7297737.392</v>
      </c>
      <c r="K32" s="1268">
        <f>'[80]POS by sector '!$I$29</f>
        <v>230143</v>
      </c>
      <c r="L32" s="1268">
        <f>'[80]POS by sector '!$J$29</f>
        <v>6862606.1500000013</v>
      </c>
      <c r="M32" s="1268">
        <f>'[81]POS by sector '!$I$29</f>
        <v>12712</v>
      </c>
      <c r="N32" s="1268">
        <f>'[81]POS by sector '!$J$29</f>
        <v>665934.38</v>
      </c>
      <c r="O32" s="1268">
        <f>'[82]POS by sector '!$I$29</f>
        <v>62312</v>
      </c>
      <c r="P32" s="1268">
        <f>'[82]POS by sector '!$J$29</f>
        <v>2035157.9550000001</v>
      </c>
      <c r="Q32" s="1268">
        <f>'[83]POS by sector '!$I$29</f>
        <v>28981</v>
      </c>
      <c r="R32" s="1268">
        <f>'[83]POS by sector '!$J$29</f>
        <v>1336580.2260000003</v>
      </c>
      <c r="S32" s="1271" t="s">
        <v>1296</v>
      </c>
    </row>
    <row r="33" spans="1:19" s="1277" customFormat="1" ht="31.5" customHeight="1">
      <c r="A33" s="1273"/>
      <c r="B33" s="1274" t="s">
        <v>378</v>
      </c>
      <c r="C33" s="1275">
        <f>'[76]POS by sector '!$I$30</f>
        <v>681365</v>
      </c>
      <c r="D33" s="1275">
        <f>'[76]POS by sector '!$J$30</f>
        <v>26853895.018000007</v>
      </c>
      <c r="E33" s="1275">
        <f>'[77]POS by sector '!$I$30</f>
        <v>666856</v>
      </c>
      <c r="F33" s="1275">
        <f>'[77]POS by sector '!$J$30</f>
        <v>25770648.902000014</v>
      </c>
      <c r="G33" s="1275">
        <f>'[78]POS by sector '!$I$30</f>
        <v>693997</v>
      </c>
      <c r="H33" s="1275">
        <f>'[78]POS by sector '!$J$30</f>
        <v>33755144.361000001</v>
      </c>
      <c r="I33" s="1275">
        <f>'[79]POS by sector '!$I$30</f>
        <v>721978</v>
      </c>
      <c r="J33" s="1275">
        <f>'[79]POS by sector '!$J$30</f>
        <v>29298702.470000006</v>
      </c>
      <c r="K33" s="1275">
        <f>'[80]POS by sector '!$I$30</f>
        <v>741513</v>
      </c>
      <c r="L33" s="1275">
        <f>'[80]POS by sector '!$J$30</f>
        <v>28320558.29059476</v>
      </c>
      <c r="M33" s="1275">
        <f>'[81]POS by sector '!$I$30</f>
        <v>643280</v>
      </c>
      <c r="N33" s="1275">
        <f>'[81]POS by sector '!$J$30</f>
        <v>24855165.405770529</v>
      </c>
      <c r="O33" s="1275">
        <f>'[82]POS by sector '!$I$30</f>
        <v>265562</v>
      </c>
      <c r="P33" s="1275">
        <f>'[82]POS by sector '!$J$30</f>
        <v>9288426.0350430924</v>
      </c>
      <c r="Q33" s="1275">
        <f>'[83]POS by sector '!$I$30</f>
        <v>205209</v>
      </c>
      <c r="R33" s="1275">
        <f>'[83]POS by sector '!$J$30</f>
        <v>7535563.3187705297</v>
      </c>
      <c r="S33" s="1276" t="s">
        <v>367</v>
      </c>
    </row>
    <row r="34" spans="1:19" ht="27.75" customHeight="1">
      <c r="A34" s="1278" t="s">
        <v>1297</v>
      </c>
      <c r="B34" s="1279"/>
      <c r="C34" s="1280"/>
      <c r="D34" s="1280"/>
      <c r="E34" s="1280"/>
      <c r="F34" s="1280"/>
      <c r="G34" s="1280"/>
      <c r="H34" s="1280"/>
      <c r="I34" s="1280"/>
      <c r="J34" s="1280"/>
      <c r="K34" s="1280"/>
      <c r="L34" s="1280"/>
      <c r="M34" s="1280"/>
      <c r="N34" s="1280"/>
      <c r="O34" s="1280"/>
      <c r="P34" s="1280"/>
      <c r="Q34" s="1280"/>
      <c r="R34" s="1280"/>
      <c r="S34" s="1281" t="s">
        <v>1298</v>
      </c>
    </row>
    <row r="35" spans="1:19" ht="18">
      <c r="A35" s="1278" t="s">
        <v>1299</v>
      </c>
      <c r="B35" s="1279"/>
      <c r="C35" s="1280"/>
      <c r="D35" s="1280"/>
      <c r="E35" s="1280"/>
      <c r="F35" s="1280"/>
      <c r="G35" s="1280"/>
      <c r="H35" s="1280"/>
      <c r="I35" s="1280"/>
      <c r="J35" s="1280"/>
      <c r="K35" s="1280"/>
      <c r="L35" s="1280"/>
      <c r="M35" s="1280"/>
      <c r="N35" s="1280"/>
      <c r="O35" s="1280"/>
      <c r="P35" s="1280"/>
      <c r="Q35" s="1280"/>
      <c r="R35" s="1280"/>
      <c r="S35" s="1281" t="s">
        <v>1300</v>
      </c>
    </row>
    <row r="36" spans="1:19" ht="18">
      <c r="A36" s="1278"/>
      <c r="B36" s="1279"/>
      <c r="C36" s="1280"/>
      <c r="D36" s="1280"/>
      <c r="E36" s="1280"/>
      <c r="F36" s="1280"/>
      <c r="G36" s="1280"/>
      <c r="H36" s="1280"/>
      <c r="I36" s="1280"/>
      <c r="J36" s="1280"/>
      <c r="K36" s="1280"/>
      <c r="L36" s="1280"/>
      <c r="M36" s="1280"/>
      <c r="N36" s="1280"/>
      <c r="O36" s="1280"/>
      <c r="P36" s="1280"/>
      <c r="Q36" s="1280"/>
      <c r="R36" s="1280"/>
      <c r="S36" s="1281"/>
    </row>
    <row r="37" spans="1:19">
      <c r="A37" s="1283" t="s">
        <v>1302</v>
      </c>
      <c r="B37" s="1283"/>
      <c r="C37" s="1283"/>
      <c r="D37" s="1283"/>
      <c r="E37" s="1283"/>
      <c r="F37" s="1283"/>
      <c r="G37" s="1283"/>
      <c r="H37" s="1283"/>
      <c r="I37" s="1283"/>
      <c r="J37" s="1283"/>
      <c r="K37" s="1283"/>
      <c r="L37" s="1283"/>
      <c r="M37" s="1283"/>
      <c r="N37" s="1283"/>
      <c r="O37" s="1283"/>
      <c r="P37" s="1283"/>
      <c r="Q37" s="1283"/>
      <c r="R37" s="1283"/>
      <c r="S37" s="1283"/>
    </row>
    <row r="39" spans="1:19">
      <c r="C39" s="1285"/>
      <c r="D39" s="1285"/>
      <c r="E39" s="1285"/>
      <c r="F39" s="1285"/>
      <c r="G39" s="1285"/>
      <c r="H39" s="1285"/>
      <c r="I39" s="1285"/>
      <c r="J39" s="1285"/>
      <c r="K39" s="1285"/>
      <c r="L39" s="1285"/>
      <c r="M39" s="1285"/>
      <c r="N39" s="1285"/>
      <c r="O39" s="1285"/>
      <c r="P39" s="1285"/>
      <c r="Q39" s="1285"/>
      <c r="R39" s="1285"/>
    </row>
    <row r="40" spans="1:19">
      <c r="A40" s="1286"/>
      <c r="B40" s="1287"/>
      <c r="C40" s="1287"/>
      <c r="D40" s="1287"/>
      <c r="E40" s="1287"/>
      <c r="F40" s="1287"/>
      <c r="G40" s="1287"/>
      <c r="H40" s="1287"/>
      <c r="I40" s="1287"/>
      <c r="J40" s="1287"/>
      <c r="K40" s="1287"/>
      <c r="L40" s="1287"/>
      <c r="M40" s="1287"/>
      <c r="N40" s="1287"/>
      <c r="O40" s="1287"/>
      <c r="P40" s="1287"/>
      <c r="Q40" s="1287"/>
      <c r="R40" s="1287"/>
      <c r="S40" s="1287"/>
    </row>
    <row r="41" spans="1:19">
      <c r="A41" s="1286"/>
      <c r="B41" s="1287"/>
      <c r="C41" s="1288"/>
      <c r="D41" s="1288"/>
      <c r="E41" s="1288"/>
      <c r="F41" s="1288"/>
      <c r="G41" s="1288"/>
      <c r="H41" s="1288"/>
      <c r="I41" s="1288"/>
      <c r="J41" s="1288"/>
      <c r="K41" s="1288"/>
      <c r="L41" s="1288"/>
      <c r="M41" s="1288"/>
      <c r="N41" s="1288"/>
      <c r="O41" s="1288"/>
      <c r="P41" s="1288"/>
      <c r="Q41" s="1288"/>
      <c r="R41" s="1288"/>
      <c r="S41" s="1288"/>
    </row>
  </sheetData>
  <mergeCells count="11">
    <mergeCell ref="A9:A12"/>
    <mergeCell ref="B9:B12"/>
    <mergeCell ref="S9:S12"/>
    <mergeCell ref="C10:D10"/>
    <mergeCell ref="E10:F10"/>
    <mergeCell ref="G10:H10"/>
    <mergeCell ref="I10:J10"/>
    <mergeCell ref="K10:L10"/>
    <mergeCell ref="O10:P10"/>
    <mergeCell ref="M10:N10"/>
    <mergeCell ref="Q10:R10"/>
  </mergeCells>
  <printOptions horizontalCentered="1"/>
  <pageMargins left="0.25" right="0.25" top="0.75" bottom="0.75" header="0.3" footer="0.3"/>
  <pageSetup scale="4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6">
    <pageSetUpPr fitToPage="1"/>
  </sheetPr>
  <dimension ref="A1:S41"/>
  <sheetViews>
    <sheetView topLeftCell="H1" zoomScale="70" zoomScaleNormal="70" workbookViewId="0">
      <selection activeCell="A49" sqref="A1:XFD1048576"/>
    </sheetView>
  </sheetViews>
  <sheetFormatPr defaultColWidth="18.28515625" defaultRowHeight="15"/>
  <cols>
    <col min="1" max="1" width="6.140625" style="1284" customWidth="1"/>
    <col min="2" max="2" width="45.85546875" style="1258" customWidth="1"/>
    <col min="3" max="3" width="15" style="1258" bestFit="1" customWidth="1"/>
    <col min="4" max="4" width="14.28515625" style="1258" bestFit="1" customWidth="1"/>
    <col min="5" max="5" width="15" style="1258" bestFit="1" customWidth="1"/>
    <col min="6" max="6" width="14.28515625" style="1258" bestFit="1" customWidth="1"/>
    <col min="7" max="7" width="15" style="1258" bestFit="1" customWidth="1"/>
    <col min="8" max="8" width="14.28515625" style="1258" bestFit="1" customWidth="1"/>
    <col min="9" max="9" width="15" style="1258" bestFit="1" customWidth="1"/>
    <col min="10" max="10" width="14.28515625" style="1258" bestFit="1" customWidth="1"/>
    <col min="11" max="11" width="15" style="1258" bestFit="1" customWidth="1"/>
    <col min="12" max="12" width="14.28515625" style="1258" bestFit="1" customWidth="1"/>
    <col min="13" max="13" width="15" style="1258" bestFit="1" customWidth="1"/>
    <col min="14" max="14" width="14.28515625" style="1258" bestFit="1" customWidth="1"/>
    <col min="15" max="15" width="15" style="1258" bestFit="1" customWidth="1"/>
    <col min="16" max="16" width="14.28515625" style="1258" bestFit="1" customWidth="1"/>
    <col min="17" max="17" width="15" style="1258" bestFit="1" customWidth="1"/>
    <col min="18" max="18" width="14.28515625" style="1258" bestFit="1" customWidth="1"/>
    <col min="19" max="19" width="46.7109375" style="1258" customWidth="1"/>
    <col min="20" max="16384" width="18.28515625" style="1258"/>
  </cols>
  <sheetData>
    <row r="1" spans="1:19" ht="18" customHeight="1">
      <c r="A1" s="1256" t="s">
        <v>1595</v>
      </c>
      <c r="B1" s="1257"/>
      <c r="C1" s="1257"/>
      <c r="D1" s="1257"/>
      <c r="E1" s="1257"/>
      <c r="F1" s="1257"/>
      <c r="G1" s="1257"/>
      <c r="H1" s="1257"/>
      <c r="I1" s="1257"/>
      <c r="J1" s="1257"/>
      <c r="K1" s="1257"/>
      <c r="L1" s="1257"/>
      <c r="M1" s="1257"/>
      <c r="N1" s="1257"/>
      <c r="O1" s="1257"/>
      <c r="P1" s="1257"/>
      <c r="Q1" s="1257"/>
      <c r="R1" s="1257"/>
      <c r="S1" s="1257"/>
    </row>
    <row r="2" spans="1:19" ht="18" customHeight="1">
      <c r="A2" s="1256" t="s">
        <v>84</v>
      </c>
      <c r="B2" s="1259"/>
      <c r="C2" s="1259"/>
      <c r="D2" s="1259"/>
      <c r="E2" s="1259"/>
      <c r="F2" s="1259"/>
      <c r="G2" s="1259"/>
      <c r="H2" s="1259"/>
      <c r="I2" s="1259"/>
      <c r="J2" s="1259"/>
      <c r="K2" s="1259"/>
      <c r="L2" s="1259"/>
      <c r="M2" s="1259"/>
      <c r="N2" s="1259"/>
      <c r="O2" s="1259"/>
      <c r="P2" s="1259"/>
      <c r="Q2" s="1259"/>
      <c r="R2" s="1259"/>
      <c r="S2" s="1259"/>
    </row>
    <row r="3" spans="1:19" ht="18">
      <c r="A3" s="1256" t="s">
        <v>83</v>
      </c>
      <c r="B3" s="1257"/>
      <c r="C3" s="1257"/>
      <c r="D3" s="1257"/>
      <c r="E3" s="1257"/>
      <c r="F3" s="1257"/>
      <c r="G3" s="1257"/>
      <c r="H3" s="1257"/>
      <c r="I3" s="1257"/>
      <c r="J3" s="1257"/>
      <c r="K3" s="1257"/>
      <c r="L3" s="1257"/>
      <c r="M3" s="1257"/>
      <c r="N3" s="1257"/>
      <c r="O3" s="1257"/>
      <c r="P3" s="1257"/>
      <c r="Q3" s="1257"/>
      <c r="R3" s="1257"/>
      <c r="S3" s="1257"/>
    </row>
    <row r="4" spans="1:19" ht="4.5" customHeight="1">
      <c r="A4" s="1257"/>
      <c r="B4" s="1257"/>
      <c r="C4" s="1260"/>
      <c r="D4" s="1260"/>
      <c r="E4" s="1260"/>
      <c r="F4" s="1260"/>
      <c r="G4" s="1260"/>
      <c r="H4" s="1260"/>
      <c r="I4" s="1260"/>
      <c r="J4" s="1260"/>
      <c r="K4" s="1260"/>
      <c r="L4" s="1260"/>
      <c r="M4" s="1260"/>
      <c r="N4" s="1260"/>
      <c r="O4" s="1260"/>
      <c r="P4" s="1260"/>
      <c r="Q4" s="1260"/>
      <c r="R4" s="1260"/>
      <c r="S4" s="1257"/>
    </row>
    <row r="5" spans="1:19" ht="15.75" hidden="1" customHeight="1">
      <c r="A5" s="1257"/>
      <c r="B5" s="1257"/>
      <c r="C5" s="1260"/>
      <c r="D5" s="1260"/>
      <c r="E5" s="1260"/>
      <c r="F5" s="1260"/>
      <c r="G5" s="1260"/>
      <c r="H5" s="1260"/>
      <c r="I5" s="1260"/>
      <c r="J5" s="1260"/>
      <c r="K5" s="1260"/>
      <c r="L5" s="1260"/>
      <c r="M5" s="1260"/>
      <c r="N5" s="1260"/>
      <c r="O5" s="1260"/>
      <c r="P5" s="1260"/>
      <c r="Q5" s="1260"/>
      <c r="R5" s="1260"/>
      <c r="S5" s="1257"/>
    </row>
    <row r="6" spans="1:19" ht="15.75" hidden="1" customHeight="1">
      <c r="A6" s="1257"/>
      <c r="B6" s="1257"/>
      <c r="C6" s="1260"/>
      <c r="D6" s="1260"/>
      <c r="E6" s="1260"/>
      <c r="F6" s="1260"/>
      <c r="G6" s="1260"/>
      <c r="H6" s="1260"/>
      <c r="I6" s="1260"/>
      <c r="J6" s="1260"/>
      <c r="K6" s="1260"/>
      <c r="L6" s="1260"/>
      <c r="M6" s="1260"/>
      <c r="N6" s="1260"/>
      <c r="O6" s="1260"/>
      <c r="P6" s="1260"/>
      <c r="Q6" s="1260"/>
      <c r="R6" s="1260"/>
      <c r="S6" s="1257"/>
    </row>
    <row r="7" spans="1:19" ht="15.75" hidden="1" customHeight="1">
      <c r="A7" s="1257"/>
      <c r="B7" s="1257"/>
      <c r="C7" s="1260"/>
      <c r="D7" s="1260"/>
      <c r="E7" s="1260"/>
      <c r="F7" s="1260"/>
      <c r="G7" s="1260"/>
      <c r="H7" s="1260"/>
      <c r="I7" s="1260"/>
      <c r="J7" s="1260"/>
      <c r="K7" s="1260"/>
      <c r="L7" s="1260"/>
      <c r="M7" s="1260"/>
      <c r="N7" s="1260"/>
      <c r="O7" s="1260"/>
      <c r="P7" s="1260"/>
      <c r="Q7" s="1260"/>
      <c r="R7" s="1260"/>
      <c r="S7" s="1257"/>
    </row>
    <row r="8" spans="1:19">
      <c r="A8" s="1019" t="s">
        <v>1244</v>
      </c>
      <c r="D8" s="1019"/>
      <c r="F8" s="1019"/>
      <c r="H8" s="1019"/>
      <c r="J8" s="1019"/>
      <c r="L8" s="1019"/>
      <c r="N8" s="1019"/>
      <c r="P8" s="1019"/>
      <c r="R8" s="1019"/>
      <c r="S8" s="1019" t="s">
        <v>1245</v>
      </c>
    </row>
    <row r="9" spans="1:19" s="1262" customFormat="1" ht="20.25" customHeight="1">
      <c r="A9" s="2184"/>
      <c r="B9" s="2184" t="s">
        <v>1246</v>
      </c>
      <c r="C9" s="1261">
        <v>2019</v>
      </c>
      <c r="D9" s="1261"/>
      <c r="E9" s="1261"/>
      <c r="F9" s="1261"/>
      <c r="G9" s="1261"/>
      <c r="H9" s="1261"/>
      <c r="I9" s="1261"/>
      <c r="J9" s="1261"/>
      <c r="K9" s="1261">
        <v>2020</v>
      </c>
      <c r="L9" s="1261"/>
      <c r="M9" s="1261"/>
      <c r="N9" s="1261"/>
      <c r="O9" s="1261"/>
      <c r="P9" s="1261"/>
      <c r="Q9" s="1261"/>
      <c r="R9" s="1261"/>
      <c r="S9" s="2184" t="s">
        <v>1247</v>
      </c>
    </row>
    <row r="10" spans="1:19" s="1262" customFormat="1" ht="20.25" customHeight="1">
      <c r="A10" s="2192"/>
      <c r="B10" s="2192"/>
      <c r="C10" s="2203" t="s">
        <v>1248</v>
      </c>
      <c r="D10" s="2204"/>
      <c r="E10" s="2203" t="s">
        <v>1249</v>
      </c>
      <c r="F10" s="2204"/>
      <c r="G10" s="2203" t="s">
        <v>1250</v>
      </c>
      <c r="H10" s="2204"/>
      <c r="I10" s="2203" t="s">
        <v>1251</v>
      </c>
      <c r="J10" s="2204"/>
      <c r="K10" s="2203" t="s">
        <v>1252</v>
      </c>
      <c r="L10" s="2204"/>
      <c r="M10" s="2203" t="s">
        <v>1253</v>
      </c>
      <c r="N10" s="2204"/>
      <c r="O10" s="2203" t="s">
        <v>1565</v>
      </c>
      <c r="P10" s="2204"/>
      <c r="Q10" s="2203" t="s">
        <v>1578</v>
      </c>
      <c r="R10" s="2204"/>
      <c r="S10" s="2192"/>
    </row>
    <row r="11" spans="1:19" s="1262" customFormat="1" ht="15.75">
      <c r="A11" s="2192"/>
      <c r="B11" s="2192"/>
      <c r="C11" s="1263" t="s">
        <v>1236</v>
      </c>
      <c r="D11" s="1263" t="s">
        <v>1254</v>
      </c>
      <c r="E11" s="1263" t="s">
        <v>1236</v>
      </c>
      <c r="F11" s="1263" t="s">
        <v>1254</v>
      </c>
      <c r="G11" s="1263" t="s">
        <v>1236</v>
      </c>
      <c r="H11" s="1263" t="s">
        <v>1254</v>
      </c>
      <c r="I11" s="1263" t="s">
        <v>1236</v>
      </c>
      <c r="J11" s="1263" t="s">
        <v>1254</v>
      </c>
      <c r="K11" s="1263" t="s">
        <v>1236</v>
      </c>
      <c r="L11" s="1263" t="s">
        <v>1254</v>
      </c>
      <c r="M11" s="1263" t="s">
        <v>1236</v>
      </c>
      <c r="N11" s="1263" t="s">
        <v>1254</v>
      </c>
      <c r="O11" s="1263" t="s">
        <v>1236</v>
      </c>
      <c r="P11" s="1263" t="s">
        <v>1254</v>
      </c>
      <c r="Q11" s="1263" t="s">
        <v>1236</v>
      </c>
      <c r="R11" s="1263" t="s">
        <v>1254</v>
      </c>
      <c r="S11" s="2192"/>
    </row>
    <row r="12" spans="1:19" s="1265" customFormat="1" ht="15.75">
      <c r="A12" s="2188"/>
      <c r="B12" s="2188"/>
      <c r="C12" s="1264" t="s">
        <v>1255</v>
      </c>
      <c r="D12" s="1264" t="s">
        <v>1256</v>
      </c>
      <c r="E12" s="1264" t="s">
        <v>1255</v>
      </c>
      <c r="F12" s="1264" t="s">
        <v>1256</v>
      </c>
      <c r="G12" s="1264" t="s">
        <v>1255</v>
      </c>
      <c r="H12" s="1264" t="s">
        <v>1256</v>
      </c>
      <c r="I12" s="1264" t="s">
        <v>1255</v>
      </c>
      <c r="J12" s="1264" t="s">
        <v>1256</v>
      </c>
      <c r="K12" s="1264" t="s">
        <v>1255</v>
      </c>
      <c r="L12" s="1264" t="s">
        <v>1256</v>
      </c>
      <c r="M12" s="1264" t="s">
        <v>1255</v>
      </c>
      <c r="N12" s="1264" t="s">
        <v>1256</v>
      </c>
      <c r="O12" s="1264" t="s">
        <v>1255</v>
      </c>
      <c r="P12" s="1264" t="s">
        <v>1256</v>
      </c>
      <c r="Q12" s="1264" t="s">
        <v>1255</v>
      </c>
      <c r="R12" s="1264" t="s">
        <v>1256</v>
      </c>
      <c r="S12" s="2188"/>
    </row>
    <row r="13" spans="1:19" ht="31.5" customHeight="1">
      <c r="A13" s="1266">
        <v>1</v>
      </c>
      <c r="B13" s="1267" t="s">
        <v>1257</v>
      </c>
      <c r="C13" s="1268">
        <f>'[76]POS by sector '!$C$10</f>
        <v>7332</v>
      </c>
      <c r="D13" s="1268">
        <f>'[76]POS by sector '!$D$10</f>
        <v>1447765.6719999998</v>
      </c>
      <c r="E13" s="1268">
        <f>'[77]POS by sector '!$C$10</f>
        <v>6196</v>
      </c>
      <c r="F13" s="1268">
        <f>'[77]POS by sector '!$D$10</f>
        <v>1025348.9839999999</v>
      </c>
      <c r="G13" s="1268">
        <f>'[78]POS by sector '!$C$10</f>
        <v>5444</v>
      </c>
      <c r="H13" s="1268">
        <f>'[78]POS by sector '!$D$10</f>
        <v>728590.56299999997</v>
      </c>
      <c r="I13" s="1268">
        <f>'[79]POS by sector '!$C$10</f>
        <v>6046</v>
      </c>
      <c r="J13" s="1268">
        <f>'[79]POS by sector '!$D$10</f>
        <v>995436.59499999997</v>
      </c>
      <c r="K13" s="1268">
        <f>'[80]POS by sector '!$C$10</f>
        <v>7692</v>
      </c>
      <c r="L13" s="1268">
        <f>'[80]POS by sector '!$D$10</f>
        <v>1359150.8049999999</v>
      </c>
      <c r="M13" s="1268">
        <f>'[81]POS by sector '!$C$10</f>
        <v>6196</v>
      </c>
      <c r="N13" s="1268">
        <f>'[81]POS by sector '!$D$10</f>
        <v>1037099.17</v>
      </c>
      <c r="O13" s="1268">
        <f>'[82]POS by sector '!$C$10</f>
        <v>1574</v>
      </c>
      <c r="P13" s="1268">
        <f>'[82]POS by sector '!$D$10</f>
        <v>256863.15999999997</v>
      </c>
      <c r="Q13" s="1268">
        <f>'[83]POS by sector '!$C$10</f>
        <v>2099</v>
      </c>
      <c r="R13" s="1268">
        <f>'[83]POS by sector '!$D$10</f>
        <v>551285.47900000005</v>
      </c>
      <c r="S13" s="1269" t="s">
        <v>1258</v>
      </c>
    </row>
    <row r="14" spans="1:19" ht="43.5" customHeight="1">
      <c r="A14" s="1266">
        <v>2</v>
      </c>
      <c r="B14" s="1270" t="s">
        <v>1259</v>
      </c>
      <c r="C14" s="1268">
        <f>'[76]POS by sector '!$C$11</f>
        <v>18278</v>
      </c>
      <c r="D14" s="1268">
        <f>'[76]POS by sector '!$D$11</f>
        <v>544803.49899999972</v>
      </c>
      <c r="E14" s="1268">
        <f>'[77]POS by sector '!$C$11</f>
        <v>18624</v>
      </c>
      <c r="F14" s="1268">
        <f>'[77]POS by sector '!$D$11</f>
        <v>540055.78800000006</v>
      </c>
      <c r="G14" s="1268">
        <f>'[78]POS by sector '!$C$11</f>
        <v>15039</v>
      </c>
      <c r="H14" s="1268">
        <f>'[78]POS by sector '!$D$11</f>
        <v>509227.21200000006</v>
      </c>
      <c r="I14" s="1268">
        <f>'[79]POS by sector '!$C$11</f>
        <v>17536</v>
      </c>
      <c r="J14" s="1268">
        <f>'[79]POS by sector '!$D$11</f>
        <v>611561.84600000002</v>
      </c>
      <c r="K14" s="1268">
        <f>'[80]POS by sector '!$C$11</f>
        <v>17262</v>
      </c>
      <c r="L14" s="1268">
        <f>'[80]POS by sector '!$D$11</f>
        <v>616341.79399999999</v>
      </c>
      <c r="M14" s="1268">
        <f>'[81]POS by sector '!$C$11</f>
        <v>16996</v>
      </c>
      <c r="N14" s="1268">
        <f>'[81]POS by sector '!$D$11</f>
        <v>580415.03899999999</v>
      </c>
      <c r="O14" s="1268">
        <f>'[82]POS by sector '!$C$11</f>
        <v>10565</v>
      </c>
      <c r="P14" s="1268">
        <f>'[82]POS by sector '!$D$11</f>
        <v>370028.79999999999</v>
      </c>
      <c r="Q14" s="1268">
        <f>'[83]POS by sector '!$C$11</f>
        <v>4553</v>
      </c>
      <c r="R14" s="1268">
        <f>'[83]POS by sector '!$D$11</f>
        <v>236389.69699999999</v>
      </c>
      <c r="S14" s="1271" t="s">
        <v>1260</v>
      </c>
    </row>
    <row r="15" spans="1:19" ht="31.5" customHeight="1">
      <c r="A15" s="1266">
        <v>3</v>
      </c>
      <c r="B15" s="1270" t="s">
        <v>1261</v>
      </c>
      <c r="C15" s="1268">
        <f>'[76]POS by sector '!$C$12</f>
        <v>568456</v>
      </c>
      <c r="D15" s="1268">
        <f>'[76]POS by sector '!$D$12</f>
        <v>3667159.7619999992</v>
      </c>
      <c r="E15" s="1268">
        <f>'[77]POS by sector '!$C$12</f>
        <v>684604</v>
      </c>
      <c r="F15" s="1268">
        <f>'[77]POS by sector '!$D$12</f>
        <v>4155180.8810000001</v>
      </c>
      <c r="G15" s="1268">
        <f>'[78]POS by sector '!$C$12</f>
        <v>690569</v>
      </c>
      <c r="H15" s="1268">
        <f>'[78]POS by sector '!$D$12</f>
        <v>4361774.3150000004</v>
      </c>
      <c r="I15" s="1268">
        <f>'[79]POS by sector '!$C$12</f>
        <v>784829</v>
      </c>
      <c r="J15" s="1268">
        <f>'[79]POS by sector '!$D$12</f>
        <v>5055028.5360000003</v>
      </c>
      <c r="K15" s="1268">
        <f>'[80]POS by sector '!$C$12</f>
        <v>788593</v>
      </c>
      <c r="L15" s="1268">
        <f>'[80]POS by sector '!$D$12</f>
        <v>5070411.3899999997</v>
      </c>
      <c r="M15" s="1268">
        <f>'[81]POS by sector '!$C$12</f>
        <v>778299</v>
      </c>
      <c r="N15" s="1268">
        <f>'[81]POS by sector '!$D$12</f>
        <v>4902034.0259999996</v>
      </c>
      <c r="O15" s="1268">
        <f>'[82]POS by sector '!$C$12</f>
        <v>707755</v>
      </c>
      <c r="P15" s="1268">
        <f>'[82]POS by sector '!$D$12</f>
        <v>4329240.3279999997</v>
      </c>
      <c r="Q15" s="1268">
        <f>'[83]POS by sector '!$C$12</f>
        <v>549462</v>
      </c>
      <c r="R15" s="1268">
        <f>'[83]POS by sector '!$D$12</f>
        <v>3122671.7760000001</v>
      </c>
      <c r="S15" s="1271" t="s">
        <v>1262</v>
      </c>
    </row>
    <row r="16" spans="1:19" ht="31.5" customHeight="1">
      <c r="A16" s="1266">
        <v>4</v>
      </c>
      <c r="B16" s="1270" t="s">
        <v>1263</v>
      </c>
      <c r="C16" s="1268">
        <f>'[76]POS by sector '!$C$13</f>
        <v>130064</v>
      </c>
      <c r="D16" s="1268">
        <f>'[76]POS by sector '!$D$13</f>
        <v>3163752.4699999988</v>
      </c>
      <c r="E16" s="1268">
        <f>'[77]POS by sector '!$C$13</f>
        <v>157046</v>
      </c>
      <c r="F16" s="1268">
        <f>'[77]POS by sector '!$D$13</f>
        <v>3714345.0130000012</v>
      </c>
      <c r="G16" s="1268">
        <f>'[78]POS by sector '!$C$13</f>
        <v>143111</v>
      </c>
      <c r="H16" s="1268">
        <f>'[78]POS by sector '!$D$13</f>
        <v>3445741.1859999998</v>
      </c>
      <c r="I16" s="1268">
        <f>'[79]POS by sector '!$C$13</f>
        <v>154721</v>
      </c>
      <c r="J16" s="1268">
        <f>'[79]POS by sector '!$D$13</f>
        <v>3641388.9349999996</v>
      </c>
      <c r="K16" s="1268">
        <f>'[80]POS by sector '!$C$13</f>
        <v>155038</v>
      </c>
      <c r="L16" s="1268">
        <f>'[80]POS by sector '!$D$13</f>
        <v>3665573.0240000002</v>
      </c>
      <c r="M16" s="1268">
        <f>'[81]POS by sector '!$C$13</f>
        <v>161826</v>
      </c>
      <c r="N16" s="1268">
        <f>'[81]POS by sector '!$D$13</f>
        <v>3662925.1239999998</v>
      </c>
      <c r="O16" s="1268">
        <f>'[82]POS by sector '!$C$13</f>
        <v>159778</v>
      </c>
      <c r="P16" s="1268">
        <f>'[82]POS by sector '!$D$13</f>
        <v>3587748.1399999997</v>
      </c>
      <c r="Q16" s="1268">
        <f>'[83]POS by sector '!$C$13</f>
        <v>129718</v>
      </c>
      <c r="R16" s="1268">
        <f>'[83]POS by sector '!$D$13</f>
        <v>2662635.6949999998</v>
      </c>
      <c r="S16" s="1271" t="s">
        <v>1264</v>
      </c>
    </row>
    <row r="17" spans="1:19" ht="31.5" customHeight="1">
      <c r="A17" s="1266">
        <v>5</v>
      </c>
      <c r="B17" s="1270" t="s">
        <v>1265</v>
      </c>
      <c r="C17" s="1268">
        <f>'[76]POS by sector '!$C$14</f>
        <v>87429</v>
      </c>
      <c r="D17" s="1268">
        <f>'[76]POS by sector '!$D$14</f>
        <v>4794572.0180000002</v>
      </c>
      <c r="E17" s="1268">
        <f>'[77]POS by sector '!$C$14</f>
        <v>111676</v>
      </c>
      <c r="F17" s="1268">
        <f>'[77]POS by sector '!$D$14</f>
        <v>5942164.3509999998</v>
      </c>
      <c r="G17" s="1268">
        <f>'[78]POS by sector '!$C$14</f>
        <v>98508</v>
      </c>
      <c r="H17" s="1268">
        <f>'[78]POS by sector '!$D$14</f>
        <v>5204139.3719999995</v>
      </c>
      <c r="I17" s="1268">
        <f>'[79]POS by sector '!$C$14</f>
        <v>100138</v>
      </c>
      <c r="J17" s="1268">
        <f>'[79]POS by sector '!$D$14</f>
        <v>5150150.03</v>
      </c>
      <c r="K17" s="1268">
        <f>'[80]POS by sector '!$C$14</f>
        <v>109201</v>
      </c>
      <c r="L17" s="1268">
        <f>'[80]POS by sector '!$D$14</f>
        <v>5522678.6029999992</v>
      </c>
      <c r="M17" s="1268">
        <f>'[81]POS by sector '!$C$14</f>
        <v>120460</v>
      </c>
      <c r="N17" s="1268">
        <f>'[81]POS by sector '!$D$14</f>
        <v>5362929.4119999995</v>
      </c>
      <c r="O17" s="1268">
        <f>'[82]POS by sector '!$C$14</f>
        <v>138233</v>
      </c>
      <c r="P17" s="1268">
        <f>'[82]POS by sector '!$D$14</f>
        <v>6000296.5159999998</v>
      </c>
      <c r="Q17" s="1268">
        <f>'[83]POS by sector '!$C$14</f>
        <v>154848</v>
      </c>
      <c r="R17" s="1268">
        <f>'[83]POS by sector '!$D$14</f>
        <v>6136701.0580000002</v>
      </c>
      <c r="S17" s="1271" t="s">
        <v>1266</v>
      </c>
    </row>
    <row r="18" spans="1:19" ht="47.25">
      <c r="A18" s="1266">
        <v>6</v>
      </c>
      <c r="B18" s="1270" t="s">
        <v>1267</v>
      </c>
      <c r="C18" s="1268">
        <f>'[76]POS by sector '!$C$15</f>
        <v>33528</v>
      </c>
      <c r="D18" s="1268">
        <f>'[76]POS by sector '!$D$15</f>
        <v>1274216.7</v>
      </c>
      <c r="E18" s="1268">
        <f>'[77]POS by sector '!$C$15</f>
        <v>50429</v>
      </c>
      <c r="F18" s="1268">
        <f>'[77]POS by sector '!$D$15</f>
        <v>1615500.8209999988</v>
      </c>
      <c r="G18" s="1268">
        <f>'[78]POS by sector '!$C$15</f>
        <v>57389</v>
      </c>
      <c r="H18" s="1268">
        <f>'[78]POS by sector '!$D$15</f>
        <v>1815757.9149999998</v>
      </c>
      <c r="I18" s="1268">
        <f>'[79]POS by sector '!$C$15</f>
        <v>65962</v>
      </c>
      <c r="J18" s="1268">
        <f>'[79]POS by sector '!$D$15</f>
        <v>1976505.5780000002</v>
      </c>
      <c r="K18" s="1268">
        <f>'[80]POS by sector '!$C$15</f>
        <v>67509</v>
      </c>
      <c r="L18" s="1268">
        <f>'[80]POS by sector '!$D$15</f>
        <v>2013684.1910000001</v>
      </c>
      <c r="M18" s="1268">
        <f>'[81]POS by sector '!$C$15</f>
        <v>67646</v>
      </c>
      <c r="N18" s="1268">
        <f>'[81]POS by sector '!$D$15</f>
        <v>1888543.6909999999</v>
      </c>
      <c r="O18" s="1268">
        <f>'[82]POS by sector '!$C$15</f>
        <v>78257</v>
      </c>
      <c r="P18" s="1268">
        <f>'[82]POS by sector '!$D$15</f>
        <v>2366080.4099999997</v>
      </c>
      <c r="Q18" s="1268">
        <f>'[83]POS by sector '!$C$15</f>
        <v>74855</v>
      </c>
      <c r="R18" s="1268">
        <f>'[83]POS by sector '!$D$15</f>
        <v>2112087.5980000002</v>
      </c>
      <c r="S18" s="1272" t="s">
        <v>1268</v>
      </c>
    </row>
    <row r="19" spans="1:19" ht="31.5" customHeight="1">
      <c r="A19" s="1266">
        <v>7</v>
      </c>
      <c r="B19" s="1270" t="s">
        <v>1269</v>
      </c>
      <c r="C19" s="1268">
        <f>'[76]POS by sector '!$C$16</f>
        <v>518143</v>
      </c>
      <c r="D19" s="1268">
        <f>'[76]POS by sector '!$D$16</f>
        <v>5238393.4179999856</v>
      </c>
      <c r="E19" s="1268">
        <f>'[77]POS by sector '!$C$16</f>
        <v>577983</v>
      </c>
      <c r="F19" s="1268">
        <f>'[77]POS by sector '!$D$16</f>
        <v>5445787.6299999841</v>
      </c>
      <c r="G19" s="1268">
        <f>'[78]POS by sector '!$C$16</f>
        <v>553153</v>
      </c>
      <c r="H19" s="1268">
        <f>'[78]POS by sector '!$D$16</f>
        <v>5168495.8279999997</v>
      </c>
      <c r="I19" s="1268">
        <f>'[79]POS by sector '!$C$16</f>
        <v>568087</v>
      </c>
      <c r="J19" s="1268">
        <f>'[79]POS by sector '!$D$16</f>
        <v>5472977.5710000005</v>
      </c>
      <c r="K19" s="1268">
        <f>'[80]POS by sector '!$C$16</f>
        <v>587093</v>
      </c>
      <c r="L19" s="1268">
        <f>'[80]POS by sector '!$D$16</f>
        <v>5607169.1310000001</v>
      </c>
      <c r="M19" s="1268">
        <f>'[81]POS by sector '!$C$16</f>
        <v>614820</v>
      </c>
      <c r="N19" s="1268">
        <f>'[81]POS by sector '!$D$16</f>
        <v>5934758.4110000003</v>
      </c>
      <c r="O19" s="1268">
        <f>'[82]POS by sector '!$C$16</f>
        <v>761688</v>
      </c>
      <c r="P19" s="1268">
        <f>'[82]POS by sector '!$D$16</f>
        <v>9137958.9109999985</v>
      </c>
      <c r="Q19" s="1268">
        <f>'[83]POS by sector '!$C$16</f>
        <v>762083</v>
      </c>
      <c r="R19" s="1268">
        <f>'[83]POS by sector '!$D$16</f>
        <v>8934834.5120000001</v>
      </c>
      <c r="S19" s="1271" t="s">
        <v>1270</v>
      </c>
    </row>
    <row r="20" spans="1:19" ht="31.5" customHeight="1">
      <c r="A20" s="1266">
        <v>8</v>
      </c>
      <c r="B20" s="1270" t="s">
        <v>1271</v>
      </c>
      <c r="C20" s="1268">
        <f>'[76]POS by sector '!$C$17</f>
        <v>11262</v>
      </c>
      <c r="D20" s="1268">
        <f>'[76]POS by sector '!$D$17</f>
        <v>1112149.3</v>
      </c>
      <c r="E20" s="1268">
        <f>'[77]POS by sector '!$C$17</f>
        <v>14780</v>
      </c>
      <c r="F20" s="1268">
        <f>'[77]POS by sector '!$D$17</f>
        <v>1581356.3210000002</v>
      </c>
      <c r="G20" s="1268">
        <f>'[78]POS by sector '!$C$17</f>
        <v>19215</v>
      </c>
      <c r="H20" s="1268">
        <f>'[78]POS by sector '!$D$17</f>
        <v>2735096.713</v>
      </c>
      <c r="I20" s="1268">
        <f>'[79]POS by sector '!$C$17</f>
        <v>21020</v>
      </c>
      <c r="J20" s="1268">
        <f>'[79]POS by sector '!$D$17</f>
        <v>2489769.1320000002</v>
      </c>
      <c r="K20" s="1268">
        <f>'[80]POS by sector '!$C$17</f>
        <v>16531</v>
      </c>
      <c r="L20" s="1268">
        <f>'[80]POS by sector '!$D$17</f>
        <v>1817716.9910000002</v>
      </c>
      <c r="M20" s="1268">
        <f>'[81]POS by sector '!$C$17</f>
        <v>16538</v>
      </c>
      <c r="N20" s="1268">
        <f>'[81]POS by sector '!$D$17</f>
        <v>1831923.8840000001</v>
      </c>
      <c r="O20" s="1268">
        <f>'[82]POS by sector '!$C$17</f>
        <v>19658</v>
      </c>
      <c r="P20" s="1268">
        <f>'[82]POS by sector '!$D$17</f>
        <v>2389420.7980000004</v>
      </c>
      <c r="Q20" s="1268">
        <f>'[83]POS by sector '!$C$17</f>
        <v>5794</v>
      </c>
      <c r="R20" s="1268">
        <f>'[83]POS by sector '!$D$17</f>
        <v>825031.91200000001</v>
      </c>
      <c r="S20" s="1271" t="s">
        <v>1272</v>
      </c>
    </row>
    <row r="21" spans="1:19" ht="31.5" customHeight="1">
      <c r="A21" s="1266">
        <v>9</v>
      </c>
      <c r="B21" s="1270" t="s">
        <v>1273</v>
      </c>
      <c r="C21" s="1268">
        <f>'[76]POS by sector '!$C$18</f>
        <v>461719</v>
      </c>
      <c r="D21" s="1268">
        <f>'[76]POS by sector '!$D$18</f>
        <v>9017494.8789999876</v>
      </c>
      <c r="E21" s="1268">
        <f>'[77]POS by sector '!$C$18</f>
        <v>475482</v>
      </c>
      <c r="F21" s="1268">
        <f>'[77]POS by sector '!$D$18</f>
        <v>8947925.7639999334</v>
      </c>
      <c r="G21" s="1268">
        <f>'[78]POS by sector '!$C$18</f>
        <v>452729</v>
      </c>
      <c r="H21" s="1268">
        <f>'[78]POS by sector '!$D$18</f>
        <v>8442520.2750000004</v>
      </c>
      <c r="I21" s="1268">
        <f>'[79]POS by sector '!$C$18</f>
        <v>483371</v>
      </c>
      <c r="J21" s="1268">
        <f>'[79]POS by sector '!$D$18</f>
        <v>9030187.3990000002</v>
      </c>
      <c r="K21" s="1268">
        <f>'[80]POS by sector '!$C$18</f>
        <v>497674</v>
      </c>
      <c r="L21" s="1268">
        <f>'[80]POS by sector '!$D$18</f>
        <v>9035162.347000001</v>
      </c>
      <c r="M21" s="1268">
        <f>'[81]POS by sector '!$C$18</f>
        <v>484631</v>
      </c>
      <c r="N21" s="1268">
        <f>'[81]POS by sector '!$D$18</f>
        <v>9004965.5429999996</v>
      </c>
      <c r="O21" s="1268">
        <f>'[82]POS by sector '!$C$18</f>
        <v>565385</v>
      </c>
      <c r="P21" s="1268">
        <f>'[82]POS by sector '!$D$18</f>
        <v>13457148.024</v>
      </c>
      <c r="Q21" s="1268">
        <f>'[83]POS by sector '!$C$18</f>
        <v>590120</v>
      </c>
      <c r="R21" s="1268">
        <f>'[83]POS by sector '!$D$18</f>
        <v>13910680.541999999</v>
      </c>
      <c r="S21" s="1271" t="s">
        <v>1274</v>
      </c>
    </row>
    <row r="22" spans="1:19" ht="31.5" customHeight="1">
      <c r="A22" s="1266">
        <v>10</v>
      </c>
      <c r="B22" s="1270" t="s">
        <v>1275</v>
      </c>
      <c r="C22" s="1268">
        <f>'[76]POS by sector '!$C$19</f>
        <v>176560</v>
      </c>
      <c r="D22" s="1268">
        <f>'[76]POS by sector '!$D$19</f>
        <v>3694297.7029999993</v>
      </c>
      <c r="E22" s="1268">
        <f>'[77]POS by sector '!$C$19</f>
        <v>188960</v>
      </c>
      <c r="F22" s="1268">
        <f>'[77]POS by sector '!$D$19</f>
        <v>4055047.8039999995</v>
      </c>
      <c r="G22" s="1268">
        <f>'[78]POS by sector '!$C$19</f>
        <v>216832</v>
      </c>
      <c r="H22" s="1268">
        <f>'[78]POS by sector '!$D$19</f>
        <v>4907110.7089999998</v>
      </c>
      <c r="I22" s="1268">
        <f>'[79]POS by sector '!$C$19</f>
        <v>282025</v>
      </c>
      <c r="J22" s="1268">
        <f>'[79]POS by sector '!$D$19</f>
        <v>6208504.0060000001</v>
      </c>
      <c r="K22" s="1268">
        <f>'[80]POS by sector '!$C$19</f>
        <v>243186</v>
      </c>
      <c r="L22" s="1268">
        <f>'[80]POS by sector '!$D$19</f>
        <v>4952519.3879999993</v>
      </c>
      <c r="M22" s="1268">
        <f>'[81]POS by sector '!$C$19</f>
        <v>183844</v>
      </c>
      <c r="N22" s="1268">
        <f>'[81]POS by sector '!$D$19</f>
        <v>4016126.889</v>
      </c>
      <c r="O22" s="1268">
        <f>'[82]POS by sector '!$C$19</f>
        <v>142267</v>
      </c>
      <c r="P22" s="1268">
        <f>'[82]POS by sector '!$D$19</f>
        <v>3294870.0049999999</v>
      </c>
      <c r="Q22" s="1268">
        <f>'[83]POS by sector '!$C$19</f>
        <v>105297</v>
      </c>
      <c r="R22" s="1268">
        <f>'[83]POS by sector '!$D$19</f>
        <v>2470398.2489999998</v>
      </c>
      <c r="S22" s="1271" t="s">
        <v>1276</v>
      </c>
    </row>
    <row r="23" spans="1:19" ht="31.5" customHeight="1">
      <c r="A23" s="1266">
        <v>11</v>
      </c>
      <c r="B23" s="1270" t="s">
        <v>1277</v>
      </c>
      <c r="C23" s="1268">
        <f>'[76]POS by sector '!$C$20</f>
        <v>28656</v>
      </c>
      <c r="D23" s="1268">
        <f>'[76]POS by sector '!$D$20</f>
        <v>1364134.9259999972</v>
      </c>
      <c r="E23" s="1268">
        <f>'[77]POS by sector '!$C$20</f>
        <v>33896</v>
      </c>
      <c r="F23" s="1268">
        <f>'[77]POS by sector '!$D$20</f>
        <v>1575747.51399999</v>
      </c>
      <c r="G23" s="1268">
        <f>'[78]POS by sector '!$C$20</f>
        <v>34900</v>
      </c>
      <c r="H23" s="1268">
        <f>'[78]POS by sector '!$D$20</f>
        <v>1702534.673</v>
      </c>
      <c r="I23" s="1268">
        <f>'[79]POS by sector '!$C$20</f>
        <v>37913</v>
      </c>
      <c r="J23" s="1268">
        <f>'[79]POS by sector '!$D$20</f>
        <v>1774538.736</v>
      </c>
      <c r="K23" s="1268">
        <f>'[80]POS by sector '!$C$20</f>
        <v>34606</v>
      </c>
      <c r="L23" s="1268">
        <f>'[80]POS by sector '!$D$20</f>
        <v>1479361.9350000001</v>
      </c>
      <c r="M23" s="1268">
        <f>'[81]POS by sector '!$C$20</f>
        <v>32592</v>
      </c>
      <c r="N23" s="1268">
        <f>'[81]POS by sector '!$D$20</f>
        <v>1460863.0589999999</v>
      </c>
      <c r="O23" s="1268">
        <f>'[82]POS by sector '!$C$20</f>
        <v>37538</v>
      </c>
      <c r="P23" s="1268">
        <f>'[82]POS by sector '!$D$20</f>
        <v>1921336.48</v>
      </c>
      <c r="Q23" s="1268">
        <f>'[83]POS by sector '!$C$20</f>
        <v>28000</v>
      </c>
      <c r="R23" s="1268">
        <f>'[83]POS by sector '!$D$20</f>
        <v>1393237.905</v>
      </c>
      <c r="S23" s="1271" t="s">
        <v>1278</v>
      </c>
    </row>
    <row r="24" spans="1:19" ht="30" customHeight="1">
      <c r="A24" s="1266">
        <v>12</v>
      </c>
      <c r="B24" s="1270" t="s">
        <v>1279</v>
      </c>
      <c r="C24" s="1268">
        <f>'[76]POS by sector '!$C$21</f>
        <v>15167</v>
      </c>
      <c r="D24" s="1268">
        <f>'[76]POS by sector '!$D$21</f>
        <v>1276108.6909999999</v>
      </c>
      <c r="E24" s="1268">
        <f>'[77]POS by sector '!$C$21</f>
        <v>18913</v>
      </c>
      <c r="F24" s="1268">
        <f>'[77]POS by sector '!$D$21</f>
        <v>1563859.4980000001</v>
      </c>
      <c r="G24" s="1268">
        <f>'[78]POS by sector '!$C$21</f>
        <v>15631</v>
      </c>
      <c r="H24" s="1268">
        <f>'[78]POS by sector '!$D$21</f>
        <v>1320303.2349999999</v>
      </c>
      <c r="I24" s="1268">
        <f>'[79]POS by sector '!$C$21</f>
        <v>17392</v>
      </c>
      <c r="J24" s="1268">
        <f>'[79]POS by sector '!$D$21</f>
        <v>1547833.3609999998</v>
      </c>
      <c r="K24" s="1268">
        <f>'[80]POS by sector '!$C$21</f>
        <v>18181</v>
      </c>
      <c r="L24" s="1268">
        <f>'[80]POS by sector '!$D$21</f>
        <v>1582566.047</v>
      </c>
      <c r="M24" s="1268">
        <f>'[81]POS by sector '!$C$21</f>
        <v>15928</v>
      </c>
      <c r="N24" s="1268">
        <f>'[81]POS by sector '!$D$21</f>
        <v>1322138.9290000002</v>
      </c>
      <c r="O24" s="1268">
        <f>'[82]POS by sector '!$C$21</f>
        <v>17804</v>
      </c>
      <c r="P24" s="1268">
        <f>'[82]POS by sector '!$D$21</f>
        <v>1531920.6950000001</v>
      </c>
      <c r="Q24" s="1268">
        <f>'[83]POS by sector '!$C$21</f>
        <v>15048</v>
      </c>
      <c r="R24" s="1268">
        <f>'[83]POS by sector '!$D$21</f>
        <v>1339232.4419999998</v>
      </c>
      <c r="S24" s="1271" t="s">
        <v>1280</v>
      </c>
    </row>
    <row r="25" spans="1:19" ht="31.5" customHeight="1">
      <c r="A25" s="1266">
        <v>13</v>
      </c>
      <c r="B25" s="1270" t="s">
        <v>1281</v>
      </c>
      <c r="C25" s="1268">
        <f>'[76]POS by sector '!$C$22</f>
        <v>32012</v>
      </c>
      <c r="D25" s="1268">
        <f>'[76]POS by sector '!$D$22</f>
        <v>1049125.8619999997</v>
      </c>
      <c r="E25" s="1268">
        <f>'[77]POS by sector '!$C$22</f>
        <v>38708</v>
      </c>
      <c r="F25" s="1268">
        <f>'[77]POS by sector '!$D$22</f>
        <v>1332370.3609999996</v>
      </c>
      <c r="G25" s="1268">
        <f>'[78]POS by sector '!$C$22</f>
        <v>34904</v>
      </c>
      <c r="H25" s="1268">
        <f>'[78]POS by sector '!$D$22</f>
        <v>1240819.2169999999</v>
      </c>
      <c r="I25" s="1268">
        <f>'[79]POS by sector '!$C$22</f>
        <v>37888</v>
      </c>
      <c r="J25" s="1268">
        <f>'[79]POS by sector '!$D$22</f>
        <v>1293738.665</v>
      </c>
      <c r="K25" s="1268">
        <f>'[80]POS by sector '!$C$22</f>
        <v>39811</v>
      </c>
      <c r="L25" s="1268">
        <f>'[80]POS by sector '!$D$22</f>
        <v>1300243.348</v>
      </c>
      <c r="M25" s="1268">
        <f>'[81]POS by sector '!$C$22</f>
        <v>37726</v>
      </c>
      <c r="N25" s="1268">
        <f>'[81]POS by sector '!$D$22</f>
        <v>1230886.1839999999</v>
      </c>
      <c r="O25" s="1268">
        <f>'[82]POS by sector '!$C$22</f>
        <v>35963</v>
      </c>
      <c r="P25" s="1268">
        <f>'[82]POS by sector '!$D$22</f>
        <v>1169358.365</v>
      </c>
      <c r="Q25" s="1268">
        <f>'[83]POS by sector '!$C$22</f>
        <v>22128</v>
      </c>
      <c r="R25" s="1268">
        <f>'[83]POS by sector '!$D$22</f>
        <v>768166.04799999995</v>
      </c>
      <c r="S25" s="1271" t="s">
        <v>1282</v>
      </c>
    </row>
    <row r="26" spans="1:19" ht="31.5" customHeight="1">
      <c r="A26" s="1266">
        <v>14</v>
      </c>
      <c r="B26" s="1270" t="s">
        <v>1283</v>
      </c>
      <c r="C26" s="1268">
        <f>'[76]POS by sector '!$C$23</f>
        <v>44823</v>
      </c>
      <c r="D26" s="1268">
        <f>'[76]POS by sector '!$D$23</f>
        <v>401527.31700000004</v>
      </c>
      <c r="E26" s="1268">
        <f>'[77]POS by sector '!$C$23</f>
        <v>52303</v>
      </c>
      <c r="F26" s="1268">
        <f>'[77]POS by sector '!$D$23</f>
        <v>475145.68800000002</v>
      </c>
      <c r="G26" s="1268">
        <f>'[78]POS by sector '!$C$23</f>
        <v>48793</v>
      </c>
      <c r="H26" s="1268">
        <f>'[78]POS by sector '!$D$23</f>
        <v>437937.20599999995</v>
      </c>
      <c r="I26" s="1268">
        <f>'[79]POS by sector '!$C$23</f>
        <v>50784</v>
      </c>
      <c r="J26" s="1268">
        <f>'[79]POS by sector '!$D$23</f>
        <v>487036.11</v>
      </c>
      <c r="K26" s="1268">
        <f>'[80]POS by sector '!$C$23</f>
        <v>44863</v>
      </c>
      <c r="L26" s="1268">
        <f>'[80]POS by sector '!$D$23</f>
        <v>439347.022</v>
      </c>
      <c r="M26" s="1268">
        <f>'[81]POS by sector '!$C$23</f>
        <v>22266</v>
      </c>
      <c r="N26" s="1268">
        <f>'[81]POS by sector '!$D$23</f>
        <v>274242.89499999996</v>
      </c>
      <c r="O26" s="1268">
        <f>'[82]POS by sector '!$C$23</f>
        <v>9205</v>
      </c>
      <c r="P26" s="1268">
        <f>'[82]POS by sector '!$D$23</f>
        <v>216188.25899999999</v>
      </c>
      <c r="Q26" s="1268">
        <f>'[83]POS by sector '!$C$23</f>
        <v>7309</v>
      </c>
      <c r="R26" s="1268">
        <f>'[83]POS by sector '!$D$23</f>
        <v>214346.52100000001</v>
      </c>
      <c r="S26" s="1271" t="s">
        <v>1284</v>
      </c>
    </row>
    <row r="27" spans="1:19" ht="31.5">
      <c r="A27" s="1266">
        <v>15</v>
      </c>
      <c r="B27" s="1270" t="s">
        <v>1285</v>
      </c>
      <c r="C27" s="1268">
        <f>'[76]POS by sector '!$C$24</f>
        <v>32854</v>
      </c>
      <c r="D27" s="1268">
        <f>'[76]POS by sector '!$D$24</f>
        <v>1207926.4389999998</v>
      </c>
      <c r="E27" s="1268">
        <f>'[77]POS by sector '!$C$24</f>
        <v>44860</v>
      </c>
      <c r="F27" s="1268">
        <f>'[77]POS by sector '!$D$24</f>
        <v>1461919.6740000017</v>
      </c>
      <c r="G27" s="1268">
        <f>'[78]POS by sector '!$C$24</f>
        <v>58835</v>
      </c>
      <c r="H27" s="1268">
        <f>'[78]POS by sector '!$D$24</f>
        <v>1385370.8959999999</v>
      </c>
      <c r="I27" s="1268">
        <f>'[79]POS by sector '!$C$24</f>
        <v>63310</v>
      </c>
      <c r="J27" s="1268">
        <f>'[79]POS by sector '!$D$24</f>
        <v>1488914.6169999999</v>
      </c>
      <c r="K27" s="1268">
        <f>'[80]POS by sector '!$C$24</f>
        <v>63259</v>
      </c>
      <c r="L27" s="1268">
        <f>'[80]POS by sector '!$D$24</f>
        <v>1557396.575</v>
      </c>
      <c r="M27" s="1268">
        <f>'[81]POS by sector '!$C$24</f>
        <v>65603</v>
      </c>
      <c r="N27" s="1268">
        <f>'[81]POS by sector '!$D$24</f>
        <v>1512006.415</v>
      </c>
      <c r="O27" s="1268">
        <f>'[82]POS by sector '!$C$24</f>
        <v>66506</v>
      </c>
      <c r="P27" s="1268">
        <f>'[82]POS by sector '!$D$24</f>
        <v>1751836.45</v>
      </c>
      <c r="Q27" s="1268">
        <f>'[83]POS by sector '!$C$24</f>
        <v>64789</v>
      </c>
      <c r="R27" s="1268">
        <f>'[83]POS by sector '!$D$24</f>
        <v>1401280.8629999999</v>
      </c>
      <c r="S27" s="1271" t="s">
        <v>1286</v>
      </c>
    </row>
    <row r="28" spans="1:19" ht="31.5" customHeight="1">
      <c r="A28" s="1266">
        <v>16</v>
      </c>
      <c r="B28" s="1270" t="s">
        <v>1287</v>
      </c>
      <c r="C28" s="1268">
        <f>'[76]POS by sector '!$C$25</f>
        <v>3538</v>
      </c>
      <c r="D28" s="1268">
        <f>'[76]POS by sector '!$D$25</f>
        <v>581482.78599999996</v>
      </c>
      <c r="E28" s="1268">
        <f>'[77]POS by sector '!$C$25</f>
        <v>4064</v>
      </c>
      <c r="F28" s="1268">
        <f>'[77]POS by sector '!$D$25</f>
        <v>622424.75699999998</v>
      </c>
      <c r="G28" s="1268">
        <f>'[78]POS by sector '!$C$25</f>
        <v>3735</v>
      </c>
      <c r="H28" s="1268">
        <f>'[78]POS by sector '!$D$25</f>
        <v>598641.83900000004</v>
      </c>
      <c r="I28" s="1268">
        <f>'[79]POS by sector '!$C$25</f>
        <v>4071</v>
      </c>
      <c r="J28" s="1268">
        <f>'[79]POS by sector '!$D$25</f>
        <v>809431.23499999999</v>
      </c>
      <c r="K28" s="1268">
        <f>'[80]POS by sector '!$C$25</f>
        <v>4222</v>
      </c>
      <c r="L28" s="1268">
        <f>'[80]POS by sector '!$D$25</f>
        <v>785828.35700000008</v>
      </c>
      <c r="M28" s="1268">
        <f>'[81]POS by sector '!$C$25</f>
        <v>2980</v>
      </c>
      <c r="N28" s="1268">
        <f>'[81]POS by sector '!$D$25</f>
        <v>470522.80900000001</v>
      </c>
      <c r="O28" s="1268">
        <f>'[82]POS by sector '!$C$25</f>
        <v>1815</v>
      </c>
      <c r="P28" s="1268">
        <f>'[82]POS by sector '!$D$25</f>
        <v>228889.97700000001</v>
      </c>
      <c r="Q28" s="1268">
        <f>'[83]POS by sector '!$C$25</f>
        <v>2237</v>
      </c>
      <c r="R28" s="1268">
        <f>'[83]POS by sector '!$D$25</f>
        <v>55630.414999999994</v>
      </c>
      <c r="S28" s="1272" t="s">
        <v>1288</v>
      </c>
    </row>
    <row r="29" spans="1:19" ht="31.5" customHeight="1">
      <c r="A29" s="1266">
        <v>17</v>
      </c>
      <c r="B29" s="1270" t="s">
        <v>1289</v>
      </c>
      <c r="C29" s="1268">
        <f>'[76]POS by sector '!$C$26</f>
        <v>67282</v>
      </c>
      <c r="D29" s="1268">
        <f>'[76]POS by sector '!$D$26</f>
        <v>1090549.0079999992</v>
      </c>
      <c r="E29" s="1268">
        <f>'[77]POS by sector '!$C$26</f>
        <v>85307</v>
      </c>
      <c r="F29" s="1268">
        <f>'[77]POS by sector '!$D$26</f>
        <v>1245308.915999999</v>
      </c>
      <c r="G29" s="1268">
        <f>'[78]POS by sector '!$C$26</f>
        <v>63497</v>
      </c>
      <c r="H29" s="1268">
        <f>'[78]POS by sector '!$D$26</f>
        <v>1000528.7080000001</v>
      </c>
      <c r="I29" s="1268">
        <f>'[79]POS by sector '!$C$26</f>
        <v>74495</v>
      </c>
      <c r="J29" s="1268">
        <f>'[79]POS by sector '!$D$26</f>
        <v>1115568.341</v>
      </c>
      <c r="K29" s="1268">
        <f>'[80]POS by sector '!$C$26</f>
        <v>76213</v>
      </c>
      <c r="L29" s="1268">
        <f>'[80]POS by sector '!$D$26</f>
        <v>1126527.912</v>
      </c>
      <c r="M29" s="1268">
        <f>'[81]POS by sector '!$C$26</f>
        <v>62046</v>
      </c>
      <c r="N29" s="1268">
        <f>'[81]POS by sector '!$D$26</f>
        <v>979637.9</v>
      </c>
      <c r="O29" s="1268">
        <f>'[82]POS by sector '!$C$26</f>
        <v>32864</v>
      </c>
      <c r="P29" s="1268">
        <f>'[82]POS by sector '!$D$26</f>
        <v>611874.78700000001</v>
      </c>
      <c r="Q29" s="1268">
        <f>'[83]POS by sector '!$C$26</f>
        <v>9289</v>
      </c>
      <c r="R29" s="1268">
        <f>'[83]POS by sector '!$D$26</f>
        <v>239193.56400000001</v>
      </c>
      <c r="S29" s="1271" t="s">
        <v>1290</v>
      </c>
    </row>
    <row r="30" spans="1:19" ht="46.5" customHeight="1">
      <c r="A30" s="1266">
        <v>18</v>
      </c>
      <c r="B30" s="1270" t="s">
        <v>1291</v>
      </c>
      <c r="C30" s="1268">
        <f>'[76]POS by sector '!$C$27</f>
        <v>16427</v>
      </c>
      <c r="D30" s="1268">
        <f>'[76]POS by sector '!$D$27</f>
        <v>1069728.9160000011</v>
      </c>
      <c r="E30" s="1268">
        <f>'[77]POS by sector '!$C$27</f>
        <v>18280</v>
      </c>
      <c r="F30" s="1268">
        <f>'[77]POS by sector '!$D$27</f>
        <v>1222432.8680000005</v>
      </c>
      <c r="G30" s="1268">
        <f>'[78]POS by sector '!$C$27</f>
        <v>18060</v>
      </c>
      <c r="H30" s="1268">
        <f>'[78]POS by sector '!$D$27</f>
        <v>1114832.3099999998</v>
      </c>
      <c r="I30" s="1268">
        <f>'[79]POS by sector '!$C$27</f>
        <v>22566</v>
      </c>
      <c r="J30" s="1268">
        <f>'[79]POS by sector '!$D$27</f>
        <v>1426643.73</v>
      </c>
      <c r="K30" s="1268">
        <f>'[80]POS by sector '!$C$27</f>
        <v>20313</v>
      </c>
      <c r="L30" s="1268">
        <f>'[80]POS by sector '!$D$27</f>
        <v>1291290.77</v>
      </c>
      <c r="M30" s="1268">
        <f>'[81]POS by sector '!$C$27</f>
        <v>17888</v>
      </c>
      <c r="N30" s="1268">
        <f>'[81]POS by sector '!$D$27</f>
        <v>1186152.8329999999</v>
      </c>
      <c r="O30" s="1268">
        <f>'[82]POS by sector '!$C$27</f>
        <v>17975</v>
      </c>
      <c r="P30" s="1268">
        <f>'[82]POS by sector '!$D$27</f>
        <v>1342334.6229999999</v>
      </c>
      <c r="Q30" s="1268">
        <f>'[83]POS by sector '!$C$27</f>
        <v>15180</v>
      </c>
      <c r="R30" s="1268">
        <f>'[83]POS by sector '!$D$27</f>
        <v>1076343.0629999998</v>
      </c>
      <c r="S30" s="1271" t="s">
        <v>1292</v>
      </c>
    </row>
    <row r="31" spans="1:19" ht="31.5" customHeight="1">
      <c r="A31" s="1266">
        <v>19</v>
      </c>
      <c r="B31" s="1270" t="s">
        <v>1293</v>
      </c>
      <c r="C31" s="1268">
        <f>'[76]POS by sector '!$C$28</f>
        <v>7294</v>
      </c>
      <c r="D31" s="1268">
        <f>'[76]POS by sector '!$D$28</f>
        <v>98444.450000000012</v>
      </c>
      <c r="E31" s="1268">
        <f>'[77]POS by sector '!$C$28</f>
        <v>6415</v>
      </c>
      <c r="F31" s="1268">
        <f>'[77]POS by sector '!$D$28</f>
        <v>74194.116000000053</v>
      </c>
      <c r="G31" s="1268">
        <f>'[78]POS by sector '!$C$28</f>
        <v>5305</v>
      </c>
      <c r="H31" s="1268">
        <f>'[78]POS by sector '!$D$28</f>
        <v>57052.202000000005</v>
      </c>
      <c r="I31" s="1268">
        <f>'[79]POS by sector '!$C$28</f>
        <v>5091</v>
      </c>
      <c r="J31" s="1268">
        <f>'[79]POS by sector '!$D$28</f>
        <v>56960.791000000005</v>
      </c>
      <c r="K31" s="1268">
        <f>'[80]POS by sector '!$C$28</f>
        <v>5307</v>
      </c>
      <c r="L31" s="1268">
        <f>'[80]POS by sector '!$D$28</f>
        <v>66013.318999999989</v>
      </c>
      <c r="M31" s="1268">
        <f>'[81]POS by sector '!$C$28</f>
        <v>6016</v>
      </c>
      <c r="N31" s="1268">
        <f>'[81]POS by sector '!$D$28</f>
        <v>64682.565000000002</v>
      </c>
      <c r="O31" s="1268">
        <f>'[82]POS by sector '!$C$28</f>
        <v>6316</v>
      </c>
      <c r="P31" s="1268">
        <f>'[82]POS by sector '!$D$28</f>
        <v>78824.481</v>
      </c>
      <c r="Q31" s="1268">
        <f>'[83]POS by sector '!$C$28</f>
        <v>6761</v>
      </c>
      <c r="R31" s="1268">
        <f>'[83]POS by sector '!$D$28</f>
        <v>64094.798000000003</v>
      </c>
      <c r="S31" s="1271" t="s">
        <v>1294</v>
      </c>
    </row>
    <row r="32" spans="1:19" ht="31.5" customHeight="1">
      <c r="A32" s="1266">
        <v>20</v>
      </c>
      <c r="B32" s="1270" t="s">
        <v>1295</v>
      </c>
      <c r="C32" s="1268">
        <f>'[76]POS by sector '!$C$29</f>
        <v>784111</v>
      </c>
      <c r="D32" s="1268">
        <f>'[76]POS by sector '!$D$29</f>
        <v>17656247.403999999</v>
      </c>
      <c r="E32" s="1268">
        <f>'[77]POS by sector '!$C$29</f>
        <v>881983</v>
      </c>
      <c r="F32" s="1268">
        <f>'[77]POS by sector '!$D$29</f>
        <v>18627533.958000001</v>
      </c>
      <c r="G32" s="1268">
        <f>'[78]POS by sector '!$C$29</f>
        <v>831133</v>
      </c>
      <c r="H32" s="1268">
        <f>'[78]POS by sector '!$D$29</f>
        <v>17858061.576000001</v>
      </c>
      <c r="I32" s="1268">
        <f>'[79]POS by sector '!$C$29</f>
        <v>922614</v>
      </c>
      <c r="J32" s="1268">
        <f>'[79]POS by sector '!$D$29</f>
        <v>20574236.561000001</v>
      </c>
      <c r="K32" s="1268">
        <f>'[80]POS by sector '!$C$29</f>
        <v>907554</v>
      </c>
      <c r="L32" s="1268">
        <f>'[80]POS by sector '!$D$29</f>
        <v>20071330.426000003</v>
      </c>
      <c r="M32" s="1268">
        <f>'[81]POS by sector '!$C$29</f>
        <v>859897</v>
      </c>
      <c r="N32" s="1268">
        <f>'[81]POS by sector '!$D$29</f>
        <v>20425547.658999998</v>
      </c>
      <c r="O32" s="1268">
        <f>'[82]POS by sector '!$C$29</f>
        <v>812947</v>
      </c>
      <c r="P32" s="1268">
        <f>'[82]POS by sector '!$D$29</f>
        <v>26394506.685000002</v>
      </c>
      <c r="Q32" s="1268">
        <f>'[83]POS by sector '!$C$29</f>
        <v>583089</v>
      </c>
      <c r="R32" s="1268">
        <f>'[83]POS by sector '!$D$29</f>
        <v>19474703.183000002</v>
      </c>
      <c r="S32" s="1271" t="s">
        <v>1296</v>
      </c>
    </row>
    <row r="33" spans="1:19" s="1277" customFormat="1" ht="31.5" customHeight="1">
      <c r="A33" s="1273"/>
      <c r="B33" s="1274" t="s">
        <v>378</v>
      </c>
      <c r="C33" s="1275">
        <f>'[76]POS by sector '!$C$30</f>
        <v>3044935</v>
      </c>
      <c r="D33" s="1275">
        <f>'[76]POS by sector '!$D$30</f>
        <v>59749881.219999984</v>
      </c>
      <c r="E33" s="1275">
        <f>'[77]POS by sector '!$C$30</f>
        <v>3470509</v>
      </c>
      <c r="F33" s="1275">
        <f>'[77]POS by sector '!$D$30</f>
        <v>65223650.706999913</v>
      </c>
      <c r="G33" s="1275">
        <f>'[78]POS by sector '!$C$30</f>
        <v>3366782</v>
      </c>
      <c r="H33" s="1275">
        <f>'[78]POS by sector '!$D$30</f>
        <v>64034535.950000003</v>
      </c>
      <c r="I33" s="1275">
        <f>'[79]POS by sector '!$C$30</f>
        <v>3719859</v>
      </c>
      <c r="J33" s="1275">
        <f>'[79]POS by sector '!$D$30</f>
        <v>71206411.775000006</v>
      </c>
      <c r="K33" s="1275">
        <f>'[80]POS by sector '!$C$30</f>
        <v>3704108</v>
      </c>
      <c r="L33" s="1275">
        <f>'[80]POS by sector '!$D$30</f>
        <v>69360313.375</v>
      </c>
      <c r="M33" s="1275">
        <f>'[81]POS by sector '!$C$30</f>
        <v>3574198</v>
      </c>
      <c r="N33" s="1275">
        <f>'[81]POS by sector '!$D$30</f>
        <v>67148402.436999992</v>
      </c>
      <c r="O33" s="1275">
        <f>'[82]POS by sector '!$C$30</f>
        <v>3624093</v>
      </c>
      <c r="P33" s="1275">
        <f>'[82]POS by sector '!$D$30</f>
        <v>80436725.894000009</v>
      </c>
      <c r="Q33" s="1275">
        <f>'[83]POS by sector '!$C$30</f>
        <v>3132659</v>
      </c>
      <c r="R33" s="1275">
        <f>'[83]POS by sector '!$D$30</f>
        <v>66988945.319999993</v>
      </c>
      <c r="S33" s="1276" t="s">
        <v>367</v>
      </c>
    </row>
    <row r="34" spans="1:19" ht="27.75" customHeight="1">
      <c r="A34" s="1278" t="s">
        <v>1297</v>
      </c>
      <c r="B34" s="1279"/>
      <c r="C34" s="1280"/>
      <c r="D34" s="1280"/>
      <c r="E34" s="1280"/>
      <c r="F34" s="1280"/>
      <c r="G34" s="1280"/>
      <c r="H34" s="1280"/>
      <c r="I34" s="1280"/>
      <c r="J34" s="1280"/>
      <c r="K34" s="1280"/>
      <c r="L34" s="1280"/>
      <c r="M34" s="1280"/>
      <c r="N34" s="1280"/>
      <c r="O34" s="1280"/>
      <c r="P34" s="1280"/>
      <c r="Q34" s="1280"/>
      <c r="R34" s="1280"/>
      <c r="S34" s="1281" t="s">
        <v>1298</v>
      </c>
    </row>
    <row r="35" spans="1:19" ht="18">
      <c r="A35" s="1278" t="s">
        <v>1299</v>
      </c>
      <c r="B35" s="1279"/>
      <c r="C35" s="1280"/>
      <c r="D35" s="1280"/>
      <c r="E35" s="1280"/>
      <c r="F35" s="1280"/>
      <c r="G35" s="1280"/>
      <c r="H35" s="1280"/>
      <c r="I35" s="1280"/>
      <c r="J35" s="1280"/>
      <c r="K35" s="1280"/>
      <c r="L35" s="1280"/>
      <c r="M35" s="1280"/>
      <c r="N35" s="1280"/>
      <c r="O35" s="1280"/>
      <c r="P35" s="1280"/>
      <c r="Q35" s="1280"/>
      <c r="R35" s="1280"/>
      <c r="S35" s="1281" t="s">
        <v>1300</v>
      </c>
    </row>
    <row r="36" spans="1:19" ht="18">
      <c r="A36" s="1278"/>
      <c r="B36" s="1279"/>
      <c r="C36" s="1280"/>
      <c r="D36" s="1280"/>
      <c r="E36" s="1280"/>
      <c r="F36" s="1280"/>
      <c r="G36" s="1280"/>
      <c r="H36" s="1280"/>
      <c r="I36" s="1280"/>
      <c r="J36" s="1280"/>
      <c r="K36" s="1280"/>
      <c r="L36" s="1280"/>
      <c r="M36" s="1280"/>
      <c r="N36" s="1280"/>
      <c r="O36" s="1280"/>
      <c r="P36" s="1280"/>
      <c r="Q36" s="1280"/>
      <c r="R36" s="1280"/>
      <c r="S36" s="1281"/>
    </row>
    <row r="37" spans="1:19">
      <c r="A37" s="1283" t="s">
        <v>1303</v>
      </c>
      <c r="B37" s="1283"/>
      <c r="C37" s="1283"/>
      <c r="D37" s="1283"/>
      <c r="E37" s="1283"/>
      <c r="F37" s="1283"/>
      <c r="G37" s="1283"/>
      <c r="H37" s="1283"/>
      <c r="I37" s="1283"/>
      <c r="J37" s="1283"/>
      <c r="K37" s="1283"/>
      <c r="L37" s="1283"/>
      <c r="M37" s="1283"/>
      <c r="N37" s="1283"/>
      <c r="O37" s="1283"/>
      <c r="P37" s="1283"/>
      <c r="Q37" s="1283"/>
      <c r="R37" s="1283"/>
      <c r="S37" s="1283"/>
    </row>
    <row r="39" spans="1:19">
      <c r="C39" s="1285"/>
      <c r="D39" s="1285"/>
      <c r="E39" s="1285"/>
      <c r="F39" s="1285"/>
      <c r="G39" s="1285"/>
      <c r="H39" s="1285"/>
      <c r="I39" s="1285"/>
      <c r="J39" s="1285"/>
      <c r="K39" s="1285"/>
      <c r="L39" s="1285"/>
      <c r="M39" s="1285"/>
      <c r="N39" s="1285"/>
      <c r="O39" s="1285"/>
      <c r="P39" s="1285"/>
      <c r="Q39" s="1285"/>
      <c r="R39" s="1285"/>
    </row>
    <row r="40" spans="1:19">
      <c r="A40" s="1286"/>
      <c r="B40" s="1287"/>
      <c r="C40" s="1287"/>
      <c r="D40" s="1287"/>
      <c r="E40" s="1287"/>
      <c r="F40" s="1287"/>
      <c r="G40" s="1287"/>
      <c r="H40" s="1287"/>
      <c r="I40" s="1287"/>
      <c r="J40" s="1287"/>
      <c r="K40" s="1287"/>
      <c r="L40" s="1287"/>
      <c r="M40" s="1287"/>
      <c r="N40" s="1287"/>
      <c r="O40" s="1287"/>
      <c r="P40" s="1287"/>
      <c r="Q40" s="1287"/>
      <c r="R40" s="1287"/>
      <c r="S40" s="1287"/>
    </row>
    <row r="41" spans="1:19">
      <c r="A41" s="1286"/>
      <c r="B41" s="1287"/>
      <c r="C41" s="1288"/>
      <c r="D41" s="1288"/>
      <c r="E41" s="1288"/>
      <c r="F41" s="1288"/>
      <c r="G41" s="1288"/>
      <c r="H41" s="1288"/>
      <c r="I41" s="1288"/>
      <c r="J41" s="1288"/>
      <c r="K41" s="1288"/>
      <c r="L41" s="1288"/>
      <c r="M41" s="1288"/>
      <c r="N41" s="1288"/>
      <c r="O41" s="1288"/>
      <c r="P41" s="1288"/>
      <c r="Q41" s="1288"/>
      <c r="R41" s="1288"/>
      <c r="S41" s="1288"/>
    </row>
  </sheetData>
  <mergeCells count="11">
    <mergeCell ref="A9:A12"/>
    <mergeCell ref="B9:B12"/>
    <mergeCell ref="S9:S12"/>
    <mergeCell ref="C10:D10"/>
    <mergeCell ref="E10:F10"/>
    <mergeCell ref="G10:H10"/>
    <mergeCell ref="I10:J10"/>
    <mergeCell ref="K10:L10"/>
    <mergeCell ref="O10:P10"/>
    <mergeCell ref="M10:N10"/>
    <mergeCell ref="Q10:R10"/>
  </mergeCells>
  <printOptions horizontalCentered="1"/>
  <pageMargins left="0.25" right="0.25" top="0.75" bottom="0.75" header="0.3" footer="0.3"/>
  <pageSetup paperSize="9" scale="43"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7">
    <pageSetUpPr fitToPage="1"/>
  </sheetPr>
  <dimension ref="A1:S41"/>
  <sheetViews>
    <sheetView topLeftCell="H1" zoomScale="70" zoomScaleNormal="70" workbookViewId="0">
      <selection activeCell="A49" sqref="A1:XFD1048576"/>
    </sheetView>
  </sheetViews>
  <sheetFormatPr defaultColWidth="18.28515625" defaultRowHeight="15"/>
  <cols>
    <col min="1" max="1" width="6.140625" style="1284" customWidth="1"/>
    <col min="2" max="2" width="45.85546875" style="1258" customWidth="1"/>
    <col min="3" max="3" width="15" style="1258" bestFit="1" customWidth="1"/>
    <col min="4" max="4" width="14.28515625" style="1258" bestFit="1" customWidth="1"/>
    <col min="5" max="5" width="15" style="1258" bestFit="1" customWidth="1"/>
    <col min="6" max="6" width="14.85546875" style="1258" customWidth="1"/>
    <col min="7" max="7" width="15" style="1258" bestFit="1" customWidth="1"/>
    <col min="8" max="8" width="14.85546875" style="1258" customWidth="1"/>
    <col min="9" max="9" width="15" style="1258" bestFit="1" customWidth="1"/>
    <col min="10" max="10" width="14.85546875" style="1258" customWidth="1"/>
    <col min="11" max="11" width="15" style="1258" bestFit="1" customWidth="1"/>
    <col min="12" max="12" width="14.85546875" style="1258" customWidth="1"/>
    <col min="13" max="13" width="15" style="1258" bestFit="1" customWidth="1"/>
    <col min="14" max="14" width="14.85546875" style="1258" customWidth="1"/>
    <col min="15" max="15" width="15" style="1258" bestFit="1" customWidth="1"/>
    <col min="16" max="16" width="14.85546875" style="1258" customWidth="1"/>
    <col min="17" max="17" width="15" style="1258" bestFit="1" customWidth="1"/>
    <col min="18" max="18" width="14.85546875" style="1258" customWidth="1"/>
    <col min="19" max="19" width="46.7109375" style="1258" customWidth="1"/>
    <col min="20" max="16384" width="18.28515625" style="1258"/>
  </cols>
  <sheetData>
    <row r="1" spans="1:19" ht="18" customHeight="1">
      <c r="A1" s="1256" t="s">
        <v>1594</v>
      </c>
      <c r="B1" s="1257"/>
      <c r="C1" s="1257"/>
      <c r="D1" s="1257"/>
      <c r="E1" s="1257"/>
      <c r="F1" s="1257"/>
      <c r="G1" s="1257"/>
      <c r="H1" s="1257"/>
      <c r="I1" s="1257"/>
      <c r="J1" s="1257"/>
      <c r="K1" s="1257"/>
      <c r="L1" s="1257"/>
      <c r="M1" s="1257"/>
      <c r="N1" s="1257"/>
      <c r="O1" s="1257"/>
      <c r="P1" s="1257"/>
      <c r="Q1" s="1257"/>
      <c r="R1" s="1257"/>
      <c r="S1" s="1257"/>
    </row>
    <row r="2" spans="1:19" ht="18" customHeight="1">
      <c r="A2" s="1256" t="s">
        <v>86</v>
      </c>
      <c r="B2" s="1259"/>
      <c r="C2" s="1259"/>
      <c r="D2" s="1259"/>
      <c r="E2" s="1259"/>
      <c r="F2" s="1259"/>
      <c r="G2" s="1259"/>
      <c r="H2" s="1259"/>
      <c r="I2" s="1259"/>
      <c r="J2" s="1259"/>
      <c r="K2" s="1259"/>
      <c r="L2" s="1259"/>
      <c r="M2" s="1259"/>
      <c r="N2" s="1259"/>
      <c r="O2" s="1259"/>
      <c r="P2" s="1259"/>
      <c r="Q2" s="1259"/>
      <c r="R2" s="1259"/>
      <c r="S2" s="1259"/>
    </row>
    <row r="3" spans="1:19" ht="18">
      <c r="A3" s="1256" t="s">
        <v>85</v>
      </c>
      <c r="B3" s="1257"/>
      <c r="C3" s="1257"/>
      <c r="D3" s="1257"/>
      <c r="E3" s="1257"/>
      <c r="F3" s="1257"/>
      <c r="G3" s="1257"/>
      <c r="H3" s="1257"/>
      <c r="I3" s="1257"/>
      <c r="J3" s="1257"/>
      <c r="K3" s="1257"/>
      <c r="L3" s="1257"/>
      <c r="M3" s="1257"/>
      <c r="N3" s="1257"/>
      <c r="O3" s="1257"/>
      <c r="P3" s="1257"/>
      <c r="Q3" s="1257"/>
      <c r="R3" s="1257"/>
      <c r="S3" s="1257"/>
    </row>
    <row r="4" spans="1:19" ht="4.5" customHeight="1">
      <c r="A4" s="1257"/>
      <c r="B4" s="1257"/>
      <c r="C4" s="1260"/>
      <c r="D4" s="1260"/>
      <c r="E4" s="1260"/>
      <c r="F4" s="1260"/>
      <c r="G4" s="1260"/>
      <c r="H4" s="1260"/>
      <c r="I4" s="1260"/>
      <c r="J4" s="1260"/>
      <c r="K4" s="1260"/>
      <c r="L4" s="1260"/>
      <c r="M4" s="1260"/>
      <c r="N4" s="1260"/>
      <c r="O4" s="1260"/>
      <c r="P4" s="1260"/>
      <c r="Q4" s="1260"/>
      <c r="R4" s="1260"/>
      <c r="S4" s="1257"/>
    </row>
    <row r="5" spans="1:19" ht="15.75" hidden="1" customHeight="1">
      <c r="A5" s="1257"/>
      <c r="B5" s="1257"/>
      <c r="C5" s="1260"/>
      <c r="D5" s="1260"/>
      <c r="E5" s="1260"/>
      <c r="F5" s="1260"/>
      <c r="G5" s="1260"/>
      <c r="H5" s="1260"/>
      <c r="I5" s="1260"/>
      <c r="J5" s="1260"/>
      <c r="K5" s="1260"/>
      <c r="L5" s="1260"/>
      <c r="M5" s="1260"/>
      <c r="N5" s="1260"/>
      <c r="O5" s="1260"/>
      <c r="P5" s="1260"/>
      <c r="Q5" s="1260"/>
      <c r="R5" s="1260"/>
      <c r="S5" s="1257"/>
    </row>
    <row r="6" spans="1:19" ht="15.75" hidden="1" customHeight="1">
      <c r="A6" s="1257"/>
      <c r="B6" s="1257"/>
      <c r="C6" s="1260"/>
      <c r="D6" s="1260"/>
      <c r="E6" s="1260"/>
      <c r="F6" s="1260"/>
      <c r="G6" s="1260"/>
      <c r="H6" s="1260"/>
      <c r="I6" s="1260"/>
      <c r="J6" s="1260"/>
      <c r="K6" s="1260"/>
      <c r="L6" s="1260"/>
      <c r="M6" s="1260"/>
      <c r="N6" s="1260"/>
      <c r="O6" s="1260"/>
      <c r="P6" s="1260"/>
      <c r="Q6" s="1260"/>
      <c r="R6" s="1260"/>
      <c r="S6" s="1257"/>
    </row>
    <row r="7" spans="1:19" ht="15.75" hidden="1" customHeight="1">
      <c r="A7" s="1257"/>
      <c r="B7" s="1257"/>
      <c r="C7" s="1260"/>
      <c r="D7" s="1260"/>
      <c r="E7" s="1260"/>
      <c r="F7" s="1260"/>
      <c r="G7" s="1260"/>
      <c r="H7" s="1260"/>
      <c r="I7" s="1260"/>
      <c r="J7" s="1260"/>
      <c r="K7" s="1260"/>
      <c r="L7" s="1260"/>
      <c r="M7" s="1260"/>
      <c r="N7" s="1260"/>
      <c r="O7" s="1260"/>
      <c r="P7" s="1260"/>
      <c r="Q7" s="1260"/>
      <c r="R7" s="1260"/>
      <c r="S7" s="1257"/>
    </row>
    <row r="8" spans="1:19">
      <c r="A8" s="1019" t="s">
        <v>1244</v>
      </c>
      <c r="D8" s="1019"/>
      <c r="F8" s="1019"/>
      <c r="H8" s="1019"/>
      <c r="J8" s="1019"/>
      <c r="L8" s="1019"/>
      <c r="N8" s="1019"/>
      <c r="P8" s="1019"/>
      <c r="R8" s="1019"/>
      <c r="S8" s="1019" t="s">
        <v>1245</v>
      </c>
    </row>
    <row r="9" spans="1:19" s="1262" customFormat="1" ht="20.25" customHeight="1">
      <c r="A9" s="2184"/>
      <c r="B9" s="2184" t="s">
        <v>1246</v>
      </c>
      <c r="C9" s="1261">
        <v>2019</v>
      </c>
      <c r="D9" s="1261"/>
      <c r="E9" s="1261"/>
      <c r="F9" s="1261"/>
      <c r="G9" s="1261"/>
      <c r="H9" s="1261"/>
      <c r="I9" s="1261"/>
      <c r="J9" s="1261"/>
      <c r="K9" s="1261">
        <v>2020</v>
      </c>
      <c r="L9" s="1261"/>
      <c r="M9" s="1261"/>
      <c r="N9" s="1261"/>
      <c r="O9" s="1261"/>
      <c r="P9" s="1261"/>
      <c r="Q9" s="1261"/>
      <c r="R9" s="1261"/>
      <c r="S9" s="2184" t="s">
        <v>1247</v>
      </c>
    </row>
    <row r="10" spans="1:19" s="1262" customFormat="1" ht="20.25" customHeight="1">
      <c r="A10" s="2192"/>
      <c r="B10" s="2192"/>
      <c r="C10" s="2203" t="s">
        <v>1248</v>
      </c>
      <c r="D10" s="2204"/>
      <c r="E10" s="2203" t="s">
        <v>1249</v>
      </c>
      <c r="F10" s="2204"/>
      <c r="G10" s="2203" t="s">
        <v>1250</v>
      </c>
      <c r="H10" s="2204"/>
      <c r="I10" s="2203" t="s">
        <v>1251</v>
      </c>
      <c r="J10" s="2204"/>
      <c r="K10" s="2203" t="s">
        <v>1252</v>
      </c>
      <c r="L10" s="2204"/>
      <c r="M10" s="2203" t="s">
        <v>1253</v>
      </c>
      <c r="N10" s="2204"/>
      <c r="O10" s="2203" t="s">
        <v>1565</v>
      </c>
      <c r="P10" s="2204"/>
      <c r="Q10" s="2203" t="s">
        <v>1578</v>
      </c>
      <c r="R10" s="2204"/>
      <c r="S10" s="2192"/>
    </row>
    <row r="11" spans="1:19" s="1262" customFormat="1" ht="15.75">
      <c r="A11" s="2192"/>
      <c r="B11" s="2192"/>
      <c r="C11" s="1263" t="s">
        <v>1236</v>
      </c>
      <c r="D11" s="1263" t="s">
        <v>1254</v>
      </c>
      <c r="E11" s="1263" t="s">
        <v>1236</v>
      </c>
      <c r="F11" s="1263" t="s">
        <v>1254</v>
      </c>
      <c r="G11" s="1263" t="s">
        <v>1236</v>
      </c>
      <c r="H11" s="1263" t="s">
        <v>1254</v>
      </c>
      <c r="I11" s="1263" t="s">
        <v>1236</v>
      </c>
      <c r="J11" s="1263" t="s">
        <v>1254</v>
      </c>
      <c r="K11" s="1263" t="s">
        <v>1236</v>
      </c>
      <c r="L11" s="1263" t="s">
        <v>1254</v>
      </c>
      <c r="M11" s="1263" t="s">
        <v>1236</v>
      </c>
      <c r="N11" s="1263" t="s">
        <v>1254</v>
      </c>
      <c r="O11" s="1263" t="s">
        <v>1236</v>
      </c>
      <c r="P11" s="1263" t="s">
        <v>1254</v>
      </c>
      <c r="Q11" s="1263" t="s">
        <v>1236</v>
      </c>
      <c r="R11" s="1263" t="s">
        <v>1254</v>
      </c>
      <c r="S11" s="2192"/>
    </row>
    <row r="12" spans="1:19" s="1265" customFormat="1" ht="15.75">
      <c r="A12" s="2188"/>
      <c r="B12" s="2188"/>
      <c r="C12" s="1264" t="s">
        <v>1255</v>
      </c>
      <c r="D12" s="1264" t="s">
        <v>1256</v>
      </c>
      <c r="E12" s="1264" t="s">
        <v>1255</v>
      </c>
      <c r="F12" s="1264" t="s">
        <v>1256</v>
      </c>
      <c r="G12" s="1264" t="s">
        <v>1255</v>
      </c>
      <c r="H12" s="1264" t="s">
        <v>1256</v>
      </c>
      <c r="I12" s="1264" t="s">
        <v>1255</v>
      </c>
      <c r="J12" s="1264" t="s">
        <v>1256</v>
      </c>
      <c r="K12" s="1264" t="s">
        <v>1255</v>
      </c>
      <c r="L12" s="1264" t="s">
        <v>1256</v>
      </c>
      <c r="M12" s="1264" t="s">
        <v>1255</v>
      </c>
      <c r="N12" s="1264" t="s">
        <v>1256</v>
      </c>
      <c r="O12" s="1264" t="s">
        <v>1255</v>
      </c>
      <c r="P12" s="1264" t="s">
        <v>1256</v>
      </c>
      <c r="Q12" s="1264" t="s">
        <v>1255</v>
      </c>
      <c r="R12" s="1264" t="s">
        <v>1256</v>
      </c>
      <c r="S12" s="2188"/>
    </row>
    <row r="13" spans="1:19" ht="31.5" customHeight="1">
      <c r="A13" s="1266">
        <v>1</v>
      </c>
      <c r="B13" s="1267" t="s">
        <v>1257</v>
      </c>
      <c r="C13" s="1268">
        <f>'[76]POS by sector '!$E$10</f>
        <v>269</v>
      </c>
      <c r="D13" s="1268">
        <f>'[76]POS by sector '!$F$10</f>
        <v>125971.64600000001</v>
      </c>
      <c r="E13" s="1268">
        <f>'[77]POS by sector '!$E$10</f>
        <v>220</v>
      </c>
      <c r="F13" s="1268">
        <f>'[77]POS by sector '!$F$10</f>
        <v>64178.168999999994</v>
      </c>
      <c r="G13" s="1268">
        <f>'[78]POS by sector '!$E$10</f>
        <v>228</v>
      </c>
      <c r="H13" s="1268">
        <f>'[78]POS by sector '!$F$10</f>
        <v>63922.796000000002</v>
      </c>
      <c r="I13" s="1268">
        <f>'[79]POS by sector '!$E$10</f>
        <v>225</v>
      </c>
      <c r="J13" s="1268">
        <f>'[79]POS by sector '!$F$10</f>
        <v>71755.911000000007</v>
      </c>
      <c r="K13" s="1268">
        <f>'[80]POS by sector '!$E$10</f>
        <v>322</v>
      </c>
      <c r="L13" s="1268">
        <f>'[80]POS by sector '!$F$10</f>
        <v>129941.697</v>
      </c>
      <c r="M13" s="1268">
        <f>'[81]POS by sector '!$E$10</f>
        <v>294</v>
      </c>
      <c r="N13" s="1268">
        <f>'[81]POS by sector '!$F$10</f>
        <v>87824.84599999999</v>
      </c>
      <c r="O13" s="1268">
        <f>'[82]POS by sector '!$E$10</f>
        <v>39</v>
      </c>
      <c r="P13" s="1268">
        <f>'[82]POS by sector '!$F$10</f>
        <v>6188.701</v>
      </c>
      <c r="Q13" s="1268">
        <f>'[83]POS by sector '!$E$10</f>
        <v>60</v>
      </c>
      <c r="R13" s="1268">
        <f>'[83]POS by sector '!$F$10</f>
        <v>30569.495999999999</v>
      </c>
      <c r="S13" s="1269" t="s">
        <v>1258</v>
      </c>
    </row>
    <row r="14" spans="1:19" ht="43.5" customHeight="1">
      <c r="A14" s="1266">
        <v>2</v>
      </c>
      <c r="B14" s="1270" t="s">
        <v>1259</v>
      </c>
      <c r="C14" s="1268">
        <f>'[76]POS by sector '!$E$11</f>
        <v>67874</v>
      </c>
      <c r="D14" s="1268">
        <f>'[76]POS by sector '!$F$11</f>
        <v>3352558.9400000116</v>
      </c>
      <c r="E14" s="1268">
        <f>'[77]POS by sector '!$E$11</f>
        <v>60129</v>
      </c>
      <c r="F14" s="1268">
        <f>'[77]POS by sector '!$F$11</f>
        <v>2911551.7880000114</v>
      </c>
      <c r="G14" s="1268">
        <f>'[78]POS by sector '!$E$11</f>
        <v>65800</v>
      </c>
      <c r="H14" s="1268">
        <f>'[78]POS by sector '!$F$11</f>
        <v>3286453.466</v>
      </c>
      <c r="I14" s="1268">
        <f>'[79]POS by sector '!$E$11</f>
        <v>74550</v>
      </c>
      <c r="J14" s="1268">
        <f>'[79]POS by sector '!$F$11</f>
        <v>3557193.8370000003</v>
      </c>
      <c r="K14" s="1268">
        <f>'[80]POS by sector '!$E$11</f>
        <v>93049</v>
      </c>
      <c r="L14" s="1268">
        <f>'[80]POS by sector '!$F$11</f>
        <v>5236883.693</v>
      </c>
      <c r="M14" s="1268">
        <f>'[81]POS by sector '!$E$11</f>
        <v>67029</v>
      </c>
      <c r="N14" s="1268">
        <f>'[81]POS by sector '!$F$11</f>
        <v>3260069.6039999998</v>
      </c>
      <c r="O14" s="1268">
        <f>'[82]POS by sector '!$E$11</f>
        <v>9164</v>
      </c>
      <c r="P14" s="1268">
        <f>'[82]POS by sector '!$F$11</f>
        <v>413437.11400000006</v>
      </c>
      <c r="Q14" s="1268">
        <f>'[83]POS by sector '!$E$11</f>
        <v>1214</v>
      </c>
      <c r="R14" s="1268">
        <f>'[83]POS by sector '!$F$11</f>
        <v>89149.038</v>
      </c>
      <c r="S14" s="1271" t="s">
        <v>1260</v>
      </c>
    </row>
    <row r="15" spans="1:19" ht="31.5" customHeight="1">
      <c r="A15" s="1266">
        <v>3</v>
      </c>
      <c r="B15" s="1270" t="s">
        <v>1261</v>
      </c>
      <c r="C15" s="1268">
        <f>'[76]POS by sector '!$E$12</f>
        <v>112397</v>
      </c>
      <c r="D15" s="1268">
        <f>'[76]POS by sector '!$F$12</f>
        <v>1616344.0709999967</v>
      </c>
      <c r="E15" s="1268">
        <f>'[77]POS by sector '!$E$12</f>
        <v>109394</v>
      </c>
      <c r="F15" s="1268">
        <f>'[77]POS by sector '!$F$12</f>
        <v>1571658.9289999956</v>
      </c>
      <c r="G15" s="1268">
        <f>'[78]POS by sector '!$E$12</f>
        <v>141772</v>
      </c>
      <c r="H15" s="1268">
        <f>'[78]POS by sector '!$F$12</f>
        <v>1973405.3530000001</v>
      </c>
      <c r="I15" s="1268">
        <f>'[79]POS by sector '!$E$12</f>
        <v>162410</v>
      </c>
      <c r="J15" s="1268">
        <f>'[79]POS by sector '!$F$12</f>
        <v>2263777.7680000002</v>
      </c>
      <c r="K15" s="1268">
        <f>'[80]POS by sector '!$E$12</f>
        <v>215704</v>
      </c>
      <c r="L15" s="1268">
        <f>'[80]POS by sector '!$F$12</f>
        <v>3013028.2709999997</v>
      </c>
      <c r="M15" s="1268">
        <f>'[81]POS by sector '!$E$12</f>
        <v>150324</v>
      </c>
      <c r="N15" s="1268">
        <f>'[81]POS by sector '!$F$12</f>
        <v>2158282.3769999999</v>
      </c>
      <c r="O15" s="1268">
        <f>'[82]POS by sector '!$E$12</f>
        <v>25396</v>
      </c>
      <c r="P15" s="1268">
        <f>'[82]POS by sector '!$F$12</f>
        <v>302913.99400000001</v>
      </c>
      <c r="Q15" s="1268">
        <f>'[83]POS by sector '!$E$12</f>
        <v>7657</v>
      </c>
      <c r="R15" s="1268">
        <f>'[83]POS by sector '!$F$12</f>
        <v>57807.353999999999</v>
      </c>
      <c r="S15" s="1271" t="s">
        <v>1262</v>
      </c>
    </row>
    <row r="16" spans="1:19" ht="31.5" customHeight="1">
      <c r="A16" s="1266">
        <v>4</v>
      </c>
      <c r="B16" s="1270" t="s">
        <v>1263</v>
      </c>
      <c r="C16" s="1268">
        <f>'[76]POS by sector '!$E$13</f>
        <v>6776</v>
      </c>
      <c r="D16" s="1268">
        <f>'[76]POS by sector '!$F$13</f>
        <v>312404.19200000004</v>
      </c>
      <c r="E16" s="1268">
        <f>'[77]POS by sector '!$E$13</f>
        <v>7258</v>
      </c>
      <c r="F16" s="1268">
        <f>'[77]POS by sector '!$F$13</f>
        <v>360829.02999999985</v>
      </c>
      <c r="G16" s="1268">
        <f>'[78]POS by sector '!$E$13</f>
        <v>7594</v>
      </c>
      <c r="H16" s="1268">
        <f>'[78]POS by sector '!$F$13</f>
        <v>388002.49799999996</v>
      </c>
      <c r="I16" s="1268">
        <f>'[79]POS by sector '!$E$13</f>
        <v>7854</v>
      </c>
      <c r="J16" s="1268">
        <f>'[79]POS by sector '!$F$13</f>
        <v>425073.64400000003</v>
      </c>
      <c r="K16" s="1268">
        <f>'[80]POS by sector '!$E$13</f>
        <v>8784</v>
      </c>
      <c r="L16" s="1268">
        <f>'[80]POS by sector '!$F$13</f>
        <v>436714.21100000001</v>
      </c>
      <c r="M16" s="1268">
        <f>'[81]POS by sector '!$E$13</f>
        <v>7440</v>
      </c>
      <c r="N16" s="1268">
        <f>'[81]POS by sector '!$F$13</f>
        <v>424186.58400000003</v>
      </c>
      <c r="O16" s="1268">
        <f>'[82]POS by sector '!$E$13</f>
        <v>2699</v>
      </c>
      <c r="P16" s="1268">
        <f>'[82]POS by sector '!$F$13</f>
        <v>135862.64199999999</v>
      </c>
      <c r="Q16" s="1268">
        <f>'[83]POS by sector '!$E$13</f>
        <v>1851</v>
      </c>
      <c r="R16" s="1268">
        <f>'[83]POS by sector '!$F$13</f>
        <v>63022.358</v>
      </c>
      <c r="S16" s="1271" t="s">
        <v>1264</v>
      </c>
    </row>
    <row r="17" spans="1:19" ht="31.5" customHeight="1">
      <c r="A17" s="1266">
        <v>5</v>
      </c>
      <c r="B17" s="1270" t="s">
        <v>1265</v>
      </c>
      <c r="C17" s="1268">
        <f>'[76]POS by sector '!$E$14</f>
        <v>5951</v>
      </c>
      <c r="D17" s="1268">
        <f>'[76]POS by sector '!$F$14</f>
        <v>233604.60299999997</v>
      </c>
      <c r="E17" s="1268">
        <f>'[77]POS by sector '!$E$14</f>
        <v>5643</v>
      </c>
      <c r="F17" s="1268">
        <f>'[77]POS by sector '!$F$14</f>
        <v>191913.83799999999</v>
      </c>
      <c r="G17" s="1268">
        <f>'[78]POS by sector '!$E$14</f>
        <v>6319</v>
      </c>
      <c r="H17" s="1268">
        <f>'[78]POS by sector '!$F$14</f>
        <v>226714.802</v>
      </c>
      <c r="I17" s="1268">
        <f>'[79]POS by sector '!$E$14</f>
        <v>6703</v>
      </c>
      <c r="J17" s="1268">
        <f>'[79]POS by sector '!$F$14</f>
        <v>253073.77300000004</v>
      </c>
      <c r="K17" s="1268">
        <f>'[80]POS by sector '!$E$14</f>
        <v>8074</v>
      </c>
      <c r="L17" s="1268">
        <f>'[80]POS by sector '!$F$14</f>
        <v>263566.22200000001</v>
      </c>
      <c r="M17" s="1268">
        <f>'[81]POS by sector '!$E$14</f>
        <v>7043</v>
      </c>
      <c r="N17" s="1268">
        <f>'[81]POS by sector '!$F$14</f>
        <v>276821.75699999998</v>
      </c>
      <c r="O17" s="1268">
        <f>'[82]POS by sector '!$E$14</f>
        <v>1679</v>
      </c>
      <c r="P17" s="1268">
        <f>'[82]POS by sector '!$F$14</f>
        <v>81869.11</v>
      </c>
      <c r="Q17" s="1268">
        <f>'[83]POS by sector '!$E$14</f>
        <v>442</v>
      </c>
      <c r="R17" s="1268">
        <f>'[83]POS by sector '!$F$14</f>
        <v>20022.64</v>
      </c>
      <c r="S17" s="1271" t="s">
        <v>1266</v>
      </c>
    </row>
    <row r="18" spans="1:19" ht="47.25">
      <c r="A18" s="1266">
        <v>6</v>
      </c>
      <c r="B18" s="1270" t="s">
        <v>1267</v>
      </c>
      <c r="C18" s="1268">
        <f>'[76]POS by sector '!$E$15</f>
        <v>15476</v>
      </c>
      <c r="D18" s="1268">
        <f>'[76]POS by sector '!$F$15</f>
        <v>509829.17299999995</v>
      </c>
      <c r="E18" s="1268">
        <f>'[77]POS by sector '!$E$15</f>
        <v>14888</v>
      </c>
      <c r="F18" s="1268">
        <f>'[77]POS by sector '!$F$15</f>
        <v>479046.46399999759</v>
      </c>
      <c r="G18" s="1268">
        <f>'[78]POS by sector '!$E$15</f>
        <v>17960</v>
      </c>
      <c r="H18" s="1268">
        <f>'[78]POS by sector '!$F$15</f>
        <v>602874.48100000003</v>
      </c>
      <c r="I18" s="1268">
        <f>'[79]POS by sector '!$E$15</f>
        <v>21608</v>
      </c>
      <c r="J18" s="1268">
        <f>'[79]POS by sector '!$F$15</f>
        <v>632370.37800000003</v>
      </c>
      <c r="K18" s="1268">
        <f>'[80]POS by sector '!$E$15</f>
        <v>24953</v>
      </c>
      <c r="L18" s="1268">
        <f>'[80]POS by sector '!$F$15</f>
        <v>677782.47900000005</v>
      </c>
      <c r="M18" s="1268">
        <f>'[81]POS by sector '!$E$15</f>
        <v>19063</v>
      </c>
      <c r="N18" s="1268">
        <f>'[81]POS by sector '!$F$15</f>
        <v>542578.86199999996</v>
      </c>
      <c r="O18" s="1268">
        <f>'[82]POS by sector '!$E$15</f>
        <v>2971</v>
      </c>
      <c r="P18" s="1268">
        <f>'[82]POS by sector '!$F$15</f>
        <v>91385.81700000001</v>
      </c>
      <c r="Q18" s="1268">
        <f>'[83]POS by sector '!$E$15</f>
        <v>1359</v>
      </c>
      <c r="R18" s="1268">
        <f>'[83]POS by sector '!$F$15</f>
        <v>46515.906999999999</v>
      </c>
      <c r="S18" s="1272" t="s">
        <v>1268</v>
      </c>
    </row>
    <row r="19" spans="1:19" ht="31.5" customHeight="1">
      <c r="A19" s="1266">
        <v>7</v>
      </c>
      <c r="B19" s="1270" t="s">
        <v>1269</v>
      </c>
      <c r="C19" s="1268">
        <f>'[76]POS by sector '!$E$16</f>
        <v>38309</v>
      </c>
      <c r="D19" s="1268">
        <f>'[76]POS by sector '!$F$16</f>
        <v>472821.06400000164</v>
      </c>
      <c r="E19" s="1268">
        <f>'[77]POS by sector '!$E$16</f>
        <v>40664</v>
      </c>
      <c r="F19" s="1268">
        <f>'[77]POS by sector '!$F$16</f>
        <v>490819.57500000205</v>
      </c>
      <c r="G19" s="1268">
        <f>'[78]POS by sector '!$E$16</f>
        <v>49194</v>
      </c>
      <c r="H19" s="1268">
        <f>'[78]POS by sector '!$F$16</f>
        <v>614074.11699999997</v>
      </c>
      <c r="I19" s="1268">
        <f>'[79]POS by sector '!$E$16</f>
        <v>56036</v>
      </c>
      <c r="J19" s="1268">
        <f>'[79]POS by sector '!$F$16</f>
        <v>810732.38799999992</v>
      </c>
      <c r="K19" s="1268">
        <f>'[80]POS by sector '!$E$16</f>
        <v>61408</v>
      </c>
      <c r="L19" s="1268">
        <f>'[80]POS by sector '!$F$16</f>
        <v>687462.59900000005</v>
      </c>
      <c r="M19" s="1268">
        <f>'[81]POS by sector '!$E$16</f>
        <v>45933</v>
      </c>
      <c r="N19" s="1268">
        <f>'[81]POS by sector '!$F$16</f>
        <v>503999.82900000003</v>
      </c>
      <c r="O19" s="1268">
        <f>'[82]POS by sector '!$E$16</f>
        <v>17091</v>
      </c>
      <c r="P19" s="1268">
        <f>'[82]POS by sector '!$F$16</f>
        <v>240369.32699999999</v>
      </c>
      <c r="Q19" s="1268">
        <f>'[83]POS by sector '!$E$16</f>
        <v>13116</v>
      </c>
      <c r="R19" s="1268">
        <f>'[83]POS by sector '!$F$16</f>
        <v>171710.06700000001</v>
      </c>
      <c r="S19" s="1271" t="s">
        <v>1270</v>
      </c>
    </row>
    <row r="20" spans="1:19" ht="31.5" customHeight="1">
      <c r="A20" s="1266">
        <v>8</v>
      </c>
      <c r="B20" s="1270" t="s">
        <v>1271</v>
      </c>
      <c r="C20" s="1268">
        <f>'[76]POS by sector '!$E$17</f>
        <v>3122</v>
      </c>
      <c r="D20" s="1268">
        <f>'[76]POS by sector '!$F$17</f>
        <v>829412.32</v>
      </c>
      <c r="E20" s="1268">
        <f>'[77]POS by sector '!$E$17</f>
        <v>3098</v>
      </c>
      <c r="F20" s="1268">
        <f>'[77]POS by sector '!$F$17</f>
        <v>948916.97500000033</v>
      </c>
      <c r="G20" s="1268">
        <f>'[78]POS by sector '!$E$17</f>
        <v>6142</v>
      </c>
      <c r="H20" s="1268">
        <f>'[78]POS by sector '!$F$17</f>
        <v>3020133.1010000003</v>
      </c>
      <c r="I20" s="1268">
        <f>'[79]POS by sector '!$E$17</f>
        <v>4959</v>
      </c>
      <c r="J20" s="1268">
        <f>'[79]POS by sector '!$F$17</f>
        <v>1541695.389</v>
      </c>
      <c r="K20" s="1268">
        <f>'[80]POS by sector '!$E$17</f>
        <v>5471</v>
      </c>
      <c r="L20" s="1268">
        <f>'[80]POS by sector '!$F$17</f>
        <v>1576098.591</v>
      </c>
      <c r="M20" s="1268">
        <f>'[81]POS by sector '!$E$17</f>
        <v>4168</v>
      </c>
      <c r="N20" s="1268">
        <f>'[81]POS by sector '!$F$17</f>
        <v>1453416.4849999999</v>
      </c>
      <c r="O20" s="1268">
        <f>'[82]POS by sector '!$E$17</f>
        <v>663</v>
      </c>
      <c r="P20" s="1268">
        <f>'[82]POS by sector '!$F$17</f>
        <v>166222.269</v>
      </c>
      <c r="Q20" s="1268">
        <f>'[83]POS by sector '!$E$17</f>
        <v>195</v>
      </c>
      <c r="R20" s="1268">
        <f>'[83]POS by sector '!$F$17</f>
        <v>53703.758000000002</v>
      </c>
      <c r="S20" s="1271" t="s">
        <v>1272</v>
      </c>
    </row>
    <row r="21" spans="1:19" ht="31.5" customHeight="1">
      <c r="A21" s="1266">
        <v>9</v>
      </c>
      <c r="B21" s="1270" t="s">
        <v>1273</v>
      </c>
      <c r="C21" s="1268">
        <f>'[76]POS by sector '!$E$18</f>
        <v>25480</v>
      </c>
      <c r="D21" s="1268">
        <f>'[76]POS by sector '!$F$18</f>
        <v>559688.55300000007</v>
      </c>
      <c r="E21" s="1268">
        <f>'[77]POS by sector '!$E$18</f>
        <v>23533</v>
      </c>
      <c r="F21" s="1268">
        <f>'[77]POS by sector '!$F$18</f>
        <v>525119.39199999976</v>
      </c>
      <c r="G21" s="1268">
        <f>'[78]POS by sector '!$E$18</f>
        <v>28127</v>
      </c>
      <c r="H21" s="1268">
        <f>'[78]POS by sector '!$F$18</f>
        <v>622095.70400000003</v>
      </c>
      <c r="I21" s="1268">
        <f>'[79]POS by sector '!$E$18</f>
        <v>31218</v>
      </c>
      <c r="J21" s="1268">
        <f>'[79]POS by sector '!$F$18</f>
        <v>645102.75599999994</v>
      </c>
      <c r="K21" s="1268">
        <f>'[80]POS by sector '!$E$18</f>
        <v>38963</v>
      </c>
      <c r="L21" s="1268">
        <f>'[80]POS by sector '!$F$18</f>
        <v>718326.68299999996</v>
      </c>
      <c r="M21" s="1268">
        <f>'[81]POS by sector '!$E$18</f>
        <v>29329</v>
      </c>
      <c r="N21" s="1268">
        <f>'[81]POS by sector '!$F$18</f>
        <v>580132.62400000007</v>
      </c>
      <c r="O21" s="1268">
        <f>'[82]POS by sector '!$E$18</f>
        <v>11323</v>
      </c>
      <c r="P21" s="1268">
        <f>'[82]POS by sector '!$F$18</f>
        <v>308944.50599999999</v>
      </c>
      <c r="Q21" s="1268">
        <f>'[83]POS by sector '!$E$18</f>
        <v>9548</v>
      </c>
      <c r="R21" s="1268">
        <f>'[83]POS by sector '!$F$18</f>
        <v>276804.65299999999</v>
      </c>
      <c r="S21" s="1271" t="s">
        <v>1274</v>
      </c>
    </row>
    <row r="22" spans="1:19" ht="31.5" customHeight="1">
      <c r="A22" s="1266">
        <v>10</v>
      </c>
      <c r="B22" s="1270" t="s">
        <v>1275</v>
      </c>
      <c r="C22" s="1268">
        <f>'[76]POS by sector '!$E$19</f>
        <v>44600</v>
      </c>
      <c r="D22" s="1268">
        <f>'[76]POS by sector '!$F$19</f>
        <v>1777347.5060000001</v>
      </c>
      <c r="E22" s="1268">
        <f>'[77]POS by sector '!$E$19</f>
        <v>43787</v>
      </c>
      <c r="F22" s="1268">
        <f>'[77]POS by sector '!$F$19</f>
        <v>1802696.4520000003</v>
      </c>
      <c r="G22" s="1268">
        <f>'[78]POS by sector '!$E$19</f>
        <v>66714</v>
      </c>
      <c r="H22" s="1268">
        <f>'[78]POS by sector '!$F$19</f>
        <v>2814031.469</v>
      </c>
      <c r="I22" s="1268">
        <f>'[79]POS by sector '!$E$19</f>
        <v>82151</v>
      </c>
      <c r="J22" s="1268">
        <f>'[79]POS by sector '!$F$19</f>
        <v>3494314.3119999995</v>
      </c>
      <c r="K22" s="1268">
        <f>'[80]POS by sector '!$E$19</f>
        <v>105615</v>
      </c>
      <c r="L22" s="1268">
        <f>'[80]POS by sector '!$F$19</f>
        <v>3882920.4939999995</v>
      </c>
      <c r="M22" s="1268">
        <f>'[81]POS by sector '!$E$19</f>
        <v>53709</v>
      </c>
      <c r="N22" s="1268">
        <f>'[81]POS by sector '!$F$19</f>
        <v>2394500.81</v>
      </c>
      <c r="O22" s="1268">
        <f>'[82]POS by sector '!$E$19</f>
        <v>4291</v>
      </c>
      <c r="P22" s="1268">
        <f>'[82]POS by sector '!$F$19</f>
        <v>221436.68900000001</v>
      </c>
      <c r="Q22" s="1268">
        <f>'[83]POS by sector '!$E$19</f>
        <v>1848</v>
      </c>
      <c r="R22" s="1268">
        <f>'[83]POS by sector '!$F$19</f>
        <v>108677.14099999999</v>
      </c>
      <c r="S22" s="1271" t="s">
        <v>1276</v>
      </c>
    </row>
    <row r="23" spans="1:19" ht="31.5" customHeight="1">
      <c r="A23" s="1266">
        <v>11</v>
      </c>
      <c r="B23" s="1270" t="s">
        <v>1277</v>
      </c>
      <c r="C23" s="1268">
        <f>'[76]POS by sector '!$E$20</f>
        <v>6029</v>
      </c>
      <c r="D23" s="1268">
        <f>'[76]POS by sector '!$F$20</f>
        <v>256333.51800000001</v>
      </c>
      <c r="E23" s="1268">
        <f>'[77]POS by sector '!$E$20</f>
        <v>5837</v>
      </c>
      <c r="F23" s="1268">
        <f>'[77]POS by sector '!$F$20</f>
        <v>260744.62700000004</v>
      </c>
      <c r="G23" s="1268">
        <f>'[78]POS by sector '!$E$20</f>
        <v>7505</v>
      </c>
      <c r="H23" s="1268">
        <f>'[78]POS by sector '!$F$20</f>
        <v>333009.53000000003</v>
      </c>
      <c r="I23" s="1268">
        <f>'[79]POS by sector '!$E$20</f>
        <v>7364</v>
      </c>
      <c r="J23" s="1268">
        <f>'[79]POS by sector '!$F$20</f>
        <v>306266.78100000002</v>
      </c>
      <c r="K23" s="1268">
        <f>'[80]POS by sector '!$E$20</f>
        <v>9004</v>
      </c>
      <c r="L23" s="1268">
        <f>'[80]POS by sector '!$F$20</f>
        <v>339829.81199999998</v>
      </c>
      <c r="M23" s="1268">
        <f>'[81]POS by sector '!$E$20</f>
        <v>5783</v>
      </c>
      <c r="N23" s="1268">
        <f>'[81]POS by sector '!$F$20</f>
        <v>244957.30500000002</v>
      </c>
      <c r="O23" s="1268">
        <f>'[82]POS by sector '!$E$20</f>
        <v>976</v>
      </c>
      <c r="P23" s="1268">
        <f>'[82]POS by sector '!$F$20</f>
        <v>67394.902000000002</v>
      </c>
      <c r="Q23" s="1268">
        <f>'[83]POS by sector '!$E$20</f>
        <v>446</v>
      </c>
      <c r="R23" s="1268">
        <f>'[83]POS by sector '!$F$20</f>
        <v>48155.512999999999</v>
      </c>
      <c r="S23" s="1271" t="s">
        <v>1278</v>
      </c>
    </row>
    <row r="24" spans="1:19" ht="30" customHeight="1">
      <c r="A24" s="1266">
        <v>12</v>
      </c>
      <c r="B24" s="1270" t="s">
        <v>1279</v>
      </c>
      <c r="C24" s="1268">
        <f>'[76]POS by sector '!$E$21</f>
        <v>855</v>
      </c>
      <c r="D24" s="1268">
        <f>'[76]POS by sector '!$F$21</f>
        <v>36798.57</v>
      </c>
      <c r="E24" s="1268">
        <f>'[77]POS by sector '!$E$21</f>
        <v>881</v>
      </c>
      <c r="F24" s="1268">
        <f>'[77]POS by sector '!$F$21</f>
        <v>34204.642999999996</v>
      </c>
      <c r="G24" s="1268">
        <f>'[78]POS by sector '!$E$21</f>
        <v>1130</v>
      </c>
      <c r="H24" s="1268">
        <f>'[78]POS by sector '!$F$21</f>
        <v>35174.262000000002</v>
      </c>
      <c r="I24" s="1268">
        <f>'[79]POS by sector '!$E$21</f>
        <v>1438</v>
      </c>
      <c r="J24" s="1268">
        <f>'[79]POS by sector '!$F$21</f>
        <v>44697.366000000002</v>
      </c>
      <c r="K24" s="1268">
        <f>'[80]POS by sector '!$E$21</f>
        <v>2031</v>
      </c>
      <c r="L24" s="1268">
        <f>'[80]POS by sector '!$F$21</f>
        <v>45317.957999999999</v>
      </c>
      <c r="M24" s="1268">
        <f>'[81]POS by sector '!$E$21</f>
        <v>1776</v>
      </c>
      <c r="N24" s="1268">
        <f>'[81]POS by sector '!$F$21</f>
        <v>43424.656999999999</v>
      </c>
      <c r="O24" s="1268">
        <f>'[82]POS by sector '!$E$21</f>
        <v>383</v>
      </c>
      <c r="P24" s="1268">
        <f>'[82]POS by sector '!$F$21</f>
        <v>17049.416000000001</v>
      </c>
      <c r="Q24" s="1268">
        <f>'[83]POS by sector '!$E$21</f>
        <v>67</v>
      </c>
      <c r="R24" s="1268">
        <f>'[83]POS by sector '!$F$21</f>
        <v>6681.5</v>
      </c>
      <c r="S24" s="1271" t="s">
        <v>1280</v>
      </c>
    </row>
    <row r="25" spans="1:19" ht="31.5" customHeight="1">
      <c r="A25" s="1266">
        <v>13</v>
      </c>
      <c r="B25" s="1270" t="s">
        <v>1281</v>
      </c>
      <c r="C25" s="1268">
        <f>'[76]POS by sector '!$E$22</f>
        <v>4108</v>
      </c>
      <c r="D25" s="1268">
        <f>'[76]POS by sector '!$F$22</f>
        <v>102426.53899999995</v>
      </c>
      <c r="E25" s="1268">
        <f>'[77]POS by sector '!$E$22</f>
        <v>4217</v>
      </c>
      <c r="F25" s="1268">
        <f>'[77]POS by sector '!$F$22</f>
        <v>131962.94700000001</v>
      </c>
      <c r="G25" s="1268">
        <f>'[78]POS by sector '!$E$22</f>
        <v>4531</v>
      </c>
      <c r="H25" s="1268">
        <f>'[78]POS by sector '!$F$22</f>
        <v>139105.486</v>
      </c>
      <c r="I25" s="1268">
        <f>'[79]POS by sector '!$E$22</f>
        <v>4519</v>
      </c>
      <c r="J25" s="1268">
        <f>'[79]POS by sector '!$F$22</f>
        <v>124312.03</v>
      </c>
      <c r="K25" s="1268">
        <f>'[80]POS by sector '!$E$22</f>
        <v>6290</v>
      </c>
      <c r="L25" s="1268">
        <f>'[80]POS by sector '!$F$22</f>
        <v>142899.739</v>
      </c>
      <c r="M25" s="1268">
        <f>'[81]POS by sector '!$E$22</f>
        <v>4427</v>
      </c>
      <c r="N25" s="1268">
        <f>'[81]POS by sector '!$F$22</f>
        <v>107471.15399999999</v>
      </c>
      <c r="O25" s="1268">
        <f>'[82]POS by sector '!$E$22</f>
        <v>1498</v>
      </c>
      <c r="P25" s="1268">
        <f>'[82]POS by sector '!$F$22</f>
        <v>41916.092000000004</v>
      </c>
      <c r="Q25" s="1268">
        <f>'[83]POS by sector '!$E$22</f>
        <v>1013</v>
      </c>
      <c r="R25" s="1268">
        <f>'[83]POS by sector '!$F$22</f>
        <v>30380.802</v>
      </c>
      <c r="S25" s="1271" t="s">
        <v>1282</v>
      </c>
    </row>
    <row r="26" spans="1:19" ht="31.5" customHeight="1">
      <c r="A26" s="1266">
        <v>14</v>
      </c>
      <c r="B26" s="1270" t="s">
        <v>1283</v>
      </c>
      <c r="C26" s="1268">
        <f>'[76]POS by sector '!$E$23</f>
        <v>489</v>
      </c>
      <c r="D26" s="1268">
        <f>'[76]POS by sector '!$F$23</f>
        <v>25741.652999999998</v>
      </c>
      <c r="E26" s="1268">
        <f>'[77]POS by sector '!$E$23</f>
        <v>589</v>
      </c>
      <c r="F26" s="1268">
        <f>'[77]POS by sector '!$F$23</f>
        <v>22283.797000000002</v>
      </c>
      <c r="G26" s="1268">
        <f>'[78]POS by sector '!$E$23</f>
        <v>1117</v>
      </c>
      <c r="H26" s="1268">
        <f>'[78]POS by sector '!$F$23</f>
        <v>25718.165000000001</v>
      </c>
      <c r="I26" s="1268">
        <f>'[79]POS by sector '!$E$23</f>
        <v>1959</v>
      </c>
      <c r="J26" s="1268">
        <f>'[79]POS by sector '!$F$23</f>
        <v>41031.166000000005</v>
      </c>
      <c r="K26" s="1268">
        <f>'[80]POS by sector '!$E$23</f>
        <v>3813</v>
      </c>
      <c r="L26" s="1268">
        <f>'[80]POS by sector '!$F$23</f>
        <v>53645.506999999998</v>
      </c>
      <c r="M26" s="1268">
        <f>'[81]POS by sector '!$E$23</f>
        <v>4384</v>
      </c>
      <c r="N26" s="1268">
        <f>'[81]POS by sector '!$F$23</f>
        <v>71508.363999999987</v>
      </c>
      <c r="O26" s="1268">
        <f>'[82]POS by sector '!$E$23</f>
        <v>3838</v>
      </c>
      <c r="P26" s="1268">
        <f>'[82]POS by sector '!$F$23</f>
        <v>39416.214999999997</v>
      </c>
      <c r="Q26" s="1268">
        <f>'[83]POS by sector '!$E$23</f>
        <v>6260</v>
      </c>
      <c r="R26" s="1268">
        <f>'[83]POS by sector '!$F$23</f>
        <v>52721.944999999992</v>
      </c>
      <c r="S26" s="1271" t="s">
        <v>1284</v>
      </c>
    </row>
    <row r="27" spans="1:19" ht="31.5">
      <c r="A27" s="1266">
        <v>15</v>
      </c>
      <c r="B27" s="1270" t="s">
        <v>1285</v>
      </c>
      <c r="C27" s="1268">
        <f>'[76]POS by sector '!$E$24</f>
        <v>1922</v>
      </c>
      <c r="D27" s="1268">
        <f>'[76]POS by sector '!$F$24</f>
        <v>189977.63799999998</v>
      </c>
      <c r="E27" s="1268">
        <f>'[77]POS by sector '!$E$24</f>
        <v>2090</v>
      </c>
      <c r="F27" s="1268">
        <f>'[77]POS by sector '!$F$24</f>
        <v>180621.253</v>
      </c>
      <c r="G27" s="1268">
        <f>'[78]POS by sector '!$E$24</f>
        <v>2671</v>
      </c>
      <c r="H27" s="1268">
        <f>'[78]POS by sector '!$F$24</f>
        <v>206338.65900000001</v>
      </c>
      <c r="I27" s="1268">
        <f>'[79]POS by sector '!$E$24</f>
        <v>3032</v>
      </c>
      <c r="J27" s="1268">
        <f>'[79]POS by sector '!$F$24</f>
        <v>213905.18799999999</v>
      </c>
      <c r="K27" s="1268">
        <f>'[80]POS by sector '!$E$24</f>
        <v>3404</v>
      </c>
      <c r="L27" s="1268">
        <f>'[80]POS by sector '!$F$24</f>
        <v>245830.698</v>
      </c>
      <c r="M27" s="1268">
        <f>'[81]POS by sector '!$E$24</f>
        <v>2747</v>
      </c>
      <c r="N27" s="1268">
        <f>'[81]POS by sector '!$F$24</f>
        <v>256506.68200000003</v>
      </c>
      <c r="O27" s="1268">
        <f>'[82]POS by sector '!$E$24</f>
        <v>863</v>
      </c>
      <c r="P27" s="1268">
        <f>'[82]POS by sector '!$F$24</f>
        <v>103727.678</v>
      </c>
      <c r="Q27" s="1268">
        <f>'[83]POS by sector '!$E$24</f>
        <v>482</v>
      </c>
      <c r="R27" s="1268">
        <f>'[83]POS by sector '!$F$24</f>
        <v>42851.422999999995</v>
      </c>
      <c r="S27" s="1271" t="s">
        <v>1286</v>
      </c>
    </row>
    <row r="28" spans="1:19" ht="31.5" customHeight="1">
      <c r="A28" s="1266">
        <v>16</v>
      </c>
      <c r="B28" s="1270" t="s">
        <v>1287</v>
      </c>
      <c r="C28" s="1268">
        <f>'[76]POS by sector '!$E$25</f>
        <v>1054</v>
      </c>
      <c r="D28" s="1268">
        <f>'[76]POS by sector '!$F$25</f>
        <v>99457.47099999999</v>
      </c>
      <c r="E28" s="1268">
        <f>'[77]POS by sector '!$E$25</f>
        <v>1040</v>
      </c>
      <c r="F28" s="1268">
        <f>'[77]POS by sector '!$F$25</f>
        <v>102800.02699999999</v>
      </c>
      <c r="G28" s="1268">
        <f>'[78]POS by sector '!$E$25</f>
        <v>894</v>
      </c>
      <c r="H28" s="1268">
        <f>'[78]POS by sector '!$F$25</f>
        <v>97830.748000000007</v>
      </c>
      <c r="I28" s="1268">
        <f>'[79]POS by sector '!$E$25</f>
        <v>1351</v>
      </c>
      <c r="J28" s="1268">
        <f>'[79]POS by sector '!$F$25</f>
        <v>189271.1</v>
      </c>
      <c r="K28" s="1268">
        <f>'[80]POS by sector '!$E$25</f>
        <v>1358</v>
      </c>
      <c r="L28" s="1268">
        <f>'[80]POS by sector '!$F$25</f>
        <v>162537.08799999999</v>
      </c>
      <c r="M28" s="1268">
        <f>'[81]POS by sector '!$E$25</f>
        <v>958</v>
      </c>
      <c r="N28" s="1268">
        <f>'[81]POS by sector '!$F$25</f>
        <v>93000.243000000002</v>
      </c>
      <c r="O28" s="1268">
        <f>'[82]POS by sector '!$E$25</f>
        <v>546</v>
      </c>
      <c r="P28" s="1268">
        <f>'[82]POS by sector '!$F$25</f>
        <v>36617.366999999998</v>
      </c>
      <c r="Q28" s="1268">
        <f>'[83]POS by sector '!$E$25</f>
        <v>351</v>
      </c>
      <c r="R28" s="1268">
        <f>'[83]POS by sector '!$F$25</f>
        <v>11149.069</v>
      </c>
      <c r="S28" s="1272" t="s">
        <v>1288</v>
      </c>
    </row>
    <row r="29" spans="1:19" ht="31.5" customHeight="1">
      <c r="A29" s="1266">
        <v>17</v>
      </c>
      <c r="B29" s="1270" t="s">
        <v>1289</v>
      </c>
      <c r="C29" s="1268">
        <f>'[76]POS by sector '!$E$26</f>
        <v>29832</v>
      </c>
      <c r="D29" s="1268">
        <f>'[76]POS by sector '!$F$26</f>
        <v>389615.82399999996</v>
      </c>
      <c r="E29" s="1268">
        <f>'[77]POS by sector '!$E$26</f>
        <v>33483</v>
      </c>
      <c r="F29" s="1268">
        <f>'[77]POS by sector '!$F$26</f>
        <v>412404.83900000015</v>
      </c>
      <c r="G29" s="1268">
        <f>'[78]POS by sector '!$E$26</f>
        <v>33230</v>
      </c>
      <c r="H29" s="1268">
        <f>'[78]POS by sector '!$F$26</f>
        <v>437244.2969999999</v>
      </c>
      <c r="I29" s="1268">
        <f>'[79]POS by sector '!$E$26</f>
        <v>37417</v>
      </c>
      <c r="J29" s="1268">
        <f>'[79]POS by sector '!$F$26</f>
        <v>473716.94299999997</v>
      </c>
      <c r="K29" s="1268">
        <f>'[80]POS by sector '!$E$26</f>
        <v>58336</v>
      </c>
      <c r="L29" s="1268">
        <f>'[80]POS by sector '!$F$26</f>
        <v>713841.77800000005</v>
      </c>
      <c r="M29" s="1268">
        <f>'[81]POS by sector '!$E$26</f>
        <v>33797</v>
      </c>
      <c r="N29" s="1268">
        <f>'[81]POS by sector '!$F$26</f>
        <v>427907.68800000002</v>
      </c>
      <c r="O29" s="1268">
        <f>'[82]POS by sector '!$E$26</f>
        <v>4372</v>
      </c>
      <c r="P29" s="1268">
        <f>'[82]POS by sector '!$F$26</f>
        <v>101747.822</v>
      </c>
      <c r="Q29" s="1268">
        <f>'[83]POS by sector '!$E$26</f>
        <v>1905</v>
      </c>
      <c r="R29" s="1268">
        <f>'[83]POS by sector '!$F$26</f>
        <v>53445.583000000006</v>
      </c>
      <c r="S29" s="1271" t="s">
        <v>1290</v>
      </c>
    </row>
    <row r="30" spans="1:19" ht="46.5" customHeight="1">
      <c r="A30" s="1266">
        <v>18</v>
      </c>
      <c r="B30" s="1270" t="s">
        <v>1291</v>
      </c>
      <c r="C30" s="1268">
        <f>'[76]POS by sector '!$E$27</f>
        <v>4678</v>
      </c>
      <c r="D30" s="1268">
        <f>'[76]POS by sector '!$F$27</f>
        <v>247113.18999999989</v>
      </c>
      <c r="E30" s="1268">
        <f>'[77]POS by sector '!$E$27</f>
        <v>4433</v>
      </c>
      <c r="F30" s="1268">
        <f>'[77]POS by sector '!$F$27</f>
        <v>250655.38799999998</v>
      </c>
      <c r="G30" s="1268">
        <f>'[78]POS by sector '!$E$27</f>
        <v>5589</v>
      </c>
      <c r="H30" s="1268">
        <f>'[78]POS by sector '!$F$27</f>
        <v>267567.26999999996</v>
      </c>
      <c r="I30" s="1268">
        <f>'[79]POS by sector '!$E$27</f>
        <v>5954</v>
      </c>
      <c r="J30" s="1268">
        <f>'[79]POS by sector '!$F$27</f>
        <v>324167.82400000002</v>
      </c>
      <c r="K30" s="1268">
        <f>'[80]POS by sector '!$E$27</f>
        <v>7100</v>
      </c>
      <c r="L30" s="1268">
        <f>'[80]POS by sector '!$F$27</f>
        <v>342969.95800000004</v>
      </c>
      <c r="M30" s="1268">
        <f>'[81]POS by sector '!$E$27</f>
        <v>4142</v>
      </c>
      <c r="N30" s="1268">
        <f>'[81]POS by sector '!$F$27</f>
        <v>235974.14300000004</v>
      </c>
      <c r="O30" s="1268">
        <f>'[82]POS by sector '!$E$27</f>
        <v>838</v>
      </c>
      <c r="P30" s="1268">
        <f>'[82]POS by sector '!$F$27</f>
        <v>66360.159</v>
      </c>
      <c r="Q30" s="1268">
        <f>'[83]POS by sector '!$E$27</f>
        <v>450</v>
      </c>
      <c r="R30" s="1268">
        <f>'[83]POS by sector '!$F$27</f>
        <v>36255.133000000002</v>
      </c>
      <c r="S30" s="1271" t="s">
        <v>1292</v>
      </c>
    </row>
    <row r="31" spans="1:19" ht="31.5" customHeight="1">
      <c r="A31" s="1266">
        <v>19</v>
      </c>
      <c r="B31" s="1270" t="s">
        <v>1293</v>
      </c>
      <c r="C31" s="1268">
        <f>'[76]POS by sector '!$E$28</f>
        <v>2274</v>
      </c>
      <c r="D31" s="1268">
        <f>'[76]POS by sector '!$F$28</f>
        <v>26604.381999999987</v>
      </c>
      <c r="E31" s="1268">
        <f>'[77]POS by sector '!$E$28</f>
        <v>1985</v>
      </c>
      <c r="F31" s="1268">
        <f>'[77]POS by sector '!$F$28</f>
        <v>25235.957999999999</v>
      </c>
      <c r="G31" s="1268">
        <f>'[78]POS by sector '!$E$28</f>
        <v>2343</v>
      </c>
      <c r="H31" s="1268">
        <f>'[78]POS by sector '!$F$28</f>
        <v>26632.161999999997</v>
      </c>
      <c r="I31" s="1268">
        <f>'[79]POS by sector '!$E$28</f>
        <v>853</v>
      </c>
      <c r="J31" s="1268">
        <f>'[79]POS by sector '!$F$28</f>
        <v>13755.530999999999</v>
      </c>
      <c r="K31" s="1268">
        <f>'[80]POS by sector '!$E$28</f>
        <v>1041</v>
      </c>
      <c r="L31" s="1268">
        <f>'[80]POS by sector '!$F$28</f>
        <v>17867.188999999998</v>
      </c>
      <c r="M31" s="1268">
        <f>'[81]POS by sector '!$E$28</f>
        <v>806</v>
      </c>
      <c r="N31" s="1268">
        <f>'[81]POS by sector '!$F$28</f>
        <v>13706.198</v>
      </c>
      <c r="O31" s="1268">
        <f>'[82]POS by sector '!$E$28</f>
        <v>180</v>
      </c>
      <c r="P31" s="1268">
        <f>'[82]POS by sector '!$F$28</f>
        <v>3607.9749999999999</v>
      </c>
      <c r="Q31" s="1268">
        <f>'[83]POS by sector '!$E$28</f>
        <v>135</v>
      </c>
      <c r="R31" s="1268">
        <f>'[83]POS by sector '!$F$28</f>
        <v>2494.63</v>
      </c>
      <c r="S31" s="1271" t="s">
        <v>1294</v>
      </c>
    </row>
    <row r="32" spans="1:19" ht="31.5" customHeight="1">
      <c r="A32" s="1266">
        <v>20</v>
      </c>
      <c r="B32" s="1270" t="s">
        <v>1295</v>
      </c>
      <c r="C32" s="1268">
        <f>'[76]POS by sector '!$E$29</f>
        <v>162063</v>
      </c>
      <c r="D32" s="1268">
        <f>'[76]POS by sector '!$F$29</f>
        <v>4603265.3640000001</v>
      </c>
      <c r="E32" s="1268">
        <f>'[77]POS by sector '!$E$29</f>
        <v>154811</v>
      </c>
      <c r="F32" s="1268">
        <f>'[77]POS by sector '!$F$29</f>
        <v>4385956.0239999993</v>
      </c>
      <c r="G32" s="1268">
        <f>'[78]POS by sector '!$E$29</f>
        <v>211512</v>
      </c>
      <c r="H32" s="1268">
        <f>'[78]POS by sector '!$F$29</f>
        <v>5960835.5809999993</v>
      </c>
      <c r="I32" s="1268">
        <f>'[79]POS by sector '!$E$29</f>
        <v>255143</v>
      </c>
      <c r="J32" s="1268">
        <f>'[79]POS by sector '!$F$29</f>
        <v>6882622.5539999986</v>
      </c>
      <c r="K32" s="1268">
        <f>'[80]POS by sector '!$E$29</f>
        <v>324570</v>
      </c>
      <c r="L32" s="1268">
        <f>'[80]POS by sector '!$F$29</f>
        <v>8477428.8469999991</v>
      </c>
      <c r="M32" s="1268">
        <f>'[81]POS by sector '!$E$29</f>
        <v>215187</v>
      </c>
      <c r="N32" s="1268">
        <f>'[81]POS by sector '!$F$29</f>
        <v>5842651.7659999998</v>
      </c>
      <c r="O32" s="1268">
        <f>'[82]POS by sector '!$E$29</f>
        <v>27226</v>
      </c>
      <c r="P32" s="1268">
        <f>'[82]POS by sector '!$F$29</f>
        <v>809963.26100000017</v>
      </c>
      <c r="Q32" s="1268">
        <f>'[83]POS by sector '!$E$29</f>
        <v>14523</v>
      </c>
      <c r="R32" s="1268">
        <f>'[83]POS by sector '!$F$29</f>
        <v>485829.01900000003</v>
      </c>
      <c r="S32" s="1271" t="s">
        <v>1296</v>
      </c>
    </row>
    <row r="33" spans="1:19" s="1277" customFormat="1" ht="31.5" customHeight="1">
      <c r="A33" s="1273"/>
      <c r="B33" s="1274" t="s">
        <v>378</v>
      </c>
      <c r="C33" s="1275">
        <f>'[76]POS by sector '!$E$30</f>
        <v>533558</v>
      </c>
      <c r="D33" s="1275">
        <f>'[76]POS by sector '!$F$30</f>
        <v>15767316.217000011</v>
      </c>
      <c r="E33" s="1275">
        <f>'[77]POS by sector '!$E$30</f>
        <v>517980</v>
      </c>
      <c r="F33" s="1275">
        <f>'[77]POS by sector '!$F$30</f>
        <v>15153600.11500001</v>
      </c>
      <c r="G33" s="1275">
        <f>'[78]POS by sector '!$E$30</f>
        <v>660372</v>
      </c>
      <c r="H33" s="1275">
        <f>'[78]POS by sector '!$F$30</f>
        <v>21141163.946999997</v>
      </c>
      <c r="I33" s="1275">
        <f>'[79]POS by sector '!$E$30</f>
        <v>766744</v>
      </c>
      <c r="J33" s="1275">
        <f>'[79]POS by sector '!$F$30</f>
        <v>22308836.638999995</v>
      </c>
      <c r="K33" s="1275">
        <f>'[80]POS by sector '!$E$30</f>
        <v>979290</v>
      </c>
      <c r="L33" s="1275">
        <f>'[80]POS by sector '!$F$30</f>
        <v>27164893.513999995</v>
      </c>
      <c r="M33" s="1275">
        <f>'[81]POS by sector '!$E$30</f>
        <v>658339</v>
      </c>
      <c r="N33" s="1275">
        <f>'[81]POS by sector '!$F$30</f>
        <v>19018921.977999996</v>
      </c>
      <c r="O33" s="1275">
        <f>'[82]POS by sector '!$E$30</f>
        <v>116036</v>
      </c>
      <c r="P33" s="1275">
        <f>'[82]POS by sector '!$F$30</f>
        <v>3256431.0560000008</v>
      </c>
      <c r="Q33" s="1275">
        <f>'[83]POS by sector '!$E$30</f>
        <v>62922</v>
      </c>
      <c r="R33" s="1275">
        <f>'[83]POS by sector '!$F$30</f>
        <v>1687947.0289999999</v>
      </c>
      <c r="S33" s="1276" t="s">
        <v>367</v>
      </c>
    </row>
    <row r="34" spans="1:19" ht="27.75" customHeight="1">
      <c r="A34" s="1278" t="s">
        <v>1297</v>
      </c>
      <c r="B34" s="1279"/>
      <c r="C34" s="1280"/>
      <c r="D34" s="1280"/>
      <c r="E34" s="1280"/>
      <c r="F34" s="1280"/>
      <c r="G34" s="1280"/>
      <c r="H34" s="1280"/>
      <c r="I34" s="1280"/>
      <c r="J34" s="1280"/>
      <c r="K34" s="1280"/>
      <c r="L34" s="1280"/>
      <c r="M34" s="1280"/>
      <c r="N34" s="1280"/>
      <c r="O34" s="1280"/>
      <c r="P34" s="1280"/>
      <c r="Q34" s="1280"/>
      <c r="R34" s="1280"/>
      <c r="S34" s="1281" t="s">
        <v>1298</v>
      </c>
    </row>
    <row r="35" spans="1:19" ht="18">
      <c r="A35" s="1278" t="s">
        <v>1299</v>
      </c>
      <c r="B35" s="1279"/>
      <c r="C35" s="1280"/>
      <c r="D35" s="1280"/>
      <c r="E35" s="1280"/>
      <c r="F35" s="1280"/>
      <c r="G35" s="1280"/>
      <c r="H35" s="1280"/>
      <c r="I35" s="1280"/>
      <c r="J35" s="1280"/>
      <c r="K35" s="1280"/>
      <c r="L35" s="1280"/>
      <c r="M35" s="1280"/>
      <c r="N35" s="1280"/>
      <c r="O35" s="1280"/>
      <c r="P35" s="1280"/>
      <c r="Q35" s="1280"/>
      <c r="R35" s="1280"/>
      <c r="S35" s="1281" t="s">
        <v>1300</v>
      </c>
    </row>
    <row r="36" spans="1:19">
      <c r="A36" s="1282"/>
      <c r="B36" s="1282"/>
      <c r="C36" s="1282"/>
      <c r="D36" s="1282"/>
      <c r="E36" s="1282"/>
      <c r="F36" s="1282"/>
      <c r="G36" s="1282"/>
      <c r="H36" s="1282"/>
      <c r="I36" s="1282"/>
      <c r="J36" s="1282"/>
      <c r="K36" s="1282"/>
      <c r="L36" s="1282"/>
      <c r="M36" s="1282"/>
      <c r="N36" s="1282"/>
      <c r="O36" s="1282"/>
      <c r="P36" s="1282"/>
      <c r="Q36" s="1282"/>
      <c r="R36" s="1282"/>
    </row>
    <row r="37" spans="1:19">
      <c r="A37" s="1283" t="s">
        <v>1304</v>
      </c>
      <c r="B37" s="1283"/>
      <c r="C37" s="1283"/>
      <c r="D37" s="1283"/>
      <c r="E37" s="1283"/>
      <c r="F37" s="1283"/>
      <c r="G37" s="1283"/>
      <c r="H37" s="1283"/>
      <c r="I37" s="1283"/>
      <c r="J37" s="1283"/>
      <c r="K37" s="1283"/>
      <c r="L37" s="1283"/>
      <c r="M37" s="1283"/>
      <c r="N37" s="1283"/>
      <c r="O37" s="1283"/>
      <c r="P37" s="1283"/>
      <c r="Q37" s="1283"/>
      <c r="R37" s="1283"/>
      <c r="S37" s="1283"/>
    </row>
    <row r="39" spans="1:19">
      <c r="C39" s="1285"/>
      <c r="D39" s="1285"/>
      <c r="E39" s="1285"/>
      <c r="F39" s="1285"/>
      <c r="G39" s="1285"/>
      <c r="H39" s="1285"/>
      <c r="I39" s="1285"/>
      <c r="J39" s="1285"/>
      <c r="K39" s="1285"/>
      <c r="L39" s="1285"/>
      <c r="M39" s="1285"/>
      <c r="N39" s="1285"/>
      <c r="O39" s="1285"/>
      <c r="P39" s="1285"/>
      <c r="Q39" s="1285"/>
      <c r="R39" s="1285"/>
    </row>
    <row r="40" spans="1:19">
      <c r="A40" s="1286"/>
      <c r="B40" s="1287"/>
      <c r="C40" s="1287"/>
      <c r="D40" s="1287"/>
      <c r="E40" s="1287"/>
      <c r="F40" s="1287"/>
      <c r="G40" s="1287"/>
      <c r="H40" s="1287"/>
      <c r="I40" s="1287"/>
      <c r="J40" s="1287"/>
      <c r="K40" s="1287"/>
      <c r="L40" s="1287"/>
      <c r="M40" s="1287"/>
      <c r="N40" s="1287"/>
      <c r="O40" s="1287"/>
      <c r="P40" s="1287"/>
      <c r="Q40" s="1287"/>
      <c r="R40" s="1287"/>
      <c r="S40" s="1287"/>
    </row>
    <row r="41" spans="1:19">
      <c r="A41" s="1286"/>
      <c r="B41" s="1287"/>
      <c r="C41" s="1288"/>
      <c r="D41" s="1288"/>
      <c r="E41" s="1288"/>
      <c r="F41" s="1288"/>
      <c r="G41" s="1288"/>
      <c r="H41" s="1288"/>
      <c r="I41" s="1288"/>
      <c r="J41" s="1288"/>
      <c r="K41" s="1288"/>
      <c r="L41" s="1288"/>
      <c r="M41" s="1288"/>
      <c r="N41" s="1288"/>
      <c r="O41" s="1288"/>
      <c r="P41" s="1288"/>
      <c r="Q41" s="1288"/>
      <c r="R41" s="1288"/>
      <c r="S41" s="1288"/>
    </row>
  </sheetData>
  <mergeCells count="11">
    <mergeCell ref="A9:A12"/>
    <mergeCell ref="B9:B12"/>
    <mergeCell ref="S9:S12"/>
    <mergeCell ref="C10:D10"/>
    <mergeCell ref="E10:F10"/>
    <mergeCell ref="G10:H10"/>
    <mergeCell ref="I10:J10"/>
    <mergeCell ref="K10:L10"/>
    <mergeCell ref="O10:P10"/>
    <mergeCell ref="M10:N10"/>
    <mergeCell ref="Q10:R10"/>
  </mergeCells>
  <printOptions horizontalCentered="1"/>
  <pageMargins left="0.25" right="0.25" top="0.75" bottom="0.75" header="0.3" footer="0.3"/>
  <pageSetup paperSize="9" scale="4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47"/>
  <sheetViews>
    <sheetView zoomScale="90" zoomScaleNormal="90" workbookViewId="0">
      <pane ySplit="12" topLeftCell="A36" activePane="bottomLeft" state="frozen"/>
      <selection activeCell="A49" sqref="A1:XFD1048576"/>
      <selection pane="bottomLeft" activeCell="A49" sqref="A1:XFD1048576"/>
    </sheetView>
  </sheetViews>
  <sheetFormatPr defaultColWidth="7.85546875" defaultRowHeight="12.75"/>
  <cols>
    <col min="1" max="2" width="9.7109375" style="29" customWidth="1"/>
    <col min="3" max="11" width="14.7109375" style="29" customWidth="1"/>
    <col min="12" max="12" width="14.7109375" style="167" customWidth="1"/>
    <col min="13" max="16384" width="7.85546875" style="29"/>
  </cols>
  <sheetData>
    <row r="1" spans="1:13" s="26" customFormat="1" ht="18">
      <c r="A1" s="18" t="s">
        <v>1635</v>
      </c>
      <c r="B1" s="4"/>
      <c r="C1" s="4"/>
      <c r="D1" s="4"/>
      <c r="E1" s="4"/>
      <c r="F1" s="4"/>
      <c r="G1" s="4"/>
      <c r="H1" s="4"/>
      <c r="I1" s="4"/>
      <c r="J1" s="4"/>
      <c r="K1" s="4"/>
      <c r="L1" s="1963"/>
    </row>
    <row r="2" spans="1:13" s="26" customFormat="1" ht="18">
      <c r="A2" s="1964" t="s">
        <v>7</v>
      </c>
      <c r="B2" s="4"/>
      <c r="C2" s="4"/>
      <c r="D2" s="4"/>
      <c r="E2" s="4"/>
      <c r="F2" s="4"/>
      <c r="G2" s="4"/>
      <c r="H2" s="4"/>
      <c r="I2" s="4"/>
      <c r="J2" s="4"/>
      <c r="K2" s="4"/>
      <c r="L2" s="1963"/>
    </row>
    <row r="3" spans="1:13" s="26" customFormat="1" ht="18">
      <c r="A3" s="18" t="s">
        <v>6</v>
      </c>
      <c r="B3" s="4"/>
      <c r="C3" s="4"/>
      <c r="D3" s="4"/>
      <c r="E3" s="4"/>
      <c r="F3" s="4"/>
      <c r="G3" s="4"/>
      <c r="H3" s="4"/>
      <c r="I3" s="4"/>
      <c r="J3" s="4"/>
      <c r="K3" s="3"/>
      <c r="L3" s="161"/>
    </row>
    <row r="4" spans="1:13" s="26" customFormat="1" ht="0.6" customHeight="1">
      <c r="A4" s="18"/>
      <c r="B4" s="4"/>
      <c r="C4" s="4"/>
      <c r="D4" s="4"/>
      <c r="E4" s="4"/>
      <c r="F4" s="4"/>
      <c r="G4" s="4"/>
      <c r="H4" s="4"/>
      <c r="I4" s="4"/>
      <c r="J4" s="4"/>
      <c r="K4" s="3"/>
      <c r="L4" s="161"/>
    </row>
    <row r="5" spans="1:13" s="26" customFormat="1" ht="0.6" customHeight="1">
      <c r="A5" s="18"/>
      <c r="B5" s="4"/>
      <c r="C5" s="4"/>
      <c r="D5" s="4"/>
      <c r="E5" s="4"/>
      <c r="F5" s="4"/>
      <c r="G5" s="4"/>
      <c r="H5" s="4"/>
      <c r="I5" s="4"/>
      <c r="J5" s="4"/>
      <c r="K5" s="3"/>
      <c r="L5" s="161"/>
    </row>
    <row r="6" spans="1:13" s="14" customFormat="1" ht="14.85" customHeight="1">
      <c r="A6" s="42" t="s">
        <v>354</v>
      </c>
      <c r="K6" s="19"/>
      <c r="L6" s="162" t="s">
        <v>355</v>
      </c>
    </row>
    <row r="7" spans="1:13" s="52" customFormat="1" ht="18" customHeight="1">
      <c r="A7" s="33"/>
      <c r="B7" s="48"/>
      <c r="C7" s="284" t="s">
        <v>411</v>
      </c>
      <c r="D7" s="45"/>
      <c r="E7" s="45"/>
      <c r="F7" s="133"/>
      <c r="G7" s="133"/>
      <c r="H7" s="229"/>
      <c r="I7" s="239"/>
      <c r="J7" s="287" t="s">
        <v>412</v>
      </c>
      <c r="K7" s="323"/>
      <c r="L7" s="230"/>
    </row>
    <row r="8" spans="1:13" s="52" customFormat="1" ht="18" customHeight="1">
      <c r="A8" s="169"/>
      <c r="B8" s="112"/>
      <c r="C8" s="285" t="s">
        <v>413</v>
      </c>
      <c r="D8" s="45"/>
      <c r="E8" s="133"/>
      <c r="F8" s="261"/>
      <c r="G8" s="133"/>
      <c r="H8" s="286" t="s">
        <v>414</v>
      </c>
      <c r="I8" s="103"/>
      <c r="J8" s="78"/>
      <c r="K8" s="86" t="s">
        <v>415</v>
      </c>
      <c r="L8" s="163" t="s">
        <v>412</v>
      </c>
    </row>
    <row r="9" spans="1:13" s="39" customFormat="1" ht="18" customHeight="1">
      <c r="A9" s="27" t="s">
        <v>364</v>
      </c>
      <c r="B9" s="80"/>
      <c r="C9" s="81"/>
      <c r="D9" s="82"/>
      <c r="E9" s="82"/>
      <c r="F9" s="83"/>
      <c r="G9" s="84"/>
      <c r="H9" s="85" t="s">
        <v>416</v>
      </c>
      <c r="I9" s="290" t="s">
        <v>417</v>
      </c>
      <c r="J9" s="291" t="s">
        <v>367</v>
      </c>
      <c r="K9" s="86" t="s">
        <v>418</v>
      </c>
      <c r="L9" s="163" t="s">
        <v>419</v>
      </c>
    </row>
    <row r="10" spans="1:13" s="52" customFormat="1" ht="18" customHeight="1">
      <c r="A10" s="87" t="s">
        <v>372</v>
      </c>
      <c r="B10" s="88"/>
      <c r="C10" s="79" t="s">
        <v>420</v>
      </c>
      <c r="D10" s="86" t="s">
        <v>421</v>
      </c>
      <c r="E10" s="86" t="s">
        <v>422</v>
      </c>
      <c r="F10" s="86" t="s">
        <v>423</v>
      </c>
      <c r="G10" s="765" t="s">
        <v>424</v>
      </c>
      <c r="H10" s="86" t="s">
        <v>425</v>
      </c>
      <c r="I10" s="289" t="s">
        <v>426</v>
      </c>
      <c r="J10" s="288" t="s">
        <v>378</v>
      </c>
      <c r="K10" s="70" t="s">
        <v>6</v>
      </c>
      <c r="L10" s="164" t="s">
        <v>6</v>
      </c>
    </row>
    <row r="11" spans="1:13" s="56" customFormat="1" ht="18" customHeight="1">
      <c r="A11" s="89"/>
      <c r="B11" s="90"/>
      <c r="C11" s="91" t="s">
        <v>427</v>
      </c>
      <c r="D11" s="91" t="s">
        <v>428</v>
      </c>
      <c r="E11" s="91" t="s">
        <v>429</v>
      </c>
      <c r="F11" s="91" t="s">
        <v>430</v>
      </c>
      <c r="G11" s="92" t="s">
        <v>431</v>
      </c>
      <c r="H11" s="93" t="s">
        <v>378</v>
      </c>
      <c r="I11" s="91"/>
      <c r="J11" s="91"/>
      <c r="K11" s="70" t="s">
        <v>432</v>
      </c>
      <c r="L11" s="165" t="s">
        <v>433</v>
      </c>
    </row>
    <row r="12" spans="1:13" s="56" customFormat="1" ht="18" customHeight="1">
      <c r="A12" s="94"/>
      <c r="B12" s="95"/>
      <c r="C12" s="54"/>
      <c r="D12" s="96"/>
      <c r="E12" s="97"/>
      <c r="F12" s="97"/>
      <c r="G12" s="98"/>
      <c r="H12" s="99" t="s">
        <v>434</v>
      </c>
      <c r="I12" s="100"/>
      <c r="J12" s="97"/>
      <c r="K12" s="97" t="s">
        <v>435</v>
      </c>
      <c r="L12" s="166" t="s">
        <v>391</v>
      </c>
    </row>
    <row r="13" spans="1:13" s="327" customFormat="1" ht="20.25" customHeight="1">
      <c r="A13" s="432">
        <v>2010</v>
      </c>
      <c r="B13" s="433"/>
      <c r="C13" s="1965">
        <v>340.8</v>
      </c>
      <c r="D13" s="786">
        <v>46.9</v>
      </c>
      <c r="E13" s="1966">
        <v>13.1</v>
      </c>
      <c r="F13" s="1966">
        <v>17.100000000000001</v>
      </c>
      <c r="G13" s="1966">
        <v>5.7</v>
      </c>
      <c r="H13" s="1783">
        <v>423.6</v>
      </c>
      <c r="I13" s="1966">
        <v>13.4</v>
      </c>
      <c r="J13" s="1783">
        <v>437</v>
      </c>
      <c r="K13" s="786">
        <v>87.373716839230781</v>
      </c>
      <c r="L13" s="1967">
        <v>349.62628316076922</v>
      </c>
      <c r="M13" s="335">
        <f t="shared" ref="M13:M15" si="0">J13-H13-I13</f>
        <v>-2.3092638912203256E-14</v>
      </c>
    </row>
    <row r="14" spans="1:13" s="435" customFormat="1" ht="14.25" customHeight="1">
      <c r="A14" s="380">
        <v>2011</v>
      </c>
      <c r="B14" s="434"/>
      <c r="C14" s="1968">
        <v>404</v>
      </c>
      <c r="D14" s="1919">
        <v>53.1</v>
      </c>
      <c r="E14" s="1969">
        <v>14.4</v>
      </c>
      <c r="F14" s="1969">
        <v>17.7</v>
      </c>
      <c r="G14" s="1969">
        <v>5.7</v>
      </c>
      <c r="H14" s="1968">
        <v>494.9</v>
      </c>
      <c r="I14" s="1969">
        <v>14.1</v>
      </c>
      <c r="J14" s="1968">
        <v>509</v>
      </c>
      <c r="K14" s="1919">
        <v>106.78943203971504</v>
      </c>
      <c r="L14" s="1968">
        <v>402.21056796028495</v>
      </c>
      <c r="M14" s="335">
        <v>2.3092638912203256E-14</v>
      </c>
    </row>
    <row r="15" spans="1:13" s="435" customFormat="1" ht="14.25" customHeight="1">
      <c r="A15" s="380">
        <v>2012</v>
      </c>
      <c r="B15" s="434"/>
      <c r="C15" s="1968">
        <v>411.6</v>
      </c>
      <c r="D15" s="1919">
        <v>55.8</v>
      </c>
      <c r="E15" s="1969">
        <v>15.7</v>
      </c>
      <c r="F15" s="1969">
        <v>18.899999999999999</v>
      </c>
      <c r="G15" s="1969">
        <v>5.4</v>
      </c>
      <c r="H15" s="1968">
        <v>507.4</v>
      </c>
      <c r="I15" s="1969">
        <v>15.1</v>
      </c>
      <c r="J15" s="1968">
        <v>522.5</v>
      </c>
      <c r="K15" s="1919">
        <v>101.05313700830682</v>
      </c>
      <c r="L15" s="1968">
        <v>421.44686299169319</v>
      </c>
      <c r="M15" s="335">
        <f t="shared" si="0"/>
        <v>2.3092638912203256E-14</v>
      </c>
    </row>
    <row r="16" spans="1:13" s="435" customFormat="1" ht="14.25" customHeight="1">
      <c r="A16" s="380">
        <v>2013</v>
      </c>
      <c r="B16" s="434"/>
      <c r="C16" s="1968">
        <v>457.5</v>
      </c>
      <c r="D16" s="1919">
        <v>59</v>
      </c>
      <c r="E16" s="1969">
        <v>17.2</v>
      </c>
      <c r="F16" s="1969">
        <v>21</v>
      </c>
      <c r="G16" s="1969">
        <v>6.9</v>
      </c>
      <c r="H16" s="1968">
        <v>561.6</v>
      </c>
      <c r="I16" s="1969">
        <v>16.399999999999999</v>
      </c>
      <c r="J16" s="1968">
        <v>578</v>
      </c>
      <c r="K16" s="1919">
        <v>116.871074151</v>
      </c>
      <c r="L16" s="1968">
        <v>461.12892584899998</v>
      </c>
      <c r="M16" s="335">
        <v>0</v>
      </c>
    </row>
    <row r="17" spans="1:23" s="435" customFormat="1" ht="14.25" customHeight="1">
      <c r="A17" s="380">
        <v>2014</v>
      </c>
      <c r="B17" s="434"/>
      <c r="C17" s="1968">
        <v>483.9</v>
      </c>
      <c r="D17" s="1919">
        <v>60.3</v>
      </c>
      <c r="E17" s="1969">
        <v>18.100000000000001</v>
      </c>
      <c r="F17" s="1969">
        <v>22.7</v>
      </c>
      <c r="G17" s="1969">
        <v>8</v>
      </c>
      <c r="H17" s="1968">
        <v>593</v>
      </c>
      <c r="I17" s="1969">
        <v>17.5</v>
      </c>
      <c r="J17" s="1968">
        <v>610.5</v>
      </c>
      <c r="K17" s="1919">
        <v>117.257006902</v>
      </c>
      <c r="L17" s="1968">
        <v>493.242993098</v>
      </c>
      <c r="M17" s="335">
        <v>0</v>
      </c>
    </row>
    <row r="18" spans="1:23" s="435" customFormat="1" ht="14.25" customHeight="1">
      <c r="A18" s="380">
        <v>2015</v>
      </c>
      <c r="B18" s="434"/>
      <c r="C18" s="1968">
        <v>512.4</v>
      </c>
      <c r="D18" s="1919">
        <v>66.099999999999994</v>
      </c>
      <c r="E18" s="1969">
        <v>19.600000000000001</v>
      </c>
      <c r="F18" s="1969">
        <v>25.1</v>
      </c>
      <c r="G18" s="1969">
        <v>8.3000000000000007</v>
      </c>
      <c r="H18" s="1968">
        <v>631.5</v>
      </c>
      <c r="I18" s="1969">
        <v>18.600000000000001</v>
      </c>
      <c r="J18" s="1968">
        <v>650.1</v>
      </c>
      <c r="K18" s="1919">
        <v>124.93659186170002</v>
      </c>
      <c r="L18" s="1968">
        <v>525.16340813830004</v>
      </c>
      <c r="M18" s="335">
        <v>0</v>
      </c>
    </row>
    <row r="19" spans="1:23" s="435" customFormat="1" ht="14.25" customHeight="1">
      <c r="A19" s="380">
        <v>2016</v>
      </c>
      <c r="B19" s="434"/>
      <c r="C19" s="1968">
        <v>529.29999999999995</v>
      </c>
      <c r="D19" s="1919">
        <v>69.7</v>
      </c>
      <c r="E19" s="1969">
        <v>20.6</v>
      </c>
      <c r="F19" s="1969">
        <v>23.2</v>
      </c>
      <c r="G19" s="1969">
        <v>8</v>
      </c>
      <c r="H19" s="1968">
        <v>650.80000000000007</v>
      </c>
      <c r="I19" s="1969">
        <v>19.8</v>
      </c>
      <c r="J19" s="1968">
        <v>670.6</v>
      </c>
      <c r="K19" s="1919">
        <v>135.30073358308633</v>
      </c>
      <c r="L19" s="1968">
        <v>535.29926641691372</v>
      </c>
      <c r="M19" s="335">
        <v>-4.6185277824406512E-14</v>
      </c>
    </row>
    <row r="20" spans="1:23" s="435" customFormat="1" ht="14.25" customHeight="1">
      <c r="A20" s="380">
        <v>2017</v>
      </c>
      <c r="B20" s="434"/>
      <c r="C20" s="1968">
        <v>517.6</v>
      </c>
      <c r="D20" s="1919">
        <v>71.099999999999994</v>
      </c>
      <c r="E20" s="1969">
        <v>21.8</v>
      </c>
      <c r="F20" s="1969">
        <v>23.4</v>
      </c>
      <c r="G20" s="1969">
        <v>8.1999999999999993</v>
      </c>
      <c r="H20" s="1968">
        <v>642.1</v>
      </c>
      <c r="I20" s="1969">
        <v>20.6</v>
      </c>
      <c r="J20" s="1968">
        <v>662.7</v>
      </c>
      <c r="K20" s="1919">
        <v>135.87010868949105</v>
      </c>
      <c r="L20" s="1968">
        <v>526.82989131050897</v>
      </c>
      <c r="M20" s="335">
        <v>0</v>
      </c>
    </row>
    <row r="21" spans="1:23" s="411" customFormat="1" ht="14.25" customHeight="1">
      <c r="A21" s="905">
        <v>2018</v>
      </c>
      <c r="B21" s="906"/>
      <c r="C21" s="1078">
        <f t="shared" ref="C21:L21" si="1">C25</f>
        <v>522.29999999999995</v>
      </c>
      <c r="D21" s="814">
        <f t="shared" si="1"/>
        <v>79.400000000000006</v>
      </c>
      <c r="E21" s="1079">
        <f t="shared" si="1"/>
        <v>24.4</v>
      </c>
      <c r="F21" s="1079">
        <f t="shared" si="1"/>
        <v>24.9</v>
      </c>
      <c r="G21" s="1079">
        <f t="shared" si="1"/>
        <v>9.1999999999999993</v>
      </c>
      <c r="H21" s="1078">
        <f t="shared" si="1"/>
        <v>660.19999999999993</v>
      </c>
      <c r="I21" s="1079">
        <f t="shared" si="1"/>
        <v>21.5</v>
      </c>
      <c r="J21" s="1078">
        <f t="shared" si="1"/>
        <v>681.7</v>
      </c>
      <c r="K21" s="814">
        <f t="shared" si="1"/>
        <v>153.61401866671198</v>
      </c>
      <c r="L21" s="1080">
        <f t="shared" si="1"/>
        <v>528.08598133328803</v>
      </c>
      <c r="M21" s="925">
        <f>J21-H21-I21</f>
        <v>1.1368683772161603E-13</v>
      </c>
    </row>
    <row r="22" spans="1:23" s="411" customFormat="1" ht="14.25" customHeight="1">
      <c r="A22" s="1193">
        <v>2019</v>
      </c>
      <c r="B22" s="1483"/>
      <c r="C22" s="1798">
        <f t="shared" ref="C22:L22" si="2">C29</f>
        <v>521.5</v>
      </c>
      <c r="D22" s="1922">
        <f t="shared" si="2"/>
        <v>81</v>
      </c>
      <c r="E22" s="1970">
        <f t="shared" si="2"/>
        <v>28.2</v>
      </c>
      <c r="F22" s="1970">
        <f t="shared" si="2"/>
        <v>24.9</v>
      </c>
      <c r="G22" s="1970">
        <f t="shared" si="2"/>
        <v>9.1</v>
      </c>
      <c r="H22" s="1798">
        <f t="shared" si="2"/>
        <v>664.7</v>
      </c>
      <c r="I22" s="1970">
        <f t="shared" si="2"/>
        <v>22.4</v>
      </c>
      <c r="J22" s="1798">
        <f t="shared" si="2"/>
        <v>687.1</v>
      </c>
      <c r="K22" s="1922">
        <f t="shared" si="2"/>
        <v>152.01815108439322</v>
      </c>
      <c r="L22" s="1971">
        <f t="shared" si="2"/>
        <v>535.08184891560677</v>
      </c>
      <c r="M22" s="925">
        <f>J22-H22-I22</f>
        <v>0</v>
      </c>
    </row>
    <row r="23" spans="1:23" s="411" customFormat="1" ht="20.25" customHeight="1">
      <c r="A23" s="905">
        <v>2018</v>
      </c>
      <c r="B23" s="906" t="s">
        <v>223</v>
      </c>
      <c r="C23" s="1078">
        <v>551.5</v>
      </c>
      <c r="D23" s="814">
        <v>82.6</v>
      </c>
      <c r="E23" s="1079">
        <v>26.1</v>
      </c>
      <c r="F23" s="1079">
        <v>26.9</v>
      </c>
      <c r="G23" s="1079">
        <v>10.3</v>
      </c>
      <c r="H23" s="1078">
        <v>697.4</v>
      </c>
      <c r="I23" s="1079">
        <v>21.3</v>
      </c>
      <c r="J23" s="1078">
        <v>718.7</v>
      </c>
      <c r="K23" s="814">
        <v>133.43225775016785</v>
      </c>
      <c r="L23" s="1080">
        <v>585.26774224983217</v>
      </c>
      <c r="M23" s="335">
        <f t="shared" ref="M23" si="3">J23-H23-I23</f>
        <v>6.7501559897209518E-14</v>
      </c>
    </row>
    <row r="24" spans="1:23" s="411" customFormat="1" ht="14.25" customHeight="1">
      <c r="A24" s="905"/>
      <c r="B24" s="906" t="s">
        <v>224</v>
      </c>
      <c r="C24" s="1078">
        <v>505</v>
      </c>
      <c r="D24" s="814">
        <v>76.7</v>
      </c>
      <c r="E24" s="1079">
        <v>24.9</v>
      </c>
      <c r="F24" s="1079">
        <v>25.8</v>
      </c>
      <c r="G24" s="1079">
        <v>10.199999999999999</v>
      </c>
      <c r="H24" s="1078">
        <v>642.6</v>
      </c>
      <c r="I24" s="1079">
        <v>21.5</v>
      </c>
      <c r="J24" s="1078">
        <v>664.1</v>
      </c>
      <c r="K24" s="814">
        <v>139.56179496600831</v>
      </c>
      <c r="L24" s="1080">
        <v>524.53820503399174</v>
      </c>
      <c r="M24" s="925">
        <v>0</v>
      </c>
    </row>
    <row r="25" spans="1:23" s="411" customFormat="1" ht="14.25" customHeight="1">
      <c r="A25" s="905"/>
      <c r="B25" s="906" t="s">
        <v>225</v>
      </c>
      <c r="C25" s="1078">
        <v>522.29999999999995</v>
      </c>
      <c r="D25" s="814">
        <v>79.400000000000006</v>
      </c>
      <c r="E25" s="1079">
        <v>24.4</v>
      </c>
      <c r="F25" s="1079">
        <v>24.9</v>
      </c>
      <c r="G25" s="1079">
        <v>9.1999999999999993</v>
      </c>
      <c r="H25" s="1078">
        <v>660.19999999999993</v>
      </c>
      <c r="I25" s="1079">
        <v>21.5</v>
      </c>
      <c r="J25" s="1078">
        <v>681.7</v>
      </c>
      <c r="K25" s="814">
        <v>153.61401866671198</v>
      </c>
      <c r="L25" s="1080">
        <v>528.08598133328803</v>
      </c>
      <c r="M25" s="925">
        <v>1.1368683772161603E-13</v>
      </c>
    </row>
    <row r="26" spans="1:23" s="411" customFormat="1" ht="20.25" customHeight="1">
      <c r="A26" s="905">
        <v>2019</v>
      </c>
      <c r="B26" s="906" t="s">
        <v>222</v>
      </c>
      <c r="C26" s="1078">
        <v>528.9</v>
      </c>
      <c r="D26" s="814">
        <v>80</v>
      </c>
      <c r="E26" s="1079">
        <v>24.8</v>
      </c>
      <c r="F26" s="1079">
        <v>24.3</v>
      </c>
      <c r="G26" s="1079">
        <v>8.6999999999999993</v>
      </c>
      <c r="H26" s="1078">
        <v>666.69999999999993</v>
      </c>
      <c r="I26" s="1079">
        <v>21.6</v>
      </c>
      <c r="J26" s="1078">
        <v>688.3</v>
      </c>
      <c r="K26" s="814">
        <v>144.15080029595211</v>
      </c>
      <c r="L26" s="1080">
        <v>544.14919970404787</v>
      </c>
      <c r="M26" s="335">
        <v>0</v>
      </c>
    </row>
    <row r="27" spans="1:23" s="411" customFormat="1" ht="14.25" customHeight="1">
      <c r="A27" s="905"/>
      <c r="B27" s="906" t="s">
        <v>223</v>
      </c>
      <c r="C27" s="1078">
        <f t="shared" ref="C27:L27" si="4">C33</f>
        <v>534.4</v>
      </c>
      <c r="D27" s="814">
        <f t="shared" si="4"/>
        <v>83.6</v>
      </c>
      <c r="E27" s="1079">
        <f t="shared" si="4"/>
        <v>27.3</v>
      </c>
      <c r="F27" s="1079">
        <f t="shared" si="4"/>
        <v>27.4</v>
      </c>
      <c r="G27" s="1079">
        <f t="shared" si="4"/>
        <v>10.3</v>
      </c>
      <c r="H27" s="1078">
        <f t="shared" si="4"/>
        <v>682.99999999999989</v>
      </c>
      <c r="I27" s="1079">
        <f t="shared" si="4"/>
        <v>22.1</v>
      </c>
      <c r="J27" s="1078">
        <f t="shared" si="4"/>
        <v>705.1</v>
      </c>
      <c r="K27" s="814">
        <f t="shared" si="4"/>
        <v>139.84778012291525</v>
      </c>
      <c r="L27" s="1080">
        <f t="shared" si="4"/>
        <v>565.25221987708483</v>
      </c>
      <c r="M27" s="335">
        <f t="shared" ref="M27" si="5">J27-H27-I27</f>
        <v>1.3500311979441904E-13</v>
      </c>
    </row>
    <row r="28" spans="1:23" s="411" customFormat="1" ht="14.25" customHeight="1">
      <c r="A28" s="905"/>
      <c r="B28" s="906" t="s">
        <v>224</v>
      </c>
      <c r="C28" s="1078">
        <f t="shared" ref="C28:L28" si="6">C36</f>
        <v>507.2</v>
      </c>
      <c r="D28" s="814">
        <f t="shared" si="6"/>
        <v>80.3</v>
      </c>
      <c r="E28" s="1079">
        <f t="shared" si="6"/>
        <v>26.7</v>
      </c>
      <c r="F28" s="1079">
        <f t="shared" si="6"/>
        <v>26.1</v>
      </c>
      <c r="G28" s="1079">
        <f t="shared" si="6"/>
        <v>9.9</v>
      </c>
      <c r="H28" s="1078">
        <f t="shared" si="6"/>
        <v>650.20000000000005</v>
      </c>
      <c r="I28" s="1079">
        <f t="shared" si="6"/>
        <v>22.4</v>
      </c>
      <c r="J28" s="1078">
        <f t="shared" si="6"/>
        <v>672.6</v>
      </c>
      <c r="K28" s="814">
        <f t="shared" si="6"/>
        <v>140.06593131952391</v>
      </c>
      <c r="L28" s="1080">
        <f t="shared" si="6"/>
        <v>532.53406868047614</v>
      </c>
      <c r="M28" s="335">
        <f t="shared" ref="M28" si="7">J28-H28-I28</f>
        <v>0</v>
      </c>
    </row>
    <row r="29" spans="1:23" s="411" customFormat="1" ht="14.25" customHeight="1">
      <c r="A29" s="905"/>
      <c r="B29" s="906" t="s">
        <v>225</v>
      </c>
      <c r="C29" s="1078">
        <f t="shared" ref="C29:L29" si="8">C39</f>
        <v>521.5</v>
      </c>
      <c r="D29" s="814">
        <f t="shared" si="8"/>
        <v>81</v>
      </c>
      <c r="E29" s="1079">
        <f t="shared" si="8"/>
        <v>28.2</v>
      </c>
      <c r="F29" s="1079">
        <f t="shared" si="8"/>
        <v>24.9</v>
      </c>
      <c r="G29" s="1079">
        <f t="shared" si="8"/>
        <v>9.1</v>
      </c>
      <c r="H29" s="1078">
        <f t="shared" si="8"/>
        <v>664.7</v>
      </c>
      <c r="I29" s="1079">
        <f t="shared" si="8"/>
        <v>22.4</v>
      </c>
      <c r="J29" s="1078">
        <f t="shared" si="8"/>
        <v>687.1</v>
      </c>
      <c r="K29" s="814">
        <f t="shared" si="8"/>
        <v>152.01815108439322</v>
      </c>
      <c r="L29" s="1080">
        <f t="shared" si="8"/>
        <v>535.08184891560677</v>
      </c>
      <c r="M29" s="335">
        <f t="shared" ref="M29" si="9">J29-H29-I29</f>
        <v>0</v>
      </c>
    </row>
    <row r="30" spans="1:23" s="411" customFormat="1" ht="21" customHeight="1">
      <c r="A30" s="1193">
        <v>2020</v>
      </c>
      <c r="B30" s="1483" t="s">
        <v>222</v>
      </c>
      <c r="C30" s="1798">
        <f t="shared" ref="C30:L30" si="10">C42</f>
        <v>560.5</v>
      </c>
      <c r="D30" s="1922">
        <f t="shared" si="10"/>
        <v>81.400000000000006</v>
      </c>
      <c r="E30" s="1970">
        <f t="shared" si="10"/>
        <v>28.3</v>
      </c>
      <c r="F30" s="1970">
        <f t="shared" si="10"/>
        <v>24.6</v>
      </c>
      <c r="G30" s="1970">
        <f t="shared" si="10"/>
        <v>8.8000000000000007</v>
      </c>
      <c r="H30" s="1798">
        <f t="shared" si="10"/>
        <v>703.59999999999991</v>
      </c>
      <c r="I30" s="1970">
        <f t="shared" si="10"/>
        <v>22.5</v>
      </c>
      <c r="J30" s="1798">
        <f t="shared" si="10"/>
        <v>726.1</v>
      </c>
      <c r="K30" s="1922">
        <f t="shared" si="10"/>
        <v>152.8644001431401</v>
      </c>
      <c r="L30" s="1971">
        <f t="shared" si="10"/>
        <v>573.23559985685995</v>
      </c>
      <c r="M30" s="335">
        <f t="shared" ref="M30" si="11">J30-H30-I30</f>
        <v>1.1368683772161603E-13</v>
      </c>
    </row>
    <row r="31" spans="1:23" s="327" customFormat="1" ht="19.5" customHeight="1">
      <c r="A31" s="432">
        <v>2019</v>
      </c>
      <c r="B31" s="433" t="s">
        <v>399</v>
      </c>
      <c r="C31" s="1078">
        <v>535.4</v>
      </c>
      <c r="D31" s="814">
        <v>82.3</v>
      </c>
      <c r="E31" s="1079">
        <v>24.9</v>
      </c>
      <c r="F31" s="1079">
        <v>24.7</v>
      </c>
      <c r="G31" s="1079">
        <v>8.6999999999999993</v>
      </c>
      <c r="H31" s="1078">
        <f t="shared" ref="H31" si="12">SUM(C31:G31)</f>
        <v>676</v>
      </c>
      <c r="I31" s="1079">
        <v>21.9</v>
      </c>
      <c r="J31" s="1078">
        <f>'1'!J31</f>
        <v>697.9</v>
      </c>
      <c r="K31" s="814">
        <f>'13'!C31</f>
        <v>148.68230540866736</v>
      </c>
      <c r="L31" s="1080">
        <f t="shared" ref="L31" si="13">J31-K31</f>
        <v>549.21769459133259</v>
      </c>
      <c r="M31" s="945">
        <f t="shared" ref="M31" si="14">J31-H31-I31</f>
        <v>0</v>
      </c>
      <c r="N31" s="411"/>
      <c r="O31" s="411"/>
      <c r="P31" s="411"/>
      <c r="Q31" s="411"/>
      <c r="R31" s="411"/>
      <c r="S31" s="411"/>
      <c r="T31" s="411"/>
      <c r="U31" s="411"/>
      <c r="V31" s="411"/>
      <c r="W31" s="381"/>
    </row>
    <row r="32" spans="1:23" s="327" customFormat="1" ht="14.25" customHeight="1">
      <c r="A32" s="432"/>
      <c r="B32" s="433" t="s">
        <v>400</v>
      </c>
      <c r="C32" s="1078">
        <v>550.6</v>
      </c>
      <c r="D32" s="814">
        <v>86.3</v>
      </c>
      <c r="E32" s="1079">
        <v>27.4</v>
      </c>
      <c r="F32" s="1079">
        <v>28</v>
      </c>
      <c r="G32" s="1079">
        <v>10.5</v>
      </c>
      <c r="H32" s="1078">
        <f t="shared" ref="H32" si="15">SUM(C32:G32)</f>
        <v>702.8</v>
      </c>
      <c r="I32" s="1079">
        <v>22.1</v>
      </c>
      <c r="J32" s="1078">
        <f>'1'!J32</f>
        <v>724.9</v>
      </c>
      <c r="K32" s="814">
        <f>'13'!C32</f>
        <v>145.34202540533516</v>
      </c>
      <c r="L32" s="1080">
        <f t="shared" ref="L32" si="16">J32-K32</f>
        <v>579.55797459466476</v>
      </c>
      <c r="M32" s="945">
        <f t="shared" ref="M32" si="17">J32-H32-I32</f>
        <v>0</v>
      </c>
      <c r="N32" s="411"/>
      <c r="O32" s="411"/>
      <c r="P32" s="411"/>
      <c r="Q32" s="411"/>
      <c r="R32" s="411"/>
      <c r="S32" s="411"/>
      <c r="T32" s="411"/>
      <c r="U32" s="411"/>
      <c r="V32" s="411"/>
      <c r="W32" s="381"/>
    </row>
    <row r="33" spans="1:23" s="327" customFormat="1" ht="14.25" customHeight="1">
      <c r="A33" s="432"/>
      <c r="B33" s="433" t="s">
        <v>401</v>
      </c>
      <c r="C33" s="1078">
        <v>534.4</v>
      </c>
      <c r="D33" s="814">
        <v>83.6</v>
      </c>
      <c r="E33" s="1079">
        <v>27.3</v>
      </c>
      <c r="F33" s="1079">
        <v>27.4</v>
      </c>
      <c r="G33" s="1079">
        <v>10.3</v>
      </c>
      <c r="H33" s="1078">
        <f t="shared" ref="H33" si="18">SUM(C33:G33)</f>
        <v>682.99999999999989</v>
      </c>
      <c r="I33" s="1079">
        <v>22.1</v>
      </c>
      <c r="J33" s="1078">
        <f>'1'!J33</f>
        <v>705.1</v>
      </c>
      <c r="K33" s="814">
        <f>'13'!C33</f>
        <v>139.84778012291525</v>
      </c>
      <c r="L33" s="1080">
        <f t="shared" ref="L33" si="19">J33-K33</f>
        <v>565.25221987708483</v>
      </c>
      <c r="M33" s="945">
        <f t="shared" ref="M33" si="20">J33-H33-I33</f>
        <v>1.3500311979441904E-13</v>
      </c>
      <c r="N33" s="411"/>
      <c r="O33" s="411"/>
      <c r="P33" s="411"/>
      <c r="Q33" s="411"/>
      <c r="R33" s="411"/>
      <c r="S33" s="411"/>
      <c r="T33" s="411"/>
      <c r="U33" s="411"/>
      <c r="V33" s="411"/>
      <c r="W33" s="381"/>
    </row>
    <row r="34" spans="1:23" s="327" customFormat="1" ht="14.25" customHeight="1">
      <c r="A34" s="432"/>
      <c r="B34" s="433" t="s">
        <v>402</v>
      </c>
      <c r="C34" s="1078">
        <v>518.70000000000005</v>
      </c>
      <c r="D34" s="814">
        <v>80.900000000000006</v>
      </c>
      <c r="E34" s="1079">
        <v>27.5</v>
      </c>
      <c r="F34" s="1079">
        <v>27.3</v>
      </c>
      <c r="G34" s="1079">
        <v>10.9</v>
      </c>
      <c r="H34" s="1078">
        <f t="shared" ref="H34" si="21">SUM(C34:G34)</f>
        <v>665.3</v>
      </c>
      <c r="I34" s="1079">
        <v>22.3</v>
      </c>
      <c r="J34" s="1078">
        <f>'1'!J34</f>
        <v>687.6</v>
      </c>
      <c r="K34" s="814">
        <f>'13'!C34</f>
        <v>142.11945391053115</v>
      </c>
      <c r="L34" s="1080">
        <f t="shared" ref="L34" si="22">J34-K34</f>
        <v>545.48054608946882</v>
      </c>
      <c r="M34" s="945">
        <f t="shared" ref="M34" si="23">J34-H34-I34</f>
        <v>6.7501559897209518E-14</v>
      </c>
      <c r="N34" s="411"/>
      <c r="O34" s="411"/>
      <c r="P34" s="411"/>
      <c r="Q34" s="411"/>
      <c r="R34" s="411"/>
      <c r="S34" s="411"/>
      <c r="T34" s="411"/>
      <c r="U34" s="411"/>
      <c r="V34" s="411"/>
      <c r="W34" s="381"/>
    </row>
    <row r="35" spans="1:23" s="327" customFormat="1" ht="14.25" customHeight="1">
      <c r="A35" s="432"/>
      <c r="B35" s="433" t="s">
        <v>403</v>
      </c>
      <c r="C35" s="1078">
        <v>519.9</v>
      </c>
      <c r="D35" s="814">
        <v>79.3</v>
      </c>
      <c r="E35" s="1079">
        <v>26.9</v>
      </c>
      <c r="F35" s="1079">
        <v>27</v>
      </c>
      <c r="G35" s="1079">
        <v>10.5</v>
      </c>
      <c r="H35" s="1078">
        <f t="shared" ref="H35" si="24">SUM(C35:G35)</f>
        <v>663.59999999999991</v>
      </c>
      <c r="I35" s="1079">
        <v>22.4</v>
      </c>
      <c r="J35" s="1078">
        <f>'1'!J35</f>
        <v>686</v>
      </c>
      <c r="K35" s="814">
        <f>'13'!C35</f>
        <v>143.1036964772847</v>
      </c>
      <c r="L35" s="1080">
        <f t="shared" ref="L35" si="25">J35-K35</f>
        <v>542.89630352271524</v>
      </c>
      <c r="M35" s="945">
        <f t="shared" ref="M35" si="26">J35-H35-I35</f>
        <v>9.2370555648813024E-14</v>
      </c>
      <c r="N35" s="411"/>
      <c r="O35" s="411"/>
      <c r="P35" s="411"/>
      <c r="Q35" s="411"/>
      <c r="R35" s="411"/>
      <c r="S35" s="411"/>
      <c r="T35" s="411"/>
      <c r="U35" s="411"/>
      <c r="V35" s="411"/>
      <c r="W35" s="381"/>
    </row>
    <row r="36" spans="1:23" s="327" customFormat="1" ht="14.25" customHeight="1">
      <c r="A36" s="432"/>
      <c r="B36" s="433" t="s">
        <v>404</v>
      </c>
      <c r="C36" s="1078">
        <v>507.2</v>
      </c>
      <c r="D36" s="814">
        <v>80.3</v>
      </c>
      <c r="E36" s="1079">
        <v>26.7</v>
      </c>
      <c r="F36" s="1079">
        <v>26.1</v>
      </c>
      <c r="G36" s="1079">
        <v>9.9</v>
      </c>
      <c r="H36" s="1078">
        <f t="shared" ref="H36" si="27">SUM(C36:G36)</f>
        <v>650.20000000000005</v>
      </c>
      <c r="I36" s="1079">
        <v>22.4</v>
      </c>
      <c r="J36" s="1078">
        <f>'1'!J36</f>
        <v>672.6</v>
      </c>
      <c r="K36" s="814">
        <f>'13'!C36</f>
        <v>140.06593131952391</v>
      </c>
      <c r="L36" s="1080">
        <f t="shared" ref="L36" si="28">J36-K36</f>
        <v>532.53406868047614</v>
      </c>
      <c r="M36" s="945">
        <f t="shared" ref="M36" si="29">J36-H36-I36</f>
        <v>0</v>
      </c>
      <c r="N36" s="411"/>
      <c r="O36" s="411"/>
      <c r="P36" s="411"/>
      <c r="Q36" s="411"/>
      <c r="R36" s="411"/>
      <c r="S36" s="411"/>
      <c r="T36" s="411"/>
      <c r="U36" s="411"/>
      <c r="V36" s="411"/>
      <c r="W36" s="381"/>
    </row>
    <row r="37" spans="1:23" s="327" customFormat="1" ht="14.25" customHeight="1">
      <c r="A37" s="432"/>
      <c r="B37" s="433" t="s">
        <v>405</v>
      </c>
      <c r="C37" s="1078">
        <v>515</v>
      </c>
      <c r="D37" s="814">
        <v>80.599999999999994</v>
      </c>
      <c r="E37" s="1079">
        <v>27.4</v>
      </c>
      <c r="F37" s="1079">
        <v>25.2</v>
      </c>
      <c r="G37" s="1079">
        <v>9.5</v>
      </c>
      <c r="H37" s="1078">
        <f t="shared" ref="H37" si="30">SUM(C37:G37)</f>
        <v>657.7</v>
      </c>
      <c r="I37" s="1079">
        <v>22.4</v>
      </c>
      <c r="J37" s="1078">
        <f>'1'!J37</f>
        <v>680.1</v>
      </c>
      <c r="K37" s="814">
        <f>'13'!C37</f>
        <v>143.43053095543502</v>
      </c>
      <c r="L37" s="1080">
        <f t="shared" ref="L37" si="31">J37-K37</f>
        <v>536.66946904456495</v>
      </c>
      <c r="M37" s="945">
        <f t="shared" ref="M37" si="32">J37-H37-I37</f>
        <v>0</v>
      </c>
      <c r="N37" s="411"/>
      <c r="O37" s="411"/>
      <c r="P37" s="411"/>
      <c r="Q37" s="411"/>
      <c r="R37" s="411"/>
      <c r="S37" s="411"/>
      <c r="T37" s="411"/>
      <c r="U37" s="411"/>
      <c r="V37" s="411"/>
      <c r="W37" s="381"/>
    </row>
    <row r="38" spans="1:23" s="327" customFormat="1" ht="14.25" customHeight="1">
      <c r="A38" s="432"/>
      <c r="B38" s="433" t="s">
        <v>406</v>
      </c>
      <c r="C38" s="1078">
        <v>523.1</v>
      </c>
      <c r="D38" s="814">
        <v>78.7</v>
      </c>
      <c r="E38" s="1079">
        <v>28.1</v>
      </c>
      <c r="F38" s="1079">
        <v>25.1</v>
      </c>
      <c r="G38" s="1079">
        <v>9.3000000000000007</v>
      </c>
      <c r="H38" s="1078">
        <f t="shared" ref="H38" si="33">SUM(C38:G38)</f>
        <v>664.30000000000007</v>
      </c>
      <c r="I38" s="1079">
        <v>22.4</v>
      </c>
      <c r="J38" s="1078">
        <f>'1'!J38</f>
        <v>686.7</v>
      </c>
      <c r="K38" s="814">
        <f>'13'!C38</f>
        <v>137.009785042761</v>
      </c>
      <c r="L38" s="1080">
        <f t="shared" ref="L38" si="34">J38-K38</f>
        <v>549.69021495723905</v>
      </c>
      <c r="M38" s="945">
        <f t="shared" ref="M38" si="35">J38-H38-I38</f>
        <v>0</v>
      </c>
      <c r="N38" s="411"/>
      <c r="O38" s="411"/>
      <c r="P38" s="411"/>
      <c r="Q38" s="411"/>
      <c r="R38" s="411"/>
      <c r="S38" s="411"/>
      <c r="T38" s="411"/>
      <c r="U38" s="411"/>
      <c r="V38" s="411"/>
      <c r="W38" s="381"/>
    </row>
    <row r="39" spans="1:23" s="327" customFormat="1" ht="14.25" customHeight="1">
      <c r="A39" s="432"/>
      <c r="B39" s="433" t="s">
        <v>407</v>
      </c>
      <c r="C39" s="1078">
        <v>521.5</v>
      </c>
      <c r="D39" s="814">
        <v>81</v>
      </c>
      <c r="E39" s="1079">
        <v>28.2</v>
      </c>
      <c r="F39" s="1079">
        <v>24.9</v>
      </c>
      <c r="G39" s="1079">
        <v>9.1</v>
      </c>
      <c r="H39" s="1078">
        <f t="shared" ref="H39" si="36">SUM(C39:G39)</f>
        <v>664.7</v>
      </c>
      <c r="I39" s="1079">
        <v>22.4</v>
      </c>
      <c r="J39" s="1078">
        <f>'1'!J39</f>
        <v>687.1</v>
      </c>
      <c r="K39" s="814">
        <f>'13'!C39</f>
        <v>152.01815108439322</v>
      </c>
      <c r="L39" s="1080">
        <f t="shared" ref="L39" si="37">J39-K39</f>
        <v>535.08184891560677</v>
      </c>
      <c r="M39" s="945">
        <f t="shared" ref="M39" si="38">J39-H39-I39</f>
        <v>0</v>
      </c>
      <c r="N39" s="411"/>
      <c r="O39" s="411"/>
      <c r="P39" s="411"/>
      <c r="Q39" s="411"/>
      <c r="R39" s="411"/>
      <c r="S39" s="411"/>
      <c r="T39" s="411"/>
      <c r="U39" s="411"/>
      <c r="V39" s="411"/>
      <c r="W39" s="381"/>
    </row>
    <row r="40" spans="1:23" s="327" customFormat="1" ht="19.5" customHeight="1">
      <c r="A40" s="432">
        <v>2020</v>
      </c>
      <c r="B40" s="433" t="s">
        <v>408</v>
      </c>
      <c r="C40" s="1078">
        <v>525</v>
      </c>
      <c r="D40" s="814">
        <v>78.400000000000006</v>
      </c>
      <c r="E40" s="1079">
        <v>28.8</v>
      </c>
      <c r="F40" s="1079">
        <v>24.9</v>
      </c>
      <c r="G40" s="1079">
        <v>9</v>
      </c>
      <c r="H40" s="1078">
        <f t="shared" ref="H40" si="39">SUM(C40:G40)</f>
        <v>666.09999999999991</v>
      </c>
      <c r="I40" s="1079">
        <v>22.4</v>
      </c>
      <c r="J40" s="1078">
        <f>'1'!J40</f>
        <v>688.5</v>
      </c>
      <c r="K40" s="814">
        <f>'13'!C40</f>
        <v>138.47009962117889</v>
      </c>
      <c r="L40" s="1080">
        <f t="shared" ref="L40" si="40">J40-K40</f>
        <v>550.02990037882114</v>
      </c>
      <c r="M40" s="945">
        <f t="shared" ref="M40" si="41">J40-H40-I40</f>
        <v>9.2370555648813024E-14</v>
      </c>
      <c r="N40" s="411"/>
      <c r="O40" s="411"/>
      <c r="P40" s="411"/>
      <c r="Q40" s="411"/>
      <c r="R40" s="411"/>
      <c r="S40" s="411"/>
      <c r="T40" s="411"/>
      <c r="U40" s="411"/>
      <c r="V40" s="411"/>
      <c r="W40" s="381"/>
    </row>
    <row r="41" spans="1:23" s="327" customFormat="1" ht="14.25" customHeight="1">
      <c r="A41" s="1085"/>
      <c r="B41" s="1659" t="s">
        <v>409</v>
      </c>
      <c r="C41" s="1078">
        <v>521.1</v>
      </c>
      <c r="D41" s="814">
        <v>77.599999999999994</v>
      </c>
      <c r="E41" s="1079">
        <v>28.8</v>
      </c>
      <c r="F41" s="1079">
        <v>25.2</v>
      </c>
      <c r="G41" s="1079">
        <v>8.9</v>
      </c>
      <c r="H41" s="1078">
        <f t="shared" ref="H41" si="42">SUM(C41:G41)</f>
        <v>661.6</v>
      </c>
      <c r="I41" s="1079">
        <v>22.5</v>
      </c>
      <c r="J41" s="1078">
        <f>'1'!J41</f>
        <v>684.1</v>
      </c>
      <c r="K41" s="814">
        <f>'13'!C41</f>
        <v>125.55972929452513</v>
      </c>
      <c r="L41" s="1080">
        <f t="shared" ref="L41" si="43">J41-K41</f>
        <v>558.54027070547488</v>
      </c>
      <c r="M41" s="945">
        <f t="shared" ref="M41" si="44">J41-H41-I41</f>
        <v>0</v>
      </c>
      <c r="N41" s="411"/>
      <c r="O41" s="411"/>
      <c r="P41" s="411"/>
      <c r="Q41" s="411"/>
      <c r="R41" s="411"/>
      <c r="S41" s="411"/>
      <c r="T41" s="411"/>
      <c r="U41" s="411"/>
      <c r="V41" s="411"/>
      <c r="W41" s="381"/>
    </row>
    <row r="42" spans="1:23" s="327" customFormat="1" ht="14.25" customHeight="1">
      <c r="A42" s="1085"/>
      <c r="B42" s="1659" t="s">
        <v>398</v>
      </c>
      <c r="C42" s="1078">
        <v>560.5</v>
      </c>
      <c r="D42" s="814">
        <v>81.400000000000006</v>
      </c>
      <c r="E42" s="1079">
        <v>28.3</v>
      </c>
      <c r="F42" s="1079">
        <v>24.6</v>
      </c>
      <c r="G42" s="1079">
        <v>8.8000000000000007</v>
      </c>
      <c r="H42" s="1078">
        <f t="shared" ref="H42" si="45">SUM(C42:G42)</f>
        <v>703.59999999999991</v>
      </c>
      <c r="I42" s="1079">
        <v>22.5</v>
      </c>
      <c r="J42" s="1078">
        <f>'1'!J42</f>
        <v>726.1</v>
      </c>
      <c r="K42" s="814">
        <f>'13'!C42</f>
        <v>152.8644001431401</v>
      </c>
      <c r="L42" s="1080">
        <f t="shared" ref="L42" si="46">J42-K42</f>
        <v>573.23559985685995</v>
      </c>
      <c r="M42" s="945">
        <f t="shared" ref="M42" si="47">J42-H42-I42</f>
        <v>1.1368683772161603E-13</v>
      </c>
      <c r="N42" s="411"/>
      <c r="O42" s="411"/>
      <c r="P42" s="411"/>
      <c r="Q42" s="411"/>
      <c r="R42" s="411"/>
      <c r="S42" s="411"/>
      <c r="T42" s="411"/>
      <c r="U42" s="411"/>
      <c r="V42" s="411"/>
      <c r="W42" s="381"/>
    </row>
    <row r="43" spans="1:23" s="327" customFormat="1" ht="14.25" customHeight="1">
      <c r="A43" s="1085"/>
      <c r="B43" s="1659" t="s">
        <v>399</v>
      </c>
      <c r="C43" s="1078">
        <v>598.4</v>
      </c>
      <c r="D43" s="814">
        <v>86.1</v>
      </c>
      <c r="E43" s="1079">
        <v>28.9</v>
      </c>
      <c r="F43" s="1079">
        <v>24.9</v>
      </c>
      <c r="G43" s="1079">
        <v>9</v>
      </c>
      <c r="H43" s="1078">
        <f t="shared" ref="H43" si="48">SUM(C43:G43)</f>
        <v>747.3</v>
      </c>
      <c r="I43" s="1079">
        <v>22.9</v>
      </c>
      <c r="J43" s="1078">
        <f>'1'!J43</f>
        <v>770.2</v>
      </c>
      <c r="K43" s="814">
        <f>'13'!C43</f>
        <v>159.96861694677594</v>
      </c>
      <c r="L43" s="1080">
        <f t="shared" ref="L43" si="49">J43-K43</f>
        <v>610.23138305322414</v>
      </c>
      <c r="M43" s="945">
        <f t="shared" ref="M43" si="50">J43-H43-I43</f>
        <v>9.2370555648813024E-14</v>
      </c>
      <c r="N43" s="411"/>
      <c r="O43" s="411"/>
      <c r="P43" s="411"/>
      <c r="Q43" s="411"/>
      <c r="R43" s="411"/>
      <c r="S43" s="411"/>
      <c r="T43" s="411"/>
      <c r="U43" s="411"/>
      <c r="V43" s="411"/>
      <c r="W43" s="381"/>
    </row>
    <row r="44" spans="1:23" ht="19.5" customHeight="1">
      <c r="A44" s="237" t="s">
        <v>436</v>
      </c>
      <c r="B44" s="236"/>
      <c r="C44" s="236"/>
      <c r="D44" s="236"/>
      <c r="E44" s="236"/>
      <c r="F44" s="236"/>
      <c r="G44" s="236"/>
      <c r="H44" s="236"/>
      <c r="I44" s="236"/>
      <c r="J44" s="236"/>
      <c r="K44" s="236"/>
      <c r="L44" s="252" t="s">
        <v>437</v>
      </c>
      <c r="M44" s="28"/>
    </row>
    <row r="45" spans="1:23" ht="14.25">
      <c r="C45" s="1972"/>
      <c r="H45" s="1972"/>
      <c r="I45" s="157"/>
      <c r="J45" s="324"/>
      <c r="L45" s="168"/>
    </row>
    <row r="46" spans="1:23" ht="14.25">
      <c r="C46" s="1972"/>
      <c r="H46" s="1972"/>
      <c r="L46" s="161"/>
    </row>
    <row r="47" spans="1:23" ht="14.25">
      <c r="A47" s="340" t="s">
        <v>438</v>
      </c>
      <c r="B47" s="3"/>
      <c r="C47" s="1973"/>
      <c r="D47" s="3"/>
      <c r="E47" s="3"/>
      <c r="F47" s="3"/>
      <c r="G47" s="3"/>
      <c r="H47" s="1973"/>
      <c r="I47" s="3"/>
      <c r="J47" s="3"/>
      <c r="K47" s="3"/>
      <c r="L47" s="161"/>
    </row>
  </sheetData>
  <phoneticPr fontId="0" type="noConversion"/>
  <printOptions horizontalCentered="1" verticalCentered="1"/>
  <pageMargins left="0" right="0" top="0" bottom="0" header="0.51181102362204722" footer="0.51181102362204722"/>
  <pageSetup paperSize="9" scale="80"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3"/>
  <dimension ref="A1:K25"/>
  <sheetViews>
    <sheetView zoomScale="90" zoomScaleNormal="90" workbookViewId="0">
      <pane ySplit="8" topLeftCell="A15" activePane="bottomLeft" state="frozen"/>
      <selection activeCell="A49" sqref="A1:XFD1048576"/>
      <selection pane="bottomLeft" activeCell="A49" sqref="A1:XFD1048576"/>
    </sheetView>
  </sheetViews>
  <sheetFormatPr defaultColWidth="9.140625" defaultRowHeight="15"/>
  <cols>
    <col min="1" max="1" width="12.140625" style="159" customWidth="1"/>
    <col min="2" max="10" width="14.7109375" style="159" customWidth="1"/>
    <col min="11" max="16384" width="9.140625" style="159"/>
  </cols>
  <sheetData>
    <row r="1" spans="1:11" s="443" customFormat="1" ht="21.2" customHeight="1">
      <c r="A1" s="1245" t="s">
        <v>1593</v>
      </c>
      <c r="B1" s="442"/>
      <c r="C1" s="442"/>
      <c r="D1" s="442"/>
      <c r="E1" s="442"/>
      <c r="F1" s="442"/>
      <c r="G1" s="442"/>
      <c r="H1" s="442"/>
      <c r="I1" s="442"/>
      <c r="J1" s="442"/>
    </row>
    <row r="2" spans="1:11" s="443" customFormat="1" ht="21.2" customHeight="1">
      <c r="A2" s="1246" t="s">
        <v>90</v>
      </c>
      <c r="B2" s="442"/>
      <c r="C2" s="442"/>
      <c r="D2" s="442"/>
      <c r="E2" s="442"/>
      <c r="F2" s="442"/>
      <c r="G2" s="442"/>
      <c r="H2" s="442"/>
      <c r="I2" s="442"/>
      <c r="J2" s="442"/>
    </row>
    <row r="3" spans="1:11" s="443" customFormat="1" ht="21.2" customHeight="1">
      <c r="A3" s="1245" t="s">
        <v>89</v>
      </c>
      <c r="B3" s="442"/>
      <c r="C3" s="442"/>
      <c r="D3" s="442"/>
      <c r="E3" s="442"/>
      <c r="F3" s="442"/>
      <c r="G3" s="442"/>
      <c r="H3" s="442"/>
      <c r="I3" s="442"/>
      <c r="J3" s="442"/>
    </row>
    <row r="4" spans="1:11" s="443" customFormat="1">
      <c r="A4" s="415" t="s">
        <v>1305</v>
      </c>
      <c r="B4" s="442"/>
      <c r="C4" s="442"/>
      <c r="D4" s="442"/>
      <c r="E4" s="442"/>
      <c r="F4" s="442"/>
      <c r="G4" s="442"/>
      <c r="H4" s="442"/>
      <c r="I4" s="442"/>
      <c r="J4" s="159" t="s">
        <v>1306</v>
      </c>
    </row>
    <row r="5" spans="1:11" s="1249" customFormat="1" ht="21.2" customHeight="1">
      <c r="A5" s="1247"/>
      <c r="B5" s="498" t="s">
        <v>1307</v>
      </c>
      <c r="C5" s="499"/>
      <c r="D5" s="500"/>
      <c r="E5" s="499"/>
      <c r="F5" s="499"/>
      <c r="G5" s="499"/>
      <c r="H5" s="499"/>
      <c r="I5" s="1248"/>
      <c r="J5" s="501" t="s">
        <v>1308</v>
      </c>
    </row>
    <row r="6" spans="1:11" s="506" customFormat="1" ht="21.2" customHeight="1">
      <c r="A6" s="502" t="s">
        <v>1309</v>
      </c>
      <c r="B6" s="498" t="s">
        <v>947</v>
      </c>
      <c r="C6" s="499"/>
      <c r="D6" s="501" t="s">
        <v>1310</v>
      </c>
      <c r="E6" s="503" t="s">
        <v>1311</v>
      </c>
      <c r="F6" s="499"/>
      <c r="G6" s="504" t="s">
        <v>1312</v>
      </c>
      <c r="H6" s="503" t="s">
        <v>378</v>
      </c>
      <c r="I6" s="500"/>
      <c r="J6" s="505" t="s">
        <v>367</v>
      </c>
    </row>
    <row r="7" spans="1:11" s="506" customFormat="1" ht="21.2" customHeight="1">
      <c r="A7" s="1250" t="s">
        <v>1313</v>
      </c>
      <c r="B7" s="1251" t="s">
        <v>1314</v>
      </c>
      <c r="C7" s="1251" t="s">
        <v>1315</v>
      </c>
      <c r="D7" s="1252" t="s">
        <v>367</v>
      </c>
      <c r="E7" s="1251" t="s">
        <v>1314</v>
      </c>
      <c r="F7" s="1251" t="s">
        <v>1315</v>
      </c>
      <c r="G7" s="1252" t="s">
        <v>367</v>
      </c>
      <c r="H7" s="1251" t="s">
        <v>1314</v>
      </c>
      <c r="I7" s="1251" t="s">
        <v>1315</v>
      </c>
      <c r="J7" s="1252" t="s">
        <v>367</v>
      </c>
    </row>
    <row r="8" spans="1:11" s="506" customFormat="1" ht="21.2" customHeight="1">
      <c r="A8" s="507"/>
      <c r="B8" s="508" t="s">
        <v>1316</v>
      </c>
      <c r="C8" s="509" t="s">
        <v>1317</v>
      </c>
      <c r="D8" s="509" t="s">
        <v>378</v>
      </c>
      <c r="E8" s="508" t="s">
        <v>1316</v>
      </c>
      <c r="F8" s="509" t="s">
        <v>1317</v>
      </c>
      <c r="G8" s="509" t="s">
        <v>378</v>
      </c>
      <c r="H8" s="508" t="s">
        <v>1316</v>
      </c>
      <c r="I8" s="509" t="s">
        <v>1317</v>
      </c>
      <c r="J8" s="509" t="s">
        <v>378</v>
      </c>
      <c r="K8" s="510"/>
    </row>
    <row r="9" spans="1:11" s="438" customFormat="1" ht="20.25" customHeight="1">
      <c r="A9" s="512">
        <v>2007</v>
      </c>
      <c r="B9" s="511">
        <v>266.419917425915</v>
      </c>
      <c r="C9" s="511">
        <v>261.01314677975154</v>
      </c>
      <c r="D9" s="511">
        <f t="shared" ref="D9" si="0">SUM(B9:C9)</f>
        <v>527.4330642056666</v>
      </c>
      <c r="E9" s="511">
        <v>365.65425625974859</v>
      </c>
      <c r="F9" s="511">
        <v>146.20942287672335</v>
      </c>
      <c r="G9" s="511">
        <f t="shared" ref="G9" si="1">SUM(E9:F9)</f>
        <v>511.86367913647194</v>
      </c>
      <c r="H9" s="511">
        <f t="shared" ref="H9:I9" si="2">B9+E9</f>
        <v>632.0741736856636</v>
      </c>
      <c r="I9" s="511">
        <f t="shared" si="2"/>
        <v>407.22256965647489</v>
      </c>
      <c r="J9" s="511">
        <f t="shared" ref="J9" si="3">SUM(H9:I9)</f>
        <v>1039.2967433421386</v>
      </c>
    </row>
    <row r="10" spans="1:11" s="438" customFormat="1" ht="20.25" customHeight="1">
      <c r="A10" s="512">
        <v>2008</v>
      </c>
      <c r="B10" s="511">
        <v>273.61200000000002</v>
      </c>
      <c r="C10" s="511">
        <v>267.97500000000002</v>
      </c>
      <c r="D10" s="511">
        <f t="shared" ref="D10:D20" si="4">SUM(B10:C10)</f>
        <v>541.58699999999999</v>
      </c>
      <c r="E10" s="511">
        <v>402.97800000000001</v>
      </c>
      <c r="F10" s="511">
        <v>158.93100000000001</v>
      </c>
      <c r="G10" s="511">
        <f t="shared" ref="G10:G20" si="5">SUM(E10:F10)</f>
        <v>561.90899999999999</v>
      </c>
      <c r="H10" s="511">
        <f t="shared" ref="H10:I20" si="6">B10+E10</f>
        <v>676.59</v>
      </c>
      <c r="I10" s="511">
        <f t="shared" si="6"/>
        <v>426.90600000000006</v>
      </c>
      <c r="J10" s="511">
        <f t="shared" ref="J10:J20" si="7">SUM(H10:I10)</f>
        <v>1103.4960000000001</v>
      </c>
    </row>
    <row r="11" spans="1:11" s="438" customFormat="1" ht="20.25" customHeight="1">
      <c r="A11" s="512">
        <v>2009</v>
      </c>
      <c r="B11" s="511">
        <v>282.01100000000002</v>
      </c>
      <c r="C11" s="511">
        <v>276</v>
      </c>
      <c r="D11" s="511">
        <f t="shared" si="4"/>
        <v>558.01099999999997</v>
      </c>
      <c r="E11" s="511">
        <v>449.98599999999999</v>
      </c>
      <c r="F11" s="511">
        <v>170.41800000000001</v>
      </c>
      <c r="G11" s="511">
        <f t="shared" si="5"/>
        <v>620.404</v>
      </c>
      <c r="H11" s="511">
        <f t="shared" si="6"/>
        <v>731.99700000000007</v>
      </c>
      <c r="I11" s="511">
        <f t="shared" si="6"/>
        <v>446.41800000000001</v>
      </c>
      <c r="J11" s="511">
        <f t="shared" si="7"/>
        <v>1178.415</v>
      </c>
    </row>
    <row r="12" spans="1:11" s="438" customFormat="1" ht="20.25" customHeight="1">
      <c r="A12" s="512">
        <v>2010</v>
      </c>
      <c r="B12" s="511">
        <v>288.452</v>
      </c>
      <c r="C12" s="511">
        <v>282.23500000000001</v>
      </c>
      <c r="D12" s="511">
        <f t="shared" si="4"/>
        <v>570.68700000000001</v>
      </c>
      <c r="E12" s="511">
        <v>475.90499999999997</v>
      </c>
      <c r="F12" s="511">
        <v>181.95099999999999</v>
      </c>
      <c r="G12" s="511">
        <f t="shared" si="5"/>
        <v>657.85599999999999</v>
      </c>
      <c r="H12" s="511">
        <f t="shared" si="6"/>
        <v>764.35699999999997</v>
      </c>
      <c r="I12" s="511">
        <f t="shared" si="6"/>
        <v>464.18600000000004</v>
      </c>
      <c r="J12" s="511">
        <f t="shared" si="7"/>
        <v>1228.5430000000001</v>
      </c>
    </row>
    <row r="13" spans="1:11" s="438" customFormat="1" ht="20.25" customHeight="1">
      <c r="A13" s="512">
        <v>2011</v>
      </c>
      <c r="B13" s="511">
        <v>295.87799999999999</v>
      </c>
      <c r="C13" s="511">
        <v>288.81</v>
      </c>
      <c r="D13" s="511">
        <f t="shared" si="4"/>
        <v>584.68799999999999</v>
      </c>
      <c r="E13" s="511">
        <v>445.60500000000002</v>
      </c>
      <c r="F13" s="511">
        <v>164.727</v>
      </c>
      <c r="G13" s="511">
        <f t="shared" si="5"/>
        <v>610.33199999999999</v>
      </c>
      <c r="H13" s="511">
        <f t="shared" si="6"/>
        <v>741.48299999999995</v>
      </c>
      <c r="I13" s="511">
        <f t="shared" si="6"/>
        <v>453.53700000000003</v>
      </c>
      <c r="J13" s="511">
        <f t="shared" si="7"/>
        <v>1195.02</v>
      </c>
    </row>
    <row r="14" spans="1:11" s="438" customFormat="1" ht="20.25" customHeight="1">
      <c r="A14" s="512">
        <v>2012</v>
      </c>
      <c r="B14" s="511">
        <v>305.35399999999998</v>
      </c>
      <c r="C14" s="511">
        <v>294.27499999999998</v>
      </c>
      <c r="D14" s="511">
        <f t="shared" si="4"/>
        <v>599.62899999999991</v>
      </c>
      <c r="E14" s="511">
        <v>455.09500000000003</v>
      </c>
      <c r="F14" s="511">
        <v>154.24</v>
      </c>
      <c r="G14" s="511">
        <f t="shared" si="5"/>
        <v>609.33500000000004</v>
      </c>
      <c r="H14" s="511">
        <f t="shared" si="6"/>
        <v>760.44900000000007</v>
      </c>
      <c r="I14" s="511">
        <f t="shared" si="6"/>
        <v>448.51499999999999</v>
      </c>
      <c r="J14" s="511">
        <f t="shared" si="7"/>
        <v>1208.9639999999999</v>
      </c>
    </row>
    <row r="15" spans="1:11" s="438" customFormat="1" ht="20.25" customHeight="1">
      <c r="A15" s="512">
        <v>2013</v>
      </c>
      <c r="B15" s="511">
        <v>312.94499999999999</v>
      </c>
      <c r="C15" s="511">
        <v>301.88499999999999</v>
      </c>
      <c r="D15" s="511">
        <f t="shared" si="4"/>
        <v>614.82999999999993</v>
      </c>
      <c r="E15" s="511">
        <v>475.43599999999998</v>
      </c>
      <c r="F15" s="511">
        <v>162.92500000000001</v>
      </c>
      <c r="G15" s="511">
        <f t="shared" si="5"/>
        <v>638.36099999999999</v>
      </c>
      <c r="H15" s="511">
        <f t="shared" si="6"/>
        <v>788.38099999999997</v>
      </c>
      <c r="I15" s="511">
        <f t="shared" si="6"/>
        <v>464.81</v>
      </c>
      <c r="J15" s="511">
        <f t="shared" si="7"/>
        <v>1253.191</v>
      </c>
    </row>
    <row r="16" spans="1:11" s="438" customFormat="1" ht="20.25" customHeight="1">
      <c r="A16" s="512">
        <v>2014</v>
      </c>
      <c r="B16" s="511">
        <v>320.839</v>
      </c>
      <c r="C16" s="511">
        <v>309.90499999999997</v>
      </c>
      <c r="D16" s="511">
        <f t="shared" si="4"/>
        <v>630.74399999999991</v>
      </c>
      <c r="E16" s="511">
        <v>485.64800000000002</v>
      </c>
      <c r="F16" s="511">
        <v>198.17</v>
      </c>
      <c r="G16" s="511">
        <f t="shared" si="5"/>
        <v>683.81799999999998</v>
      </c>
      <c r="H16" s="511">
        <f t="shared" si="6"/>
        <v>806.48700000000008</v>
      </c>
      <c r="I16" s="511">
        <f t="shared" si="6"/>
        <v>508.07499999999993</v>
      </c>
      <c r="J16" s="511">
        <f t="shared" si="7"/>
        <v>1314.5619999999999</v>
      </c>
    </row>
    <row r="17" spans="1:10" s="438" customFormat="1" ht="20.25" customHeight="1">
      <c r="A17" s="512">
        <v>2015</v>
      </c>
      <c r="B17" s="511">
        <v>328.887</v>
      </c>
      <c r="C17" s="511">
        <v>318.94799999999998</v>
      </c>
      <c r="D17" s="511">
        <f t="shared" si="4"/>
        <v>647.83500000000004</v>
      </c>
      <c r="E17" s="511">
        <v>517.47799999999995</v>
      </c>
      <c r="F17" s="511">
        <v>205.00899999999999</v>
      </c>
      <c r="G17" s="511">
        <f t="shared" si="5"/>
        <v>722.48699999999997</v>
      </c>
      <c r="H17" s="511">
        <f t="shared" si="6"/>
        <v>846.36500000000001</v>
      </c>
      <c r="I17" s="511">
        <f t="shared" si="6"/>
        <v>523.95699999999999</v>
      </c>
      <c r="J17" s="511">
        <f t="shared" si="7"/>
        <v>1370.3220000000001</v>
      </c>
    </row>
    <row r="18" spans="1:10" s="438" customFormat="1" ht="20.25" customHeight="1">
      <c r="A18" s="512">
        <v>2016</v>
      </c>
      <c r="B18" s="511">
        <v>336.834</v>
      </c>
      <c r="C18" s="511">
        <v>327.87299999999999</v>
      </c>
      <c r="D18" s="511">
        <f t="shared" si="4"/>
        <v>664.70699999999999</v>
      </c>
      <c r="E18" s="511">
        <v>551.55499999999995</v>
      </c>
      <c r="F18" s="511">
        <v>207.464</v>
      </c>
      <c r="G18" s="511">
        <f t="shared" si="5"/>
        <v>759.01900000000001</v>
      </c>
      <c r="H18" s="511">
        <f t="shared" si="6"/>
        <v>888.3889999999999</v>
      </c>
      <c r="I18" s="511">
        <f t="shared" si="6"/>
        <v>535.33699999999999</v>
      </c>
      <c r="J18" s="511">
        <f t="shared" si="7"/>
        <v>1423.7259999999999</v>
      </c>
    </row>
    <row r="19" spans="1:10" s="438" customFormat="1" ht="20.25" customHeight="1">
      <c r="A19" s="512">
        <v>2017</v>
      </c>
      <c r="B19" s="511">
        <v>343.34</v>
      </c>
      <c r="C19" s="511">
        <v>334.166</v>
      </c>
      <c r="D19" s="511">
        <f t="shared" si="4"/>
        <v>677.50599999999997</v>
      </c>
      <c r="E19" s="511">
        <v>607.97199999999998</v>
      </c>
      <c r="F19" s="511">
        <v>215.63800000000001</v>
      </c>
      <c r="G19" s="511">
        <f t="shared" si="5"/>
        <v>823.61</v>
      </c>
      <c r="H19" s="511">
        <f t="shared" si="6"/>
        <v>951.3119999999999</v>
      </c>
      <c r="I19" s="511">
        <f t="shared" si="6"/>
        <v>549.80399999999997</v>
      </c>
      <c r="J19" s="511">
        <f t="shared" si="7"/>
        <v>1501.116</v>
      </c>
    </row>
    <row r="20" spans="1:10" s="438" customFormat="1" ht="20.25" customHeight="1">
      <c r="A20" s="512">
        <v>2018</v>
      </c>
      <c r="B20" s="511">
        <v>349.661</v>
      </c>
      <c r="C20" s="511">
        <v>340.053</v>
      </c>
      <c r="D20" s="511">
        <f t="shared" si="4"/>
        <v>689.71399999999994</v>
      </c>
      <c r="E20" s="511">
        <v>597.20299999999997</v>
      </c>
      <c r="F20" s="511">
        <v>216.17400000000001</v>
      </c>
      <c r="G20" s="511">
        <f t="shared" si="5"/>
        <v>813.37699999999995</v>
      </c>
      <c r="H20" s="511">
        <f t="shared" si="6"/>
        <v>946.86400000000003</v>
      </c>
      <c r="I20" s="511">
        <f t="shared" si="6"/>
        <v>556.22699999999998</v>
      </c>
      <c r="J20" s="511">
        <f t="shared" si="7"/>
        <v>1503.0909999999999</v>
      </c>
    </row>
    <row r="21" spans="1:10" s="438" customFormat="1" ht="20.25" customHeight="1">
      <c r="A21" s="512">
        <v>2019</v>
      </c>
      <c r="B21" s="511">
        <v>355.63299999999998</v>
      </c>
      <c r="C21" s="511">
        <v>346.19400000000002</v>
      </c>
      <c r="D21" s="511">
        <f t="shared" ref="D21" si="8">SUM(B21:C21)</f>
        <v>701.827</v>
      </c>
      <c r="E21" s="511">
        <v>564.93100000000004</v>
      </c>
      <c r="F21" s="511">
        <v>216.99799999999999</v>
      </c>
      <c r="G21" s="511">
        <f t="shared" ref="G21" si="9">SUM(E21:F21)</f>
        <v>781.92900000000009</v>
      </c>
      <c r="H21" s="511">
        <f t="shared" ref="H21" si="10">B21+E21</f>
        <v>920.56400000000008</v>
      </c>
      <c r="I21" s="511">
        <f t="shared" ref="I21" si="11">C21+F21</f>
        <v>563.19200000000001</v>
      </c>
      <c r="J21" s="511">
        <f t="shared" ref="J21" si="12">SUM(H21:I21)</f>
        <v>1483.7560000000001</v>
      </c>
    </row>
    <row r="22" spans="1:10" s="517" customFormat="1" ht="20.25" customHeight="1">
      <c r="A22" s="513" t="s">
        <v>1318</v>
      </c>
      <c r="B22" s="514"/>
      <c r="C22" s="513"/>
      <c r="D22" s="513"/>
      <c r="E22" s="513"/>
      <c r="F22" s="514"/>
      <c r="G22" s="514"/>
      <c r="H22" s="514"/>
      <c r="I22" s="515"/>
      <c r="J22" s="516" t="s">
        <v>1319</v>
      </c>
    </row>
    <row r="23" spans="1:10">
      <c r="A23" s="1253"/>
      <c r="B23" s="327"/>
      <c r="C23" s="1253"/>
      <c r="D23" s="1253"/>
      <c r="E23" s="1253"/>
      <c r="I23" s="1254"/>
      <c r="J23" s="1255"/>
    </row>
    <row r="24" spans="1:10">
      <c r="A24" s="1243" t="s">
        <v>1320</v>
      </c>
      <c r="B24" s="414"/>
      <c r="C24" s="414"/>
      <c r="D24" s="414"/>
      <c r="E24" s="414"/>
      <c r="F24" s="414"/>
      <c r="G24" s="414"/>
      <c r="H24" s="414"/>
      <c r="I24" s="414"/>
      <c r="J24" s="414"/>
    </row>
    <row r="25" spans="1:10">
      <c r="A25" s="160"/>
    </row>
  </sheetData>
  <printOptions horizontalCentered="1" verticalCentered="1"/>
  <pageMargins left="0" right="0" top="0" bottom="0" header="0.3" footer="0.3"/>
  <pageSetup paperSize="9" scale="85"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4"/>
  <dimension ref="A1:Q58"/>
  <sheetViews>
    <sheetView zoomScaleNormal="100" workbookViewId="0">
      <selection activeCell="A49" sqref="A1:XFD1048576"/>
    </sheetView>
  </sheetViews>
  <sheetFormatPr defaultColWidth="9.140625" defaultRowHeight="12.75"/>
  <cols>
    <col min="1" max="1" width="46.5703125" style="1207" customWidth="1"/>
    <col min="2" max="2" width="10.5703125" style="1207" hidden="1" customWidth="1"/>
    <col min="3" max="12" width="10.5703125" style="1207" customWidth="1"/>
    <col min="13" max="13" width="36.85546875" style="1207" customWidth="1"/>
    <col min="14" max="16384" width="9.140625" style="620"/>
  </cols>
  <sheetData>
    <row r="1" spans="1:14" ht="18" customHeight="1">
      <c r="A1" s="1201" t="s">
        <v>1592</v>
      </c>
      <c r="B1" s="1202"/>
      <c r="C1" s="1202"/>
      <c r="D1" s="1202"/>
      <c r="E1" s="1202"/>
      <c r="F1" s="1202"/>
      <c r="G1" s="1202"/>
      <c r="H1" s="1202"/>
      <c r="I1" s="1202"/>
      <c r="J1" s="1202"/>
      <c r="K1" s="1202"/>
      <c r="L1" s="1202"/>
      <c r="M1" s="1203"/>
    </row>
    <row r="2" spans="1:14" ht="16.5">
      <c r="A2" s="1204" t="s">
        <v>1321</v>
      </c>
      <c r="B2" s="1205"/>
      <c r="C2" s="1205"/>
      <c r="D2" s="1205"/>
      <c r="E2" s="1205"/>
      <c r="F2" s="1205"/>
      <c r="G2" s="1205"/>
      <c r="H2" s="1205"/>
      <c r="I2" s="1205"/>
      <c r="J2" s="1205"/>
      <c r="K2" s="1205"/>
      <c r="L2" s="1205"/>
      <c r="M2" s="1203"/>
    </row>
    <row r="3" spans="1:14" ht="16.5">
      <c r="A3" s="1206" t="s">
        <v>91</v>
      </c>
      <c r="B3" s="1205"/>
      <c r="C3" s="1205"/>
      <c r="D3" s="1205"/>
      <c r="E3" s="1205"/>
      <c r="F3" s="1205"/>
      <c r="G3" s="1205"/>
      <c r="H3" s="1205"/>
      <c r="I3" s="1205"/>
      <c r="J3" s="1205"/>
      <c r="K3" s="1205"/>
      <c r="L3" s="1205"/>
      <c r="M3" s="1203"/>
    </row>
    <row r="4" spans="1:14" ht="14.25">
      <c r="A4" s="1207" t="s">
        <v>354</v>
      </c>
      <c r="M4" s="698" t="s">
        <v>355</v>
      </c>
    </row>
    <row r="5" spans="1:14" ht="12.75" customHeight="1">
      <c r="A5" s="2208" t="s">
        <v>1322</v>
      </c>
      <c r="B5" s="2211" t="s">
        <v>1323</v>
      </c>
      <c r="C5" s="2214">
        <v>2018</v>
      </c>
      <c r="D5" s="2217">
        <v>2018</v>
      </c>
      <c r="E5" s="2218"/>
      <c r="F5" s="2218"/>
      <c r="G5" s="2219"/>
      <c r="H5" s="2214" t="s">
        <v>1324</v>
      </c>
      <c r="I5" s="2217" t="s">
        <v>1324</v>
      </c>
      <c r="J5" s="2218"/>
      <c r="K5" s="2218"/>
      <c r="L5" s="2219"/>
      <c r="M5" s="2205" t="s">
        <v>1325</v>
      </c>
    </row>
    <row r="6" spans="1:14" ht="12.75" customHeight="1">
      <c r="A6" s="2209"/>
      <c r="B6" s="2212"/>
      <c r="C6" s="2215"/>
      <c r="D6" s="2220"/>
      <c r="E6" s="2221"/>
      <c r="F6" s="2221"/>
      <c r="G6" s="2222"/>
      <c r="H6" s="2215"/>
      <c r="I6" s="2223"/>
      <c r="J6" s="2224"/>
      <c r="K6" s="2224"/>
      <c r="L6" s="2225"/>
      <c r="M6" s="2206"/>
    </row>
    <row r="7" spans="1:14" ht="12.75" customHeight="1">
      <c r="A7" s="2209"/>
      <c r="B7" s="2212"/>
      <c r="C7" s="2215"/>
      <c r="D7" s="1208" t="s">
        <v>1326</v>
      </c>
      <c r="E7" s="1209" t="s">
        <v>1327</v>
      </c>
      <c r="F7" s="1208" t="s">
        <v>1328</v>
      </c>
      <c r="G7" s="1209" t="s">
        <v>1329</v>
      </c>
      <c r="H7" s="2215"/>
      <c r="I7" s="1210" t="s">
        <v>1326</v>
      </c>
      <c r="J7" s="1209" t="s">
        <v>1327</v>
      </c>
      <c r="K7" s="1210" t="s">
        <v>1328</v>
      </c>
      <c r="L7" s="1209" t="s">
        <v>1329</v>
      </c>
      <c r="M7" s="2206"/>
    </row>
    <row r="8" spans="1:14" ht="12.75" customHeight="1">
      <c r="A8" s="2210"/>
      <c r="B8" s="2213"/>
      <c r="C8" s="2216"/>
      <c r="D8" s="978" t="s">
        <v>222</v>
      </c>
      <c r="E8" s="978" t="s">
        <v>223</v>
      </c>
      <c r="F8" s="978" t="s">
        <v>224</v>
      </c>
      <c r="G8" s="978" t="s">
        <v>225</v>
      </c>
      <c r="H8" s="2216"/>
      <c r="I8" s="978" t="s">
        <v>222</v>
      </c>
      <c r="J8" s="978" t="s">
        <v>223</v>
      </c>
      <c r="K8" s="978" t="s">
        <v>224</v>
      </c>
      <c r="L8" s="978" t="s">
        <v>225</v>
      </c>
      <c r="M8" s="2207"/>
    </row>
    <row r="9" spans="1:14" ht="30.75" customHeight="1">
      <c r="A9" s="1211" t="s">
        <v>1330</v>
      </c>
      <c r="B9" s="1212">
        <f>B10+B17+B28+B35</f>
        <v>-545.20000000000107</v>
      </c>
      <c r="C9" s="1212">
        <v>-915.400000000001</v>
      </c>
      <c r="D9" s="1212">
        <f t="shared" ref="D9:L9" si="0">D10+D17+D28+D35</f>
        <v>-233.69999999999987</v>
      </c>
      <c r="E9" s="1212">
        <f t="shared" si="0"/>
        <v>-447.40000000000009</v>
      </c>
      <c r="F9" s="1212">
        <f t="shared" si="0"/>
        <v>-162.90000000000015</v>
      </c>
      <c r="G9" s="1213">
        <f t="shared" si="0"/>
        <v>-71.399999999999835</v>
      </c>
      <c r="H9" s="1212">
        <f>SUM(I9:L9)</f>
        <v>-298.56666666666717</v>
      </c>
      <c r="I9" s="1214">
        <f t="shared" si="0"/>
        <v>171.59999999999977</v>
      </c>
      <c r="J9" s="1214">
        <f t="shared" si="0"/>
        <v>-224.70000000000033</v>
      </c>
      <c r="K9" s="1214">
        <f t="shared" si="0"/>
        <v>-149.00000000000009</v>
      </c>
      <c r="L9" s="1214">
        <f t="shared" si="0"/>
        <v>-96.466666666666555</v>
      </c>
      <c r="M9" s="1215" t="s">
        <v>1331</v>
      </c>
    </row>
    <row r="10" spans="1:14" ht="15">
      <c r="A10" s="1216" t="s">
        <v>1332</v>
      </c>
      <c r="B10" s="1217">
        <f>B11+B14</f>
        <v>-206.90000000000055</v>
      </c>
      <c r="C10" s="1217">
        <v>-401.00000000000091</v>
      </c>
      <c r="D10" s="1217">
        <f t="shared" ref="D10:L10" si="1">D11+D14</f>
        <v>-69.599999999999909</v>
      </c>
      <c r="E10" s="1217">
        <f t="shared" si="1"/>
        <v>-125.70000000000005</v>
      </c>
      <c r="F10" s="1217">
        <f t="shared" si="1"/>
        <v>-67.5</v>
      </c>
      <c r="G10" s="1218">
        <f t="shared" si="1"/>
        <v>-138.19999999999982</v>
      </c>
      <c r="H10" s="1217">
        <f t="shared" ref="H10:H51" si="2">SUM(I10:L10)</f>
        <v>321.99999999999955</v>
      </c>
      <c r="I10" s="1217">
        <f t="shared" si="1"/>
        <v>200.79999999999973</v>
      </c>
      <c r="J10" s="1217">
        <f t="shared" si="1"/>
        <v>38.299999999999727</v>
      </c>
      <c r="K10" s="1217">
        <f t="shared" si="1"/>
        <v>60.299999999999955</v>
      </c>
      <c r="L10" s="1217">
        <f t="shared" si="1"/>
        <v>22.600000000000136</v>
      </c>
      <c r="M10" s="1219" t="s">
        <v>1333</v>
      </c>
      <c r="N10" s="1220"/>
    </row>
    <row r="11" spans="1:14" ht="14.25">
      <c r="A11" s="1221" t="s">
        <v>1334</v>
      </c>
      <c r="B11" s="1217">
        <f>B12+B13</f>
        <v>5837.7</v>
      </c>
      <c r="C11" s="1217">
        <v>6784.4</v>
      </c>
      <c r="D11" s="1217">
        <f t="shared" ref="D11:L11" si="3">D12+D13</f>
        <v>1550.4</v>
      </c>
      <c r="E11" s="1217">
        <f t="shared" si="3"/>
        <v>1717.2</v>
      </c>
      <c r="F11" s="1217">
        <f t="shared" si="3"/>
        <v>1811.4</v>
      </c>
      <c r="G11" s="1218">
        <f t="shared" si="3"/>
        <v>1705.4</v>
      </c>
      <c r="H11" s="1217">
        <f t="shared" si="2"/>
        <v>6813</v>
      </c>
      <c r="I11" s="1217">
        <f t="shared" si="3"/>
        <v>1745.1999999999998</v>
      </c>
      <c r="J11" s="1217">
        <f t="shared" si="3"/>
        <v>1688.1999999999998</v>
      </c>
      <c r="K11" s="1217">
        <f t="shared" si="3"/>
        <v>1691.2</v>
      </c>
      <c r="L11" s="1217">
        <f t="shared" si="3"/>
        <v>1688.4</v>
      </c>
      <c r="M11" s="1222" t="s">
        <v>1335</v>
      </c>
    </row>
    <row r="12" spans="1:14" ht="14.25">
      <c r="A12" s="1223" t="s">
        <v>1336</v>
      </c>
      <c r="B12" s="1217">
        <v>3219</v>
      </c>
      <c r="C12" s="1217">
        <v>3983.5</v>
      </c>
      <c r="D12" s="1217">
        <v>894.4</v>
      </c>
      <c r="E12" s="1217">
        <v>1042</v>
      </c>
      <c r="F12" s="1217">
        <v>1073.5</v>
      </c>
      <c r="G12" s="1218">
        <v>973.6</v>
      </c>
      <c r="H12" s="1217">
        <f t="shared" si="2"/>
        <v>3720.4999999999995</v>
      </c>
      <c r="I12" s="1224">
        <v>962.9</v>
      </c>
      <c r="J12" s="1224">
        <v>913.3</v>
      </c>
      <c r="K12" s="1224">
        <v>907.7</v>
      </c>
      <c r="L12" s="1224">
        <v>936.6</v>
      </c>
      <c r="M12" s="1225" t="s">
        <v>1337</v>
      </c>
    </row>
    <row r="13" spans="1:14" ht="14.25">
      <c r="A13" s="1223" t="s">
        <v>1338</v>
      </c>
      <c r="B13" s="1217">
        <v>2618.6999999999998</v>
      </c>
      <c r="C13" s="1217">
        <v>2800.8999999999996</v>
      </c>
      <c r="D13" s="1217">
        <v>656</v>
      </c>
      <c r="E13" s="1217">
        <v>675.2</v>
      </c>
      <c r="F13" s="1217">
        <v>737.9</v>
      </c>
      <c r="G13" s="1218">
        <v>731.8</v>
      </c>
      <c r="H13" s="1217">
        <f t="shared" si="2"/>
        <v>3092.5</v>
      </c>
      <c r="I13" s="1224">
        <v>782.3</v>
      </c>
      <c r="J13" s="1224">
        <v>774.9</v>
      </c>
      <c r="K13" s="1224">
        <v>783.5</v>
      </c>
      <c r="L13" s="1224">
        <v>751.8</v>
      </c>
      <c r="M13" s="1225" t="s">
        <v>1339</v>
      </c>
    </row>
    <row r="14" spans="1:14" ht="14.25">
      <c r="A14" s="1221" t="s">
        <v>1340</v>
      </c>
      <c r="B14" s="1217">
        <f>SUM(B15:B16)</f>
        <v>-6044.6</v>
      </c>
      <c r="C14" s="1217">
        <v>-7185.4000000000005</v>
      </c>
      <c r="D14" s="1217">
        <f t="shared" ref="D14:L14" si="4">SUM(D15:D16)</f>
        <v>-1620</v>
      </c>
      <c r="E14" s="1217">
        <f t="shared" si="4"/>
        <v>-1842.9</v>
      </c>
      <c r="F14" s="1217">
        <f t="shared" si="4"/>
        <v>-1878.9</v>
      </c>
      <c r="G14" s="1218">
        <f t="shared" si="4"/>
        <v>-1843.6</v>
      </c>
      <c r="H14" s="1217">
        <f t="shared" si="2"/>
        <v>-6491.0000000000009</v>
      </c>
      <c r="I14" s="1224">
        <f t="shared" si="4"/>
        <v>-1544.4</v>
      </c>
      <c r="J14" s="1224">
        <f t="shared" si="4"/>
        <v>-1649.9</v>
      </c>
      <c r="K14" s="1224">
        <f t="shared" si="4"/>
        <v>-1630.9</v>
      </c>
      <c r="L14" s="1224">
        <f t="shared" si="4"/>
        <v>-1665.8</v>
      </c>
      <c r="M14" s="1222" t="s">
        <v>1341</v>
      </c>
    </row>
    <row r="15" spans="1:14" ht="14.25">
      <c r="A15" s="1223" t="s">
        <v>1336</v>
      </c>
      <c r="B15" s="1217">
        <v>-1596.3</v>
      </c>
      <c r="C15" s="1217">
        <v>-2150.8000000000002</v>
      </c>
      <c r="D15" s="1217">
        <v>-456.1</v>
      </c>
      <c r="E15" s="1217">
        <v>-564.4</v>
      </c>
      <c r="F15" s="1217">
        <v>-603.20000000000005</v>
      </c>
      <c r="G15" s="1218">
        <v>-527.1</v>
      </c>
      <c r="H15" s="1217">
        <f t="shared" si="2"/>
        <v>-2005.3999999999999</v>
      </c>
      <c r="I15" s="1224">
        <v>-502.7</v>
      </c>
      <c r="J15" s="1224">
        <v>-510</v>
      </c>
      <c r="K15" s="1224">
        <v>-480.9</v>
      </c>
      <c r="L15" s="1224">
        <v>-511.8</v>
      </c>
      <c r="M15" s="1225" t="s">
        <v>1337</v>
      </c>
    </row>
    <row r="16" spans="1:14" ht="14.25">
      <c r="A16" s="1223" t="s">
        <v>1338</v>
      </c>
      <c r="B16" s="1217">
        <v>-4448.3</v>
      </c>
      <c r="C16" s="1217">
        <v>-5034.6000000000004</v>
      </c>
      <c r="D16" s="1217">
        <v>-1163.9000000000001</v>
      </c>
      <c r="E16" s="1217">
        <v>-1278.5</v>
      </c>
      <c r="F16" s="1217">
        <v>-1275.7</v>
      </c>
      <c r="G16" s="1218">
        <v>-1316.5</v>
      </c>
      <c r="H16" s="1217">
        <f t="shared" si="2"/>
        <v>-4485.6000000000004</v>
      </c>
      <c r="I16" s="1224">
        <v>-1041.7</v>
      </c>
      <c r="J16" s="1224">
        <v>-1139.9000000000001</v>
      </c>
      <c r="K16" s="1224">
        <v>-1150</v>
      </c>
      <c r="L16" s="1224">
        <v>-1154</v>
      </c>
      <c r="M16" s="1225" t="s">
        <v>1339</v>
      </c>
    </row>
    <row r="17" spans="1:17" ht="30" customHeight="1">
      <c r="A17" s="1216" t="s">
        <v>1342</v>
      </c>
      <c r="B17" s="1217">
        <f>SUM(B18:B19)</f>
        <v>1336.9999999999995</v>
      </c>
      <c r="C17" s="1217">
        <v>1495.3000000000002</v>
      </c>
      <c r="D17" s="1217">
        <f t="shared" ref="D17:L17" si="5">SUM(D18:D19)</f>
        <v>406.5</v>
      </c>
      <c r="E17" s="1217">
        <f t="shared" si="5"/>
        <v>332.29999999999995</v>
      </c>
      <c r="F17" s="1217">
        <f t="shared" si="5"/>
        <v>354.99999999999989</v>
      </c>
      <c r="G17" s="1218">
        <f t="shared" si="5"/>
        <v>401.5</v>
      </c>
      <c r="H17" s="1217">
        <f t="shared" si="2"/>
        <v>1316.1</v>
      </c>
      <c r="I17" s="1224">
        <f t="shared" si="5"/>
        <v>393.80000000000007</v>
      </c>
      <c r="J17" s="1224">
        <f t="shared" si="5"/>
        <v>303.29999999999995</v>
      </c>
      <c r="K17" s="1224">
        <f t="shared" si="5"/>
        <v>298</v>
      </c>
      <c r="L17" s="1224">
        <f t="shared" si="5"/>
        <v>321</v>
      </c>
      <c r="M17" s="1219" t="s">
        <v>1343</v>
      </c>
      <c r="O17" s="1220"/>
    </row>
    <row r="18" spans="1:17" s="1230" customFormat="1" ht="15">
      <c r="A18" s="1226" t="s">
        <v>1344</v>
      </c>
      <c r="B18" s="1224">
        <v>4269.8999999999996</v>
      </c>
      <c r="C18" s="1224">
        <v>4480.2</v>
      </c>
      <c r="D18" s="1224">
        <v>1101.5</v>
      </c>
      <c r="E18" s="1224">
        <v>972.8</v>
      </c>
      <c r="F18" s="1224">
        <v>1100.5999999999999</v>
      </c>
      <c r="G18" s="1227">
        <v>1305.3</v>
      </c>
      <c r="H18" s="1224">
        <f t="shared" si="2"/>
        <v>4303.2</v>
      </c>
      <c r="I18" s="1224">
        <v>1057.2</v>
      </c>
      <c r="J18" s="1224">
        <v>998.4</v>
      </c>
      <c r="K18" s="1224">
        <v>1043.8</v>
      </c>
      <c r="L18" s="1224">
        <v>1203.8</v>
      </c>
      <c r="M18" s="1228" t="s">
        <v>1345</v>
      </c>
      <c r="N18" s="1229"/>
      <c r="O18" s="1229"/>
    </row>
    <row r="19" spans="1:17" s="1230" customFormat="1" ht="15">
      <c r="A19" s="1226" t="s">
        <v>1346</v>
      </c>
      <c r="B19" s="1224">
        <v>-2932.9</v>
      </c>
      <c r="C19" s="1224">
        <v>-2984.9</v>
      </c>
      <c r="D19" s="1224">
        <v>-695</v>
      </c>
      <c r="E19" s="1224">
        <v>-640.5</v>
      </c>
      <c r="F19" s="1224">
        <v>-745.6</v>
      </c>
      <c r="G19" s="1227">
        <v>-903.8</v>
      </c>
      <c r="H19" s="1224">
        <f t="shared" si="2"/>
        <v>-2987.1000000000004</v>
      </c>
      <c r="I19" s="1224">
        <v>-663.4</v>
      </c>
      <c r="J19" s="1224">
        <v>-695.1</v>
      </c>
      <c r="K19" s="1224">
        <v>-745.8</v>
      </c>
      <c r="L19" s="1224">
        <v>-882.8</v>
      </c>
      <c r="M19" s="1228" t="s">
        <v>1347</v>
      </c>
      <c r="P19" s="1229"/>
      <c r="Q19" s="1229"/>
    </row>
    <row r="20" spans="1:17" s="1230" customFormat="1" ht="14.25">
      <c r="A20" s="1231" t="s">
        <v>1348</v>
      </c>
      <c r="B20" s="1224">
        <v>170.6</v>
      </c>
      <c r="C20" s="1224">
        <v>175.4</v>
      </c>
      <c r="D20" s="1224">
        <v>45.1</v>
      </c>
      <c r="E20" s="1224">
        <v>43.6</v>
      </c>
      <c r="F20" s="1224">
        <v>40.1</v>
      </c>
      <c r="G20" s="1227">
        <v>46.6</v>
      </c>
      <c r="H20" s="1224">
        <f t="shared" si="2"/>
        <v>186.26666666666665</v>
      </c>
      <c r="I20" s="1224">
        <v>46.9</v>
      </c>
      <c r="J20" s="1224">
        <v>45.2</v>
      </c>
      <c r="K20" s="1224">
        <v>47.6</v>
      </c>
      <c r="L20" s="1224">
        <f>(I20+J20+K20)/3</f>
        <v>46.566666666666663</v>
      </c>
      <c r="M20" s="1232" t="s">
        <v>1349</v>
      </c>
      <c r="N20" s="1229"/>
      <c r="O20" s="1229"/>
    </row>
    <row r="21" spans="1:17" ht="14.25">
      <c r="A21" s="1231" t="s">
        <v>1350</v>
      </c>
      <c r="B21" s="1224">
        <v>-360.8</v>
      </c>
      <c r="C21" s="1224">
        <v>-398.99999999999994</v>
      </c>
      <c r="D21" s="1224">
        <v>-129.30000000000001</v>
      </c>
      <c r="E21" s="1224">
        <v>-142.1</v>
      </c>
      <c r="F21" s="1224">
        <v>-50.4</v>
      </c>
      <c r="G21" s="1227">
        <v>-77.2</v>
      </c>
      <c r="H21" s="1224">
        <f t="shared" si="2"/>
        <v>-665</v>
      </c>
      <c r="I21" s="1224">
        <v>-152.69999999999999</v>
      </c>
      <c r="J21" s="1224">
        <v>-167.9</v>
      </c>
      <c r="K21" s="1224">
        <v>-170.2</v>
      </c>
      <c r="L21" s="1224">
        <v>-174.2</v>
      </c>
      <c r="M21" s="1232" t="s">
        <v>1351</v>
      </c>
    </row>
    <row r="22" spans="1:17" ht="14.25">
      <c r="A22" s="1231" t="s">
        <v>1352</v>
      </c>
      <c r="B22" s="1224">
        <v>695.9</v>
      </c>
      <c r="C22" s="1224">
        <v>829.10000000000014</v>
      </c>
      <c r="D22" s="1224">
        <v>271.7</v>
      </c>
      <c r="E22" s="1224">
        <v>204</v>
      </c>
      <c r="F22" s="1224">
        <v>150.19999999999999</v>
      </c>
      <c r="G22" s="1227">
        <v>203.2</v>
      </c>
      <c r="H22" s="1224">
        <f t="shared" si="2"/>
        <v>938.4</v>
      </c>
      <c r="I22" s="1224">
        <v>280.10000000000002</v>
      </c>
      <c r="J22" s="1224">
        <v>214.2</v>
      </c>
      <c r="K22" s="1224">
        <v>209.5</v>
      </c>
      <c r="L22" s="1224">
        <f t="shared" ref="L22:L27" si="6">(I22+J22+K22)/3</f>
        <v>234.6</v>
      </c>
      <c r="M22" s="1232" t="s">
        <v>1353</v>
      </c>
    </row>
    <row r="23" spans="1:17" ht="14.25">
      <c r="A23" s="1231" t="s">
        <v>1354</v>
      </c>
      <c r="B23" s="1224">
        <v>-1</v>
      </c>
      <c r="C23" s="1224">
        <v>1.9</v>
      </c>
      <c r="D23" s="1224">
        <v>-0.2</v>
      </c>
      <c r="E23" s="1224">
        <v>-0.3</v>
      </c>
      <c r="F23" s="1224">
        <v>1.1000000000000001</v>
      </c>
      <c r="G23" s="1227">
        <v>1.3</v>
      </c>
      <c r="H23" s="1224">
        <f t="shared" si="2"/>
        <v>5.6000000000000005</v>
      </c>
      <c r="I23" s="1224">
        <v>1.2</v>
      </c>
      <c r="J23" s="1224">
        <v>1.5</v>
      </c>
      <c r="K23" s="1224">
        <v>1.5</v>
      </c>
      <c r="L23" s="1224">
        <f t="shared" si="6"/>
        <v>1.4000000000000001</v>
      </c>
      <c r="M23" s="1232" t="s">
        <v>1355</v>
      </c>
    </row>
    <row r="24" spans="1:17" ht="14.25">
      <c r="A24" s="1231" t="s">
        <v>1356</v>
      </c>
      <c r="B24" s="1224">
        <v>453.5</v>
      </c>
      <c r="C24" s="1224">
        <v>456.59999999999997</v>
      </c>
      <c r="D24" s="1224">
        <v>110.1</v>
      </c>
      <c r="E24" s="1224">
        <v>116.4</v>
      </c>
      <c r="F24" s="1224">
        <v>111.2</v>
      </c>
      <c r="G24" s="1227">
        <v>118.9</v>
      </c>
      <c r="H24" s="1224">
        <f t="shared" si="2"/>
        <v>424.66666666666669</v>
      </c>
      <c r="I24" s="1224">
        <v>111.6</v>
      </c>
      <c r="J24" s="1224">
        <v>105.6</v>
      </c>
      <c r="K24" s="1224">
        <v>101.3</v>
      </c>
      <c r="L24" s="1224">
        <f t="shared" si="6"/>
        <v>106.16666666666667</v>
      </c>
      <c r="M24" s="1232" t="s">
        <v>1357</v>
      </c>
    </row>
    <row r="25" spans="1:17" ht="14.25">
      <c r="A25" s="1231" t="s">
        <v>1358</v>
      </c>
      <c r="B25" s="1224">
        <v>35.200000000000003</v>
      </c>
      <c r="C25" s="1224">
        <v>46.7</v>
      </c>
      <c r="D25" s="1224">
        <v>10.199999999999999</v>
      </c>
      <c r="E25" s="1224">
        <v>10.1</v>
      </c>
      <c r="F25" s="1224">
        <v>12.5</v>
      </c>
      <c r="G25" s="1227">
        <v>13.9</v>
      </c>
      <c r="H25" s="1224">
        <f t="shared" si="2"/>
        <v>46</v>
      </c>
      <c r="I25" s="1224">
        <v>11.2</v>
      </c>
      <c r="J25" s="1224">
        <v>11.3</v>
      </c>
      <c r="K25" s="1224">
        <v>12</v>
      </c>
      <c r="L25" s="1224">
        <f t="shared" si="6"/>
        <v>11.5</v>
      </c>
      <c r="M25" s="1232" t="s">
        <v>1359</v>
      </c>
    </row>
    <row r="26" spans="1:17" ht="14.25">
      <c r="A26" s="1231" t="s">
        <v>1360</v>
      </c>
      <c r="B26" s="1224">
        <v>251.5</v>
      </c>
      <c r="C26" s="1224">
        <v>293.60000000000002</v>
      </c>
      <c r="D26" s="1224">
        <v>74.400000000000006</v>
      </c>
      <c r="E26" s="1224">
        <v>76.900000000000006</v>
      </c>
      <c r="F26" s="1224">
        <v>69.900000000000006</v>
      </c>
      <c r="G26" s="1227">
        <v>72.400000000000006</v>
      </c>
      <c r="H26" s="1224">
        <f t="shared" si="2"/>
        <v>300.5333333333333</v>
      </c>
      <c r="I26" s="1224">
        <v>75.3</v>
      </c>
      <c r="J26" s="1224">
        <v>74.099999999999994</v>
      </c>
      <c r="K26" s="1224">
        <v>76</v>
      </c>
      <c r="L26" s="1224">
        <f t="shared" si="6"/>
        <v>75.133333333333326</v>
      </c>
      <c r="M26" s="1232" t="s">
        <v>1361</v>
      </c>
    </row>
    <row r="27" spans="1:17" ht="14.25">
      <c r="A27" s="1231" t="s">
        <v>1362</v>
      </c>
      <c r="B27" s="1224">
        <v>92.1</v>
      </c>
      <c r="C27" s="1224">
        <v>91</v>
      </c>
      <c r="D27" s="1224">
        <v>24.5</v>
      </c>
      <c r="E27" s="1224">
        <v>23.7</v>
      </c>
      <c r="F27" s="1224">
        <v>20.399999999999999</v>
      </c>
      <c r="G27" s="1227">
        <v>22.4</v>
      </c>
      <c r="H27" s="1224">
        <f t="shared" si="2"/>
        <v>79.466666666666669</v>
      </c>
      <c r="I27" s="1224">
        <v>20.2</v>
      </c>
      <c r="J27" s="1224">
        <v>19.3</v>
      </c>
      <c r="K27" s="1224">
        <v>20.100000000000001</v>
      </c>
      <c r="L27" s="1224">
        <f t="shared" si="6"/>
        <v>19.866666666666667</v>
      </c>
      <c r="M27" s="1232" t="s">
        <v>1363</v>
      </c>
    </row>
    <row r="28" spans="1:17" ht="30" customHeight="1">
      <c r="A28" s="1216" t="s">
        <v>1364</v>
      </c>
      <c r="B28" s="1224">
        <f>SUM(B29:B30)</f>
        <v>-748.1</v>
      </c>
      <c r="C28" s="1224">
        <v>-780.60000000000014</v>
      </c>
      <c r="D28" s="1224">
        <f t="shared" ref="D28:K28" si="7">SUM(D29:D30)</f>
        <v>-254.7</v>
      </c>
      <c r="E28" s="1224">
        <f t="shared" si="7"/>
        <v>-306.5</v>
      </c>
      <c r="F28" s="1224">
        <f t="shared" si="7"/>
        <v>-115.60000000000002</v>
      </c>
      <c r="G28" s="1227">
        <f t="shared" ref="G28" si="8">SUM(G29:G30)</f>
        <v>-103.80000000000001</v>
      </c>
      <c r="H28" s="1224">
        <f t="shared" si="2"/>
        <v>-849.9666666666667</v>
      </c>
      <c r="I28" s="1224">
        <f t="shared" si="7"/>
        <v>-184.1</v>
      </c>
      <c r="J28" s="1224">
        <f t="shared" si="7"/>
        <v>-226.2</v>
      </c>
      <c r="K28" s="1224">
        <f t="shared" si="7"/>
        <v>-227.20000000000002</v>
      </c>
      <c r="L28" s="1224">
        <f t="shared" ref="L28" si="9">SUM(L29:L30)</f>
        <v>-212.4666666666667</v>
      </c>
      <c r="M28" s="1219" t="s">
        <v>1365</v>
      </c>
    </row>
    <row r="29" spans="1:17" s="1230" customFormat="1" ht="15">
      <c r="A29" s="1226" t="s">
        <v>1344</v>
      </c>
      <c r="B29" s="1224">
        <v>794.4</v>
      </c>
      <c r="C29" s="1224">
        <v>909.3</v>
      </c>
      <c r="D29" s="1224">
        <v>197.8</v>
      </c>
      <c r="E29" s="1224">
        <v>201.3</v>
      </c>
      <c r="F29" s="1224">
        <v>249</v>
      </c>
      <c r="G29" s="1227">
        <v>261.2</v>
      </c>
      <c r="H29" s="1224">
        <f t="shared" si="2"/>
        <v>876.5333333333333</v>
      </c>
      <c r="I29" s="1224">
        <v>217.1</v>
      </c>
      <c r="J29" s="1224">
        <v>219.7</v>
      </c>
      <c r="K29" s="1224">
        <v>220.6</v>
      </c>
      <c r="L29" s="1224">
        <f>(K29+J29+I29)/3</f>
        <v>219.13333333333333</v>
      </c>
      <c r="M29" s="1228" t="s">
        <v>1345</v>
      </c>
    </row>
    <row r="30" spans="1:17" s="1230" customFormat="1" ht="15">
      <c r="A30" s="1226" t="s">
        <v>1346</v>
      </c>
      <c r="B30" s="1224">
        <v>-1542.5</v>
      </c>
      <c r="C30" s="1224">
        <v>-1689.9</v>
      </c>
      <c r="D30" s="1224">
        <v>-452.5</v>
      </c>
      <c r="E30" s="1224">
        <v>-507.8</v>
      </c>
      <c r="F30" s="1224">
        <v>-364.6</v>
      </c>
      <c r="G30" s="1227">
        <v>-365</v>
      </c>
      <c r="H30" s="1224">
        <f t="shared" si="2"/>
        <v>-1726.5</v>
      </c>
      <c r="I30" s="1224">
        <v>-401.2</v>
      </c>
      <c r="J30" s="1224">
        <v>-445.9</v>
      </c>
      <c r="K30" s="1224">
        <v>-447.8</v>
      </c>
      <c r="L30" s="1224">
        <v>-431.6</v>
      </c>
      <c r="M30" s="1228" t="s">
        <v>1347</v>
      </c>
    </row>
    <row r="31" spans="1:17" ht="21" customHeight="1">
      <c r="A31" s="1231" t="s">
        <v>1366</v>
      </c>
      <c r="B31" s="1217">
        <f>B32+B33+B34</f>
        <v>-748.1</v>
      </c>
      <c r="C31" s="1217">
        <v>-780.6</v>
      </c>
      <c r="D31" s="1217">
        <f t="shared" ref="D31:L31" si="10">D32+D33+D34</f>
        <v>-254.7</v>
      </c>
      <c r="E31" s="1217">
        <f t="shared" si="10"/>
        <v>-306.5</v>
      </c>
      <c r="F31" s="1217">
        <f t="shared" si="10"/>
        <v>-115.60000000000001</v>
      </c>
      <c r="G31" s="1218">
        <f t="shared" si="10"/>
        <v>-103.80000000000001</v>
      </c>
      <c r="H31" s="1217">
        <f t="shared" si="2"/>
        <v>-850</v>
      </c>
      <c r="I31" s="1224">
        <f t="shared" si="10"/>
        <v>-184.1</v>
      </c>
      <c r="J31" s="1224">
        <f t="shared" si="10"/>
        <v>-226.2</v>
      </c>
      <c r="K31" s="1224">
        <f t="shared" si="10"/>
        <v>-227.2</v>
      </c>
      <c r="L31" s="1224">
        <f t="shared" si="10"/>
        <v>-212.49999999999997</v>
      </c>
      <c r="M31" s="1232" t="s">
        <v>1367</v>
      </c>
      <c r="N31" s="1220"/>
    </row>
    <row r="32" spans="1:17" ht="14.25">
      <c r="A32" s="1221" t="s">
        <v>1368</v>
      </c>
      <c r="B32" s="1217">
        <v>-488.5</v>
      </c>
      <c r="C32" s="1217">
        <v>-284</v>
      </c>
      <c r="D32" s="1217">
        <v>-120.1</v>
      </c>
      <c r="E32" s="1217">
        <v>-123.7</v>
      </c>
      <c r="F32" s="1217">
        <v>-18.100000000000001</v>
      </c>
      <c r="G32" s="1218">
        <v>-22.1</v>
      </c>
      <c r="H32" s="1217">
        <f t="shared" si="2"/>
        <v>-324.93333333333334</v>
      </c>
      <c r="I32" s="1224">
        <v>-80.099999999999994</v>
      </c>
      <c r="J32" s="1224">
        <v>-83.4</v>
      </c>
      <c r="K32" s="1224">
        <v>-80.2</v>
      </c>
      <c r="L32" s="1224">
        <f>(K32+J32+I32)/3</f>
        <v>-81.233333333333334</v>
      </c>
      <c r="M32" s="1222" t="s">
        <v>1369</v>
      </c>
      <c r="O32" s="1220"/>
    </row>
    <row r="33" spans="1:15" ht="14.25">
      <c r="A33" s="1221" t="s">
        <v>1370</v>
      </c>
      <c r="B33" s="1217">
        <v>-239.4</v>
      </c>
      <c r="C33" s="1217">
        <v>-462.1</v>
      </c>
      <c r="D33" s="1217">
        <v>-127.1</v>
      </c>
      <c r="E33" s="1217">
        <v>-173.9</v>
      </c>
      <c r="F33" s="1217">
        <v>-81.3</v>
      </c>
      <c r="G33" s="1218">
        <v>-79.8</v>
      </c>
      <c r="H33" s="1217">
        <f t="shared" si="2"/>
        <v>-514.66666666666663</v>
      </c>
      <c r="I33" s="1224">
        <v>-100</v>
      </c>
      <c r="J33" s="1224">
        <v>-140.19999999999999</v>
      </c>
      <c r="K33" s="1224">
        <v>-145.80000000000001</v>
      </c>
      <c r="L33" s="1224">
        <f t="shared" ref="L33:L34" si="11">(K33+J33+I33)/3</f>
        <v>-128.66666666666666</v>
      </c>
      <c r="M33" s="1222" t="s">
        <v>1371</v>
      </c>
      <c r="O33" s="1220"/>
    </row>
    <row r="34" spans="1:15" ht="14.25">
      <c r="A34" s="1221" t="s">
        <v>1372</v>
      </c>
      <c r="B34" s="1217">
        <v>-20.2</v>
      </c>
      <c r="C34" s="1217">
        <v>-34.5</v>
      </c>
      <c r="D34" s="1217">
        <v>-7.5</v>
      </c>
      <c r="E34" s="1217">
        <v>-8.9</v>
      </c>
      <c r="F34" s="1217">
        <v>-16.2</v>
      </c>
      <c r="G34" s="1218">
        <v>-1.9</v>
      </c>
      <c r="H34" s="1217">
        <f t="shared" si="2"/>
        <v>-10.4</v>
      </c>
      <c r="I34" s="1224">
        <v>-4</v>
      </c>
      <c r="J34" s="1224">
        <v>-2.6</v>
      </c>
      <c r="K34" s="1224">
        <v>-1.2</v>
      </c>
      <c r="L34" s="1224">
        <f t="shared" si="11"/>
        <v>-2.6</v>
      </c>
      <c r="M34" s="1222" t="s">
        <v>1373</v>
      </c>
      <c r="O34" s="1220"/>
    </row>
    <row r="35" spans="1:15" ht="30" customHeight="1">
      <c r="A35" s="1216" t="s">
        <v>1374</v>
      </c>
      <c r="B35" s="1217">
        <f>B36</f>
        <v>-927.2</v>
      </c>
      <c r="C35" s="1217">
        <v>-1229.1000000000001</v>
      </c>
      <c r="D35" s="1217">
        <f t="shared" ref="D35:K35" si="12">D36</f>
        <v>-315.89999999999998</v>
      </c>
      <c r="E35" s="1217">
        <f t="shared" si="12"/>
        <v>-347.5</v>
      </c>
      <c r="F35" s="1217">
        <f t="shared" si="12"/>
        <v>-334.8</v>
      </c>
      <c r="G35" s="1218">
        <f t="shared" si="12"/>
        <v>-230.9</v>
      </c>
      <c r="H35" s="1217">
        <f t="shared" si="2"/>
        <v>-1086.7</v>
      </c>
      <c r="I35" s="1224">
        <f t="shared" si="12"/>
        <v>-238.9</v>
      </c>
      <c r="J35" s="1224">
        <f t="shared" si="12"/>
        <v>-340.1</v>
      </c>
      <c r="K35" s="1224">
        <f t="shared" si="12"/>
        <v>-280.10000000000002</v>
      </c>
      <c r="L35" s="1224">
        <f>L36</f>
        <v>-227.6</v>
      </c>
      <c r="M35" s="1219" t="s">
        <v>1375</v>
      </c>
    </row>
    <row r="36" spans="1:15" ht="14.25">
      <c r="A36" s="1231" t="s">
        <v>1376</v>
      </c>
      <c r="B36" s="1217">
        <v>-927.2</v>
      </c>
      <c r="C36" s="1217">
        <v>-1229.1000000000001</v>
      </c>
      <c r="D36" s="1217">
        <v>-315.89999999999998</v>
      </c>
      <c r="E36" s="1217">
        <v>-347.5</v>
      </c>
      <c r="F36" s="1217">
        <v>-334.8</v>
      </c>
      <c r="G36" s="1218">
        <v>-230.9</v>
      </c>
      <c r="H36" s="1217">
        <f t="shared" si="2"/>
        <v>-1086.7</v>
      </c>
      <c r="I36" s="1224">
        <v>-238.9</v>
      </c>
      <c r="J36" s="1224">
        <v>-340.1</v>
      </c>
      <c r="K36" s="1224">
        <v>-280.10000000000002</v>
      </c>
      <c r="L36" s="1224">
        <v>-227.6</v>
      </c>
      <c r="M36" s="1232" t="s">
        <v>1377</v>
      </c>
    </row>
    <row r="37" spans="1:15" ht="30" customHeight="1">
      <c r="A37" s="1233" t="s">
        <v>1378</v>
      </c>
      <c r="B37" s="1234">
        <f t="shared" ref="B37:L37" si="13">B38+B40</f>
        <v>595.70000000000027</v>
      </c>
      <c r="C37" s="1234">
        <v>1533.6999999999937</v>
      </c>
      <c r="D37" s="1234">
        <f t="shared" si="13"/>
        <v>550.09999999999991</v>
      </c>
      <c r="E37" s="1234">
        <f t="shared" si="13"/>
        <v>937.10000000000014</v>
      </c>
      <c r="F37" s="1234">
        <f t="shared" si="13"/>
        <v>25.900000000000006</v>
      </c>
      <c r="G37" s="1235">
        <f t="shared" si="13"/>
        <v>20.600000000000023</v>
      </c>
      <c r="H37" s="1234">
        <f t="shared" si="2"/>
        <v>491.67000000000166</v>
      </c>
      <c r="I37" s="1236">
        <f t="shared" si="13"/>
        <v>-367.42999999999591</v>
      </c>
      <c r="J37" s="1236">
        <f t="shared" si="13"/>
        <v>358.69999999999766</v>
      </c>
      <c r="K37" s="1236">
        <f t="shared" si="13"/>
        <v>267</v>
      </c>
      <c r="L37" s="1236">
        <f t="shared" si="13"/>
        <v>233.39999999999995</v>
      </c>
      <c r="M37" s="1215" t="s">
        <v>1379</v>
      </c>
    </row>
    <row r="38" spans="1:15" ht="30" customHeight="1">
      <c r="A38" s="1216" t="s">
        <v>1380</v>
      </c>
      <c r="B38" s="1217">
        <f t="shared" ref="B38:K38" si="14">B39</f>
        <v>227</v>
      </c>
      <c r="C38" s="1217">
        <v>299</v>
      </c>
      <c r="D38" s="1217">
        <f t="shared" si="14"/>
        <v>0</v>
      </c>
      <c r="E38" s="1217">
        <f t="shared" si="14"/>
        <v>0</v>
      </c>
      <c r="F38" s="1217">
        <f t="shared" si="14"/>
        <v>0</v>
      </c>
      <c r="G38" s="1218">
        <f t="shared" si="14"/>
        <v>299</v>
      </c>
      <c r="H38" s="1217">
        <f t="shared" si="2"/>
        <v>337</v>
      </c>
      <c r="I38" s="1224">
        <f t="shared" si="14"/>
        <v>0</v>
      </c>
      <c r="J38" s="1224">
        <f t="shared" si="14"/>
        <v>0</v>
      </c>
      <c r="K38" s="1224">
        <f t="shared" si="14"/>
        <v>0</v>
      </c>
      <c r="L38" s="1224">
        <f>L39</f>
        <v>337</v>
      </c>
      <c r="M38" s="1219" t="s">
        <v>1381</v>
      </c>
    </row>
    <row r="39" spans="1:15" ht="14.25">
      <c r="A39" s="1231" t="s">
        <v>1382</v>
      </c>
      <c r="B39" s="1217">
        <v>227</v>
      </c>
      <c r="C39" s="1217">
        <v>299</v>
      </c>
      <c r="D39" s="1217">
        <v>0</v>
      </c>
      <c r="E39" s="1217">
        <v>0</v>
      </c>
      <c r="F39" s="1217">
        <v>0</v>
      </c>
      <c r="G39" s="1218">
        <v>299</v>
      </c>
      <c r="H39" s="1217">
        <f t="shared" si="2"/>
        <v>337</v>
      </c>
      <c r="I39" s="1224">
        <v>0</v>
      </c>
      <c r="J39" s="1224">
        <v>0</v>
      </c>
      <c r="K39" s="1224">
        <v>0</v>
      </c>
      <c r="L39" s="1224">
        <v>337</v>
      </c>
      <c r="M39" s="1232" t="s">
        <v>1383</v>
      </c>
    </row>
    <row r="40" spans="1:15" ht="30" customHeight="1">
      <c r="A40" s="1216" t="s">
        <v>1384</v>
      </c>
      <c r="B40" s="1217">
        <f t="shared" ref="B40:L40" si="15">B41+B44+B47+B50</f>
        <v>368.70000000000022</v>
      </c>
      <c r="C40" s="1217">
        <v>1234.6999999999937</v>
      </c>
      <c r="D40" s="1217">
        <f t="shared" si="15"/>
        <v>550.09999999999991</v>
      </c>
      <c r="E40" s="1217">
        <f t="shared" si="15"/>
        <v>937.10000000000014</v>
      </c>
      <c r="F40" s="1217">
        <f t="shared" si="15"/>
        <v>25.900000000000006</v>
      </c>
      <c r="G40" s="1218">
        <f t="shared" si="15"/>
        <v>-278.39999999999998</v>
      </c>
      <c r="H40" s="1217">
        <f t="shared" si="2"/>
        <v>154.67000000000169</v>
      </c>
      <c r="I40" s="1224">
        <f t="shared" si="15"/>
        <v>-367.42999999999591</v>
      </c>
      <c r="J40" s="1224">
        <f t="shared" si="15"/>
        <v>358.69999999999766</v>
      </c>
      <c r="K40" s="1224">
        <f t="shared" si="15"/>
        <v>267</v>
      </c>
      <c r="L40" s="1224">
        <f t="shared" si="15"/>
        <v>-103.60000000000005</v>
      </c>
      <c r="M40" s="1219" t="s">
        <v>1385</v>
      </c>
    </row>
    <row r="41" spans="1:15" ht="15">
      <c r="A41" s="1226" t="s">
        <v>1386</v>
      </c>
      <c r="B41" s="1217">
        <f t="shared" ref="B41:J41" si="16">SUM(B42:B43)</f>
        <v>450.1</v>
      </c>
      <c r="C41" s="1217">
        <v>580.20000000000005</v>
      </c>
      <c r="D41" s="1217">
        <f t="shared" si="16"/>
        <v>73.900000000000006</v>
      </c>
      <c r="E41" s="1217">
        <f t="shared" si="16"/>
        <v>91.3</v>
      </c>
      <c r="F41" s="1217">
        <f t="shared" si="16"/>
        <v>158.6</v>
      </c>
      <c r="G41" s="1218">
        <f t="shared" si="16"/>
        <v>256.40000000000003</v>
      </c>
      <c r="H41" s="1217">
        <f t="shared" si="2"/>
        <v>428.16999999999933</v>
      </c>
      <c r="I41" s="1224">
        <f t="shared" si="16"/>
        <v>-45.530000000000655</v>
      </c>
      <c r="J41" s="1224">
        <f t="shared" si="16"/>
        <v>95.600000000000364</v>
      </c>
      <c r="K41" s="1224">
        <f t="shared" ref="K41:L41" si="17">SUM(K42:K43)</f>
        <v>172.89999999999964</v>
      </c>
      <c r="L41" s="1224">
        <f t="shared" si="17"/>
        <v>205.2</v>
      </c>
      <c r="M41" s="1228" t="s">
        <v>1387</v>
      </c>
    </row>
    <row r="42" spans="1:15" ht="14.25">
      <c r="A42" s="1221" t="s">
        <v>1388</v>
      </c>
      <c r="B42" s="1217">
        <v>-86.1</v>
      </c>
      <c r="C42" s="1217">
        <v>-41.8</v>
      </c>
      <c r="D42" s="1217">
        <v>-17.5</v>
      </c>
      <c r="E42" s="1217">
        <v>-20.3</v>
      </c>
      <c r="F42" s="1217">
        <v>-1.6</v>
      </c>
      <c r="G42" s="1218">
        <v>-2.4</v>
      </c>
      <c r="H42" s="1217">
        <f t="shared" si="2"/>
        <v>74.099999999999994</v>
      </c>
      <c r="I42" s="1224">
        <v>-2.1000000000003638</v>
      </c>
      <c r="J42" s="1224">
        <v>-3.5</v>
      </c>
      <c r="K42" s="1224">
        <v>78.100000000000364</v>
      </c>
      <c r="L42" s="1224">
        <v>1.6</v>
      </c>
      <c r="M42" s="1222" t="s">
        <v>1389</v>
      </c>
    </row>
    <row r="43" spans="1:15" ht="14.25">
      <c r="A43" s="1221" t="s">
        <v>1390</v>
      </c>
      <c r="B43" s="1217">
        <v>536.20000000000005</v>
      </c>
      <c r="C43" s="1217">
        <v>622</v>
      </c>
      <c r="D43" s="1217">
        <v>91.4</v>
      </c>
      <c r="E43" s="1217">
        <v>111.6</v>
      </c>
      <c r="F43" s="1217">
        <v>160.19999999999999</v>
      </c>
      <c r="G43" s="1218">
        <v>258.8</v>
      </c>
      <c r="H43" s="1217">
        <f t="shared" si="2"/>
        <v>354.06999999999937</v>
      </c>
      <c r="I43" s="1224">
        <v>-43.430000000000291</v>
      </c>
      <c r="J43" s="1224">
        <v>99.100000000000364</v>
      </c>
      <c r="K43" s="1224">
        <v>94.799999999999272</v>
      </c>
      <c r="L43" s="1224">
        <v>203.6</v>
      </c>
      <c r="M43" s="1222" t="s">
        <v>1391</v>
      </c>
    </row>
    <row r="44" spans="1:15" ht="30" customHeight="1">
      <c r="A44" s="1226" t="s">
        <v>1392</v>
      </c>
      <c r="B44" s="1217">
        <f t="shared" ref="B44:J44" si="18">SUM(B45:B46)</f>
        <v>1208.8</v>
      </c>
      <c r="C44" s="1217">
        <v>-565.59999999999923</v>
      </c>
      <c r="D44" s="1217">
        <f t="shared" si="18"/>
        <v>-241.6</v>
      </c>
      <c r="E44" s="1217">
        <f t="shared" si="18"/>
        <v>168.8</v>
      </c>
      <c r="F44" s="1217">
        <f t="shared" si="18"/>
        <v>-249.5</v>
      </c>
      <c r="G44" s="1218">
        <f t="shared" si="18"/>
        <v>-243.3</v>
      </c>
      <c r="H44" s="1217">
        <f t="shared" si="2"/>
        <v>28.799999999998732</v>
      </c>
      <c r="I44" s="1224">
        <f t="shared" si="18"/>
        <v>39.199999999998909</v>
      </c>
      <c r="J44" s="1224">
        <f t="shared" si="18"/>
        <v>-259.40000000000055</v>
      </c>
      <c r="K44" s="1224">
        <f t="shared" ref="K44:L44" si="19">SUM(K45:K46)</f>
        <v>269.10000000000036</v>
      </c>
      <c r="L44" s="1224">
        <f t="shared" si="19"/>
        <v>-20.099999999999994</v>
      </c>
      <c r="M44" s="1228" t="s">
        <v>1393</v>
      </c>
    </row>
    <row r="45" spans="1:15" ht="14.25">
      <c r="A45" s="1221" t="s">
        <v>1394</v>
      </c>
      <c r="B45" s="1217">
        <v>241.5</v>
      </c>
      <c r="C45" s="1217">
        <v>-818.39999999999918</v>
      </c>
      <c r="D45" s="1217">
        <v>-44.4</v>
      </c>
      <c r="E45" s="1217">
        <v>-387.2</v>
      </c>
      <c r="F45" s="1217">
        <v>-196.2</v>
      </c>
      <c r="G45" s="1218">
        <v>-190.6</v>
      </c>
      <c r="H45" s="1217">
        <f t="shared" si="2"/>
        <v>-489.50000000000108</v>
      </c>
      <c r="I45" s="1224">
        <v>-118.70000000000073</v>
      </c>
      <c r="J45" s="1224">
        <v>-92.700000000000728</v>
      </c>
      <c r="K45" s="1224">
        <v>-17.899999999999636</v>
      </c>
      <c r="L45" s="1224">
        <v>-260.2</v>
      </c>
      <c r="M45" s="1222" t="s">
        <v>1395</v>
      </c>
      <c r="O45" s="1220"/>
    </row>
    <row r="46" spans="1:15" ht="14.25">
      <c r="A46" s="1221" t="s">
        <v>1396</v>
      </c>
      <c r="B46" s="1217">
        <v>967.3</v>
      </c>
      <c r="C46" s="1217">
        <v>252.79999999999995</v>
      </c>
      <c r="D46" s="1217">
        <v>-197.2</v>
      </c>
      <c r="E46" s="1217">
        <v>556</v>
      </c>
      <c r="F46" s="1217">
        <v>-53.3</v>
      </c>
      <c r="G46" s="1218">
        <v>-52.7</v>
      </c>
      <c r="H46" s="1217">
        <f t="shared" si="2"/>
        <v>518.29999999999984</v>
      </c>
      <c r="I46" s="1224">
        <v>157.89999999999964</v>
      </c>
      <c r="J46" s="1224">
        <v>-166.69999999999982</v>
      </c>
      <c r="K46" s="1224">
        <v>287</v>
      </c>
      <c r="L46" s="1224">
        <v>240.1</v>
      </c>
      <c r="M46" s="1222" t="s">
        <v>1397</v>
      </c>
      <c r="O46" s="1220"/>
    </row>
    <row r="47" spans="1:15" ht="30" customHeight="1">
      <c r="A47" s="1226" t="s">
        <v>1398</v>
      </c>
      <c r="B47" s="1217">
        <f t="shared" ref="B47:J47" si="20">SUM(B48:B49)</f>
        <v>-1227.8999999999999</v>
      </c>
      <c r="C47" s="1217">
        <v>1043.6999999999928</v>
      </c>
      <c r="D47" s="1217">
        <f t="shared" si="20"/>
        <v>367.9</v>
      </c>
      <c r="E47" s="1217">
        <f t="shared" si="20"/>
        <v>967.8</v>
      </c>
      <c r="F47" s="1217">
        <f t="shared" si="20"/>
        <v>-141.5</v>
      </c>
      <c r="G47" s="1218">
        <f t="shared" si="20"/>
        <v>-150.5</v>
      </c>
      <c r="H47" s="1217">
        <f t="shared" si="2"/>
        <v>273.00000000000364</v>
      </c>
      <c r="I47" s="1224">
        <f t="shared" si="20"/>
        <v>45.100000000005821</v>
      </c>
      <c r="J47" s="1224">
        <f t="shared" si="20"/>
        <v>685.89999999999782</v>
      </c>
      <c r="K47" s="1224">
        <f t="shared" ref="K47:L47" si="21">SUM(K48:K49)</f>
        <v>-79</v>
      </c>
      <c r="L47" s="1224">
        <f t="shared" si="21"/>
        <v>-379</v>
      </c>
      <c r="M47" s="1228" t="s">
        <v>1399</v>
      </c>
    </row>
    <row r="48" spans="1:15" ht="14.25">
      <c r="A48" s="1221" t="s">
        <v>1394</v>
      </c>
      <c r="B48" s="1217">
        <v>-1070.8</v>
      </c>
      <c r="C48" s="1217">
        <v>-827.7</v>
      </c>
      <c r="D48" s="1217">
        <v>-51.5</v>
      </c>
      <c r="E48" s="1217">
        <v>1076.8</v>
      </c>
      <c r="F48" s="1217">
        <v>-919.6</v>
      </c>
      <c r="G48" s="1218">
        <v>-933.4</v>
      </c>
      <c r="H48" s="1217">
        <f t="shared" si="2"/>
        <v>1298.4999999999993</v>
      </c>
      <c r="I48" s="1224">
        <v>-138.79999999999927</v>
      </c>
      <c r="J48" s="1224">
        <v>-214.10000000000218</v>
      </c>
      <c r="K48" s="1224">
        <v>900.70000000000073</v>
      </c>
      <c r="L48" s="1224">
        <v>750.7</v>
      </c>
      <c r="M48" s="1222" t="s">
        <v>1395</v>
      </c>
      <c r="O48" s="1220"/>
    </row>
    <row r="49" spans="1:15" ht="14.25">
      <c r="A49" s="1221" t="s">
        <v>1396</v>
      </c>
      <c r="B49" s="1217">
        <v>-157.1</v>
      </c>
      <c r="C49" s="1217">
        <v>1871.3999999999928</v>
      </c>
      <c r="D49" s="1217">
        <v>419.4</v>
      </c>
      <c r="E49" s="1217">
        <v>-109</v>
      </c>
      <c r="F49" s="1217">
        <v>778.1</v>
      </c>
      <c r="G49" s="1218">
        <v>782.9</v>
      </c>
      <c r="H49" s="1217">
        <f t="shared" si="2"/>
        <v>-1025.4999999999957</v>
      </c>
      <c r="I49" s="1224">
        <v>183.90000000000509</v>
      </c>
      <c r="J49" s="1224">
        <v>900</v>
      </c>
      <c r="K49" s="1224">
        <v>-979.70000000000073</v>
      </c>
      <c r="L49" s="1224">
        <v>-1129.7</v>
      </c>
      <c r="M49" s="1222" t="s">
        <v>1397</v>
      </c>
      <c r="O49" s="1220"/>
    </row>
    <row r="50" spans="1:15" ht="30" customHeight="1">
      <c r="A50" s="1226" t="s">
        <v>1400</v>
      </c>
      <c r="B50" s="1217">
        <v>-62.3</v>
      </c>
      <c r="C50" s="1217">
        <v>176.4</v>
      </c>
      <c r="D50" s="1217">
        <v>349.9</v>
      </c>
      <c r="E50" s="1217">
        <v>-290.8</v>
      </c>
      <c r="F50" s="1217">
        <v>258.3</v>
      </c>
      <c r="G50" s="1218">
        <v>-141</v>
      </c>
      <c r="H50" s="1217">
        <f t="shared" si="2"/>
        <v>-575.30000000000007</v>
      </c>
      <c r="I50" s="1224">
        <v>-406.2</v>
      </c>
      <c r="J50" s="1224">
        <v>-163.4</v>
      </c>
      <c r="K50" s="1224">
        <v>-96</v>
      </c>
      <c r="L50" s="1224">
        <v>90.299999999999955</v>
      </c>
      <c r="M50" s="1228" t="s">
        <v>1401</v>
      </c>
      <c r="O50" s="1220"/>
    </row>
    <row r="51" spans="1:15" ht="30" customHeight="1">
      <c r="A51" s="1211" t="s">
        <v>1402</v>
      </c>
      <c r="B51" s="1212">
        <f t="shared" ref="B51:L51" si="22">-(B9+B37)</f>
        <v>-50.499999999999204</v>
      </c>
      <c r="C51" s="1212">
        <v>-618.29999999999268</v>
      </c>
      <c r="D51" s="1212">
        <f t="shared" si="22"/>
        <v>-316.40000000000003</v>
      </c>
      <c r="E51" s="1212">
        <f t="shared" si="22"/>
        <v>-489.70000000000005</v>
      </c>
      <c r="F51" s="1212">
        <f t="shared" si="22"/>
        <v>137.00000000000014</v>
      </c>
      <c r="G51" s="1213">
        <f t="shared" si="22"/>
        <v>50.799999999999812</v>
      </c>
      <c r="H51" s="1212">
        <f t="shared" si="2"/>
        <v>-193.10333333333449</v>
      </c>
      <c r="I51" s="1237">
        <f t="shared" si="22"/>
        <v>195.82999999999615</v>
      </c>
      <c r="J51" s="1237">
        <f t="shared" si="22"/>
        <v>-133.99999999999733</v>
      </c>
      <c r="K51" s="1237">
        <f t="shared" si="22"/>
        <v>-117.99999999999991</v>
      </c>
      <c r="L51" s="1237">
        <f t="shared" si="22"/>
        <v>-136.93333333333339</v>
      </c>
      <c r="M51" s="1215" t="s">
        <v>1403</v>
      </c>
    </row>
    <row r="52" spans="1:15" ht="21" customHeight="1">
      <c r="A52" s="1238" t="s">
        <v>1404</v>
      </c>
      <c r="B52" s="1239"/>
      <c r="C52" s="1239"/>
      <c r="D52" s="1239"/>
      <c r="E52" s="1239"/>
      <c r="F52" s="1239"/>
      <c r="G52" s="1239"/>
      <c r="H52" s="1239"/>
      <c r="I52" s="1239"/>
      <c r="J52" s="1239"/>
      <c r="K52" s="1239"/>
      <c r="L52" s="1239"/>
      <c r="M52" s="1240" t="s">
        <v>1405</v>
      </c>
    </row>
    <row r="53" spans="1:15">
      <c r="A53" s="1241" t="s">
        <v>1406</v>
      </c>
      <c r="M53" s="1242" t="s">
        <v>1407</v>
      </c>
    </row>
    <row r="55" spans="1:15" s="159" customFormat="1" ht="15">
      <c r="A55" s="1243" t="s">
        <v>1408</v>
      </c>
      <c r="B55" s="414"/>
      <c r="C55" s="414"/>
      <c r="D55" s="414"/>
      <c r="E55" s="414"/>
      <c r="F55" s="414"/>
      <c r="G55" s="414"/>
      <c r="H55" s="414"/>
      <c r="I55" s="414"/>
      <c r="J55" s="414"/>
      <c r="K55" s="414"/>
      <c r="L55" s="414"/>
      <c r="M55" s="414"/>
    </row>
    <row r="56" spans="1:15">
      <c r="B56" s="1244"/>
      <c r="C56" s="1244"/>
      <c r="D56" s="1244"/>
      <c r="E56" s="1244"/>
      <c r="F56" s="1244"/>
      <c r="G56" s="1244"/>
      <c r="H56" s="1244"/>
      <c r="I56" s="1244"/>
      <c r="J56" s="1244"/>
      <c r="K56" s="1244"/>
      <c r="L56" s="1244"/>
    </row>
    <row r="57" spans="1:15">
      <c r="B57" s="1244"/>
      <c r="C57" s="1244"/>
      <c r="D57" s="1244"/>
      <c r="E57" s="1244"/>
      <c r="F57" s="1244"/>
      <c r="G57" s="1244"/>
      <c r="H57" s="1244"/>
      <c r="I57" s="1244"/>
      <c r="J57" s="1244"/>
      <c r="K57" s="1244"/>
      <c r="L57" s="1244"/>
    </row>
    <row r="58" spans="1:15">
      <c r="B58" s="1244"/>
      <c r="C58" s="1244"/>
      <c r="D58" s="1244"/>
      <c r="E58" s="1244"/>
      <c r="F58" s="1244"/>
      <c r="G58" s="1244"/>
      <c r="H58" s="1244"/>
      <c r="I58" s="1244"/>
      <c r="J58" s="1244"/>
      <c r="K58" s="1244"/>
      <c r="L58" s="1244"/>
    </row>
  </sheetData>
  <mergeCells count="7">
    <mergeCell ref="M5:M8"/>
    <mergeCell ref="A5:A8"/>
    <mergeCell ref="B5:B8"/>
    <mergeCell ref="C5:C8"/>
    <mergeCell ref="D5:G6"/>
    <mergeCell ref="I5:L6"/>
    <mergeCell ref="H5:H8"/>
  </mergeCells>
  <printOptions horizontalCentered="1" verticalCentered="1"/>
  <pageMargins left="0" right="0" top="0" bottom="0" header="0.3" footer="0.3"/>
  <pageSetup paperSize="9" scale="58"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P26"/>
  <sheetViews>
    <sheetView view="pageBreakPreview" zoomScale="60" zoomScaleNormal="80" workbookViewId="0">
      <selection activeCell="A49" sqref="A1:XFD1048576"/>
    </sheetView>
  </sheetViews>
  <sheetFormatPr defaultColWidth="9.140625" defaultRowHeight="15"/>
  <cols>
    <col min="1" max="1" width="32.7109375" style="615" customWidth="1"/>
    <col min="2" max="2" width="13.7109375" style="615" hidden="1" customWidth="1"/>
    <col min="3" max="12" width="13.7109375" style="615" customWidth="1"/>
    <col min="13" max="13" width="32.7109375" style="615" customWidth="1"/>
    <col min="14" max="15" width="9.140625" style="615"/>
    <col min="16" max="16" width="15.42578125" style="615" customWidth="1"/>
    <col min="17" max="16384" width="9.140625" style="615"/>
  </cols>
  <sheetData>
    <row r="1" spans="1:16" s="1197" customFormat="1" ht="18" customHeight="1">
      <c r="A1" s="1195" t="s">
        <v>1409</v>
      </c>
      <c r="B1" s="1195"/>
      <c r="C1" s="1195"/>
      <c r="D1" s="1195"/>
      <c r="E1" s="1195"/>
      <c r="F1" s="1195"/>
      <c r="G1" s="1195"/>
      <c r="H1" s="1195"/>
      <c r="I1" s="1195"/>
      <c r="J1" s="1195"/>
      <c r="K1" s="1195"/>
      <c r="L1" s="1195"/>
      <c r="M1" s="1196"/>
    </row>
    <row r="2" spans="1:16" s="1197" customFormat="1" ht="18" customHeight="1">
      <c r="A2" s="1196" t="s">
        <v>94</v>
      </c>
      <c r="B2" s="1196"/>
      <c r="C2" s="1196"/>
      <c r="D2" s="1196"/>
      <c r="E2" s="1196"/>
      <c r="F2" s="1196"/>
      <c r="G2" s="1196"/>
      <c r="H2" s="1196"/>
      <c r="I2" s="1196"/>
      <c r="J2" s="1196"/>
      <c r="K2" s="1196"/>
      <c r="L2" s="1196"/>
      <c r="M2" s="1196"/>
    </row>
    <row r="3" spans="1:16" s="1197" customFormat="1" ht="18" customHeight="1">
      <c r="A3" s="1196" t="s">
        <v>93</v>
      </c>
      <c r="B3" s="1196"/>
      <c r="C3" s="1196"/>
      <c r="D3" s="1196"/>
      <c r="E3" s="1196"/>
      <c r="F3" s="1196"/>
      <c r="G3" s="1196"/>
      <c r="H3" s="1196"/>
      <c r="I3" s="1196"/>
      <c r="J3" s="1196"/>
      <c r="K3" s="1196"/>
      <c r="L3" s="1196"/>
      <c r="M3" s="1196"/>
    </row>
    <row r="4" spans="1:16" ht="15.75">
      <c r="A4" s="620" t="s">
        <v>1144</v>
      </c>
      <c r="B4" s="1198"/>
      <c r="C4" s="1198"/>
      <c r="D4" s="1198"/>
      <c r="E4" s="1198"/>
      <c r="F4" s="1198"/>
      <c r="G4" s="1198"/>
      <c r="H4" s="1198"/>
      <c r="I4" s="1198"/>
      <c r="J4" s="1198"/>
      <c r="K4" s="1198"/>
      <c r="L4" s="1198"/>
      <c r="M4" s="1199" t="s">
        <v>355</v>
      </c>
    </row>
    <row r="5" spans="1:16" ht="18" customHeight="1">
      <c r="A5" s="2229" t="s">
        <v>1322</v>
      </c>
      <c r="B5" s="2232" t="s">
        <v>1323</v>
      </c>
      <c r="C5" s="2232">
        <v>2018</v>
      </c>
      <c r="D5" s="2235">
        <v>2018</v>
      </c>
      <c r="E5" s="2236"/>
      <c r="F5" s="2236"/>
      <c r="G5" s="2237"/>
      <c r="H5" s="2232">
        <v>2019</v>
      </c>
      <c r="I5" s="2238" t="s">
        <v>1324</v>
      </c>
      <c r="J5" s="2239"/>
      <c r="K5" s="2239"/>
      <c r="L5" s="2240"/>
      <c r="M5" s="2226" t="s">
        <v>1325</v>
      </c>
    </row>
    <row r="6" spans="1:16" ht="18" customHeight="1">
      <c r="A6" s="2230"/>
      <c r="B6" s="2233"/>
      <c r="C6" s="2233"/>
      <c r="D6" s="1105" t="s">
        <v>1326</v>
      </c>
      <c r="E6" s="979" t="s">
        <v>1327</v>
      </c>
      <c r="F6" s="1105" t="s">
        <v>1328</v>
      </c>
      <c r="G6" s="979" t="s">
        <v>1329</v>
      </c>
      <c r="H6" s="2233"/>
      <c r="I6" s="1105" t="s">
        <v>1326</v>
      </c>
      <c r="J6" s="1108" t="s">
        <v>1327</v>
      </c>
      <c r="K6" s="1105" t="s">
        <v>1328</v>
      </c>
      <c r="L6" s="1108" t="s">
        <v>1329</v>
      </c>
      <c r="M6" s="2227"/>
    </row>
    <row r="7" spans="1:16" ht="18" customHeight="1">
      <c r="A7" s="2231"/>
      <c r="B7" s="2234"/>
      <c r="C7" s="2234"/>
      <c r="D7" s="980" t="s">
        <v>222</v>
      </c>
      <c r="E7" s="980" t="s">
        <v>223</v>
      </c>
      <c r="F7" s="980" t="s">
        <v>224</v>
      </c>
      <c r="G7" s="980" t="s">
        <v>225</v>
      </c>
      <c r="H7" s="2234"/>
      <c r="I7" s="980" t="s">
        <v>222</v>
      </c>
      <c r="J7" s="980" t="s">
        <v>223</v>
      </c>
      <c r="K7" s="980" t="s">
        <v>224</v>
      </c>
      <c r="L7" s="980" t="s">
        <v>225</v>
      </c>
      <c r="M7" s="2228"/>
    </row>
    <row r="8" spans="1:16" s="622" customFormat="1" ht="33" customHeight="1">
      <c r="A8" s="1200" t="s">
        <v>1410</v>
      </c>
      <c r="B8" s="921">
        <f>B9-B14</f>
        <v>11241.800000000003</v>
      </c>
      <c r="C8" s="921">
        <f>G8</f>
        <v>10007.200000000004</v>
      </c>
      <c r="D8" s="921">
        <f t="shared" ref="D8:L8" si="0">D9-D14</f>
        <v>10691.699999999997</v>
      </c>
      <c r="E8" s="921">
        <f t="shared" si="0"/>
        <v>9754.6999999999971</v>
      </c>
      <c r="F8" s="921">
        <f t="shared" si="0"/>
        <v>9728.8000000000029</v>
      </c>
      <c r="G8" s="921">
        <f t="shared" si="0"/>
        <v>10007.200000000004</v>
      </c>
      <c r="H8" s="921">
        <f>L8</f>
        <v>9852.5</v>
      </c>
      <c r="I8" s="921">
        <f t="shared" si="0"/>
        <v>10426.900000000001</v>
      </c>
      <c r="J8" s="921">
        <f t="shared" si="0"/>
        <v>10068.199999999997</v>
      </c>
      <c r="K8" s="921">
        <f t="shared" si="0"/>
        <v>9863.9000000000015</v>
      </c>
      <c r="L8" s="921">
        <f t="shared" si="0"/>
        <v>9852.5</v>
      </c>
      <c r="M8" s="621" t="s">
        <v>1411</v>
      </c>
    </row>
    <row r="9" spans="1:16" s="622" customFormat="1" ht="30" customHeight="1">
      <c r="A9" s="623" t="s">
        <v>809</v>
      </c>
      <c r="B9" s="624">
        <f>SUM(B10:B13)</f>
        <v>49338</v>
      </c>
      <c r="C9" s="624">
        <f t="shared" ref="C9:C17" si="1">G9</f>
        <v>50849.5</v>
      </c>
      <c r="D9" s="624">
        <f t="shared" ref="D9:J9" si="2">SUM(D10:D13)</f>
        <v>49101.5</v>
      </c>
      <c r="E9" s="624">
        <f t="shared" si="2"/>
        <v>48723</v>
      </c>
      <c r="F9" s="624">
        <f t="shared" si="2"/>
        <v>49582.100000000006</v>
      </c>
      <c r="G9" s="624">
        <f t="shared" si="2"/>
        <v>50849.5</v>
      </c>
      <c r="H9" s="624">
        <f t="shared" ref="H9:H17" si="3">L9</f>
        <v>50541.7</v>
      </c>
      <c r="I9" s="624">
        <f t="shared" si="2"/>
        <v>51515.299999999996</v>
      </c>
      <c r="J9" s="624">
        <f t="shared" si="2"/>
        <v>51989</v>
      </c>
      <c r="K9" s="624">
        <f t="shared" ref="K9:L9" si="4">SUM(K10:K13)</f>
        <v>51124.1</v>
      </c>
      <c r="L9" s="624">
        <f t="shared" si="4"/>
        <v>50541.7</v>
      </c>
      <c r="M9" s="621" t="s">
        <v>1412</v>
      </c>
    </row>
    <row r="10" spans="1:16" s="622" customFormat="1" ht="22.5" customHeight="1">
      <c r="A10" s="625" t="s">
        <v>1413</v>
      </c>
      <c r="B10" s="626">
        <v>7231.7</v>
      </c>
      <c r="C10" s="626">
        <f t="shared" si="1"/>
        <v>7273.5</v>
      </c>
      <c r="D10" s="626">
        <v>7249.2</v>
      </c>
      <c r="E10" s="626">
        <v>7269.5</v>
      </c>
      <c r="F10" s="626">
        <v>7271.1</v>
      </c>
      <c r="G10" s="626">
        <v>7273.5</v>
      </c>
      <c r="H10" s="626">
        <f t="shared" si="3"/>
        <v>7199.4</v>
      </c>
      <c r="I10" s="626">
        <v>7275.6</v>
      </c>
      <c r="J10" s="626">
        <v>7279.1</v>
      </c>
      <c r="K10" s="626">
        <v>7201</v>
      </c>
      <c r="L10" s="626">
        <v>7199.4</v>
      </c>
      <c r="M10" s="627" t="s">
        <v>1414</v>
      </c>
      <c r="P10" s="935"/>
    </row>
    <row r="11" spans="1:16" s="622" customFormat="1" ht="22.5" customHeight="1">
      <c r="A11" s="625" t="s">
        <v>1415</v>
      </c>
      <c r="B11" s="626">
        <v>14852.4</v>
      </c>
      <c r="C11" s="626">
        <f t="shared" si="1"/>
        <v>15670.8</v>
      </c>
      <c r="D11" s="626">
        <v>14896.8</v>
      </c>
      <c r="E11" s="626">
        <v>15284</v>
      </c>
      <c r="F11" s="626">
        <v>15480.2</v>
      </c>
      <c r="G11" s="626">
        <v>15670.8</v>
      </c>
      <c r="H11" s="626">
        <f t="shared" si="3"/>
        <v>16160.3</v>
      </c>
      <c r="I11" s="626">
        <v>15789.5</v>
      </c>
      <c r="J11" s="626">
        <v>15882.2</v>
      </c>
      <c r="K11" s="626">
        <v>15900.1</v>
      </c>
      <c r="L11" s="626">
        <v>16160.3</v>
      </c>
      <c r="M11" s="627" t="s">
        <v>1416</v>
      </c>
      <c r="P11" s="935"/>
    </row>
    <row r="12" spans="1:16" s="622" customFormat="1" ht="22.5" customHeight="1">
      <c r="A12" s="625" t="s">
        <v>1417</v>
      </c>
      <c r="B12" s="626">
        <v>26266.1</v>
      </c>
      <c r="C12" s="626">
        <f t="shared" si="1"/>
        <v>27093.8</v>
      </c>
      <c r="D12" s="626">
        <v>26317.599999999999</v>
      </c>
      <c r="E12" s="626">
        <v>25240.799999999999</v>
      </c>
      <c r="F12" s="626">
        <v>26160.400000000001</v>
      </c>
      <c r="G12" s="626">
        <v>27093.8</v>
      </c>
      <c r="H12" s="626">
        <f t="shared" si="3"/>
        <v>25795.3</v>
      </c>
      <c r="I12" s="626">
        <v>27232.6</v>
      </c>
      <c r="J12" s="626">
        <v>27446.7</v>
      </c>
      <c r="K12" s="626">
        <v>26546</v>
      </c>
      <c r="L12" s="626">
        <v>25795.3</v>
      </c>
      <c r="M12" s="627" t="s">
        <v>1418</v>
      </c>
      <c r="P12" s="935"/>
    </row>
    <row r="13" spans="1:16" s="622" customFormat="1" ht="22.5" customHeight="1">
      <c r="A13" s="628" t="s">
        <v>1419</v>
      </c>
      <c r="B13" s="626">
        <v>987.8</v>
      </c>
      <c r="C13" s="626">
        <f t="shared" si="1"/>
        <v>811.4</v>
      </c>
      <c r="D13" s="626">
        <v>637.9</v>
      </c>
      <c r="E13" s="626">
        <v>928.7</v>
      </c>
      <c r="F13" s="626">
        <v>670.4</v>
      </c>
      <c r="G13" s="626">
        <v>811.4</v>
      </c>
      <c r="H13" s="626">
        <f t="shared" si="3"/>
        <v>1386.7</v>
      </c>
      <c r="I13" s="626">
        <v>1217.5999999999999</v>
      </c>
      <c r="J13" s="626">
        <v>1381</v>
      </c>
      <c r="K13" s="626">
        <v>1477</v>
      </c>
      <c r="L13" s="626">
        <v>1386.7</v>
      </c>
      <c r="M13" s="627" t="s">
        <v>1420</v>
      </c>
      <c r="P13" s="935"/>
    </row>
    <row r="14" spans="1:16" s="622" customFormat="1" ht="30" customHeight="1">
      <c r="A14" s="629" t="s">
        <v>1013</v>
      </c>
      <c r="B14" s="630">
        <f>SUM(B15:B17)</f>
        <v>38096.199999999997</v>
      </c>
      <c r="C14" s="630">
        <f t="shared" si="1"/>
        <v>40842.299999999996</v>
      </c>
      <c r="D14" s="630">
        <f t="shared" ref="D14:J14" si="5">SUM(D15:D17)</f>
        <v>38409.800000000003</v>
      </c>
      <c r="E14" s="630">
        <f t="shared" si="5"/>
        <v>38968.300000000003</v>
      </c>
      <c r="F14" s="630">
        <f t="shared" si="5"/>
        <v>39853.300000000003</v>
      </c>
      <c r="G14" s="630">
        <f t="shared" si="5"/>
        <v>40842.299999999996</v>
      </c>
      <c r="H14" s="630">
        <f t="shared" si="3"/>
        <v>40689.199999999997</v>
      </c>
      <c r="I14" s="630">
        <f t="shared" si="5"/>
        <v>41088.399999999994</v>
      </c>
      <c r="J14" s="630">
        <f t="shared" si="5"/>
        <v>41920.800000000003</v>
      </c>
      <c r="K14" s="630">
        <f t="shared" ref="K14:L14" si="6">SUM(K15:K17)</f>
        <v>41260.199999999997</v>
      </c>
      <c r="L14" s="630">
        <f t="shared" si="6"/>
        <v>40689.199999999997</v>
      </c>
      <c r="M14" s="621" t="s">
        <v>1421</v>
      </c>
    </row>
    <row r="15" spans="1:16" s="622" customFormat="1" ht="22.5" customHeight="1">
      <c r="A15" s="628" t="s">
        <v>1422</v>
      </c>
      <c r="B15" s="626">
        <v>10333</v>
      </c>
      <c r="C15" s="626">
        <f t="shared" si="1"/>
        <v>10955</v>
      </c>
      <c r="D15" s="626">
        <v>10424.4</v>
      </c>
      <c r="E15" s="626">
        <v>10536</v>
      </c>
      <c r="F15" s="626">
        <v>10696.2</v>
      </c>
      <c r="G15" s="626">
        <v>10955</v>
      </c>
      <c r="H15" s="626">
        <f t="shared" si="3"/>
        <v>11309.1</v>
      </c>
      <c r="I15" s="626">
        <v>10859.3</v>
      </c>
      <c r="J15" s="626">
        <v>10958.4</v>
      </c>
      <c r="K15" s="626">
        <v>10990.5</v>
      </c>
      <c r="L15" s="626">
        <v>11309.1</v>
      </c>
      <c r="M15" s="627" t="s">
        <v>1423</v>
      </c>
      <c r="P15" s="935"/>
    </row>
    <row r="16" spans="1:16" s="622" customFormat="1" ht="22.5" customHeight="1">
      <c r="A16" s="628" t="s">
        <v>1415</v>
      </c>
      <c r="B16" s="626">
        <v>5919.3</v>
      </c>
      <c r="C16" s="626">
        <f t="shared" si="1"/>
        <v>6172</v>
      </c>
      <c r="D16" s="626">
        <v>5722.1</v>
      </c>
      <c r="E16" s="626">
        <v>6278</v>
      </c>
      <c r="F16" s="626">
        <v>6224.7</v>
      </c>
      <c r="G16" s="626">
        <v>6172</v>
      </c>
      <c r="H16" s="626">
        <f t="shared" si="3"/>
        <v>6690.3</v>
      </c>
      <c r="I16" s="626">
        <v>6329.9</v>
      </c>
      <c r="J16" s="626">
        <v>6163.2</v>
      </c>
      <c r="K16" s="626">
        <v>6450.2</v>
      </c>
      <c r="L16" s="626">
        <v>6690.3</v>
      </c>
      <c r="M16" s="627" t="s">
        <v>1416</v>
      </c>
      <c r="P16" s="935"/>
    </row>
    <row r="17" spans="1:16" s="622" customFormat="1" ht="22.5" customHeight="1">
      <c r="A17" s="625" t="s">
        <v>1417</v>
      </c>
      <c r="B17" s="631">
        <v>21843.9</v>
      </c>
      <c r="C17" s="631">
        <f t="shared" si="1"/>
        <v>23715.299999999996</v>
      </c>
      <c r="D17" s="631">
        <v>22263.3</v>
      </c>
      <c r="E17" s="631">
        <v>22154.3</v>
      </c>
      <c r="F17" s="631">
        <v>22932.400000000001</v>
      </c>
      <c r="G17" s="631">
        <v>23715.299999999996</v>
      </c>
      <c r="H17" s="631">
        <f t="shared" si="3"/>
        <v>22689.8</v>
      </c>
      <c r="I17" s="631">
        <v>23899.200000000001</v>
      </c>
      <c r="J17" s="631">
        <v>24799.200000000001</v>
      </c>
      <c r="K17" s="631">
        <v>23819.5</v>
      </c>
      <c r="L17" s="631">
        <v>22689.8</v>
      </c>
      <c r="M17" s="627" t="s">
        <v>1418</v>
      </c>
      <c r="P17" s="935"/>
    </row>
    <row r="18" spans="1:16" s="620" customFormat="1" ht="20.25" customHeight="1">
      <c r="A18" s="632" t="s">
        <v>1424</v>
      </c>
      <c r="B18" s="633"/>
      <c r="C18" s="633"/>
      <c r="D18" s="633"/>
      <c r="E18" s="633"/>
      <c r="F18" s="633"/>
      <c r="G18" s="633"/>
      <c r="H18" s="633"/>
      <c r="I18" s="633"/>
      <c r="J18" s="633"/>
      <c r="K18" s="633"/>
      <c r="L18" s="633"/>
      <c r="M18" s="634" t="s">
        <v>1425</v>
      </c>
    </row>
    <row r="19" spans="1:16" ht="15.75">
      <c r="B19" s="635"/>
      <c r="C19" s="635"/>
      <c r="D19" s="635"/>
      <c r="E19" s="635"/>
      <c r="F19" s="635"/>
      <c r="G19" s="635"/>
      <c r="H19" s="635"/>
      <c r="I19" s="635"/>
      <c r="J19" s="635"/>
      <c r="K19" s="635"/>
      <c r="L19" s="635"/>
    </row>
    <row r="21" spans="1:16">
      <c r="F21" s="981"/>
      <c r="G21" s="981"/>
      <c r="I21" s="981"/>
      <c r="J21" s="981"/>
      <c r="K21" s="981"/>
      <c r="L21" s="981"/>
    </row>
    <row r="26" spans="1:16">
      <c r="A26" s="636" t="s">
        <v>1426</v>
      </c>
      <c r="B26" s="637"/>
      <c r="C26" s="637"/>
      <c r="D26" s="637"/>
      <c r="E26" s="637"/>
      <c r="F26" s="637"/>
      <c r="G26" s="637"/>
      <c r="H26" s="637"/>
      <c r="I26" s="637"/>
      <c r="J26" s="637"/>
      <c r="K26" s="637"/>
      <c r="L26" s="637"/>
      <c r="M26" s="637"/>
    </row>
  </sheetData>
  <mergeCells count="7">
    <mergeCell ref="M5:M7"/>
    <mergeCell ref="A5:A7"/>
    <mergeCell ref="B5:B7"/>
    <mergeCell ref="C5:C7"/>
    <mergeCell ref="D5:G5"/>
    <mergeCell ref="I5:L5"/>
    <mergeCell ref="H5:H7"/>
  </mergeCells>
  <printOptions horizontalCentered="1" verticalCentered="1"/>
  <pageMargins left="0" right="0" top="0" bottom="0" header="0.3" footer="0.3"/>
  <pageSetup paperSize="9" scale="71"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9"/>
  <dimension ref="A1:AH50"/>
  <sheetViews>
    <sheetView topLeftCell="F1" zoomScale="74" zoomScaleNormal="74" workbookViewId="0">
      <pane ySplit="12" topLeftCell="A37" activePane="bottomLeft" state="frozen"/>
      <selection activeCell="A49" sqref="A1:XFD1048576"/>
      <selection pane="bottomLeft" activeCell="A49" sqref="A1:XFD1048576"/>
    </sheetView>
  </sheetViews>
  <sheetFormatPr defaultColWidth="9.140625" defaultRowHeight="12.75"/>
  <cols>
    <col min="1" max="2" width="9.7109375" style="477" customWidth="1"/>
    <col min="3" max="3" width="14.7109375" style="477" customWidth="1"/>
    <col min="4" max="4" width="16.85546875" style="477" customWidth="1"/>
    <col min="5" max="5" width="18.7109375" style="477" customWidth="1"/>
    <col min="6" max="8" width="16.7109375" style="477" customWidth="1"/>
    <col min="9" max="9" width="17.7109375" style="477" customWidth="1"/>
    <col min="10" max="10" width="16.7109375" style="477" customWidth="1"/>
    <col min="11" max="11" width="15.7109375" style="477" customWidth="1"/>
    <col min="12" max="12" width="15.85546875" style="477" customWidth="1"/>
    <col min="13" max="16384" width="9.140625" style="477"/>
  </cols>
  <sheetData>
    <row r="1" spans="1:12" ht="18" customHeight="1">
      <c r="A1" s="991" t="s">
        <v>1590</v>
      </c>
      <c r="B1" s="991"/>
      <c r="C1" s="991"/>
      <c r="D1" s="991"/>
      <c r="E1" s="991"/>
      <c r="F1" s="991"/>
      <c r="G1" s="991"/>
      <c r="H1" s="991"/>
      <c r="I1" s="991"/>
      <c r="J1" s="991"/>
      <c r="K1" s="991"/>
      <c r="L1" s="991"/>
    </row>
    <row r="2" spans="1:12" ht="18" customHeight="1">
      <c r="A2" s="991" t="s">
        <v>1427</v>
      </c>
      <c r="B2" s="991"/>
      <c r="C2" s="991"/>
      <c r="D2" s="991"/>
      <c r="E2" s="991"/>
      <c r="F2" s="991"/>
      <c r="G2" s="991"/>
      <c r="H2" s="991"/>
      <c r="I2" s="991"/>
      <c r="J2" s="991"/>
      <c r="K2" s="991"/>
      <c r="L2" s="991"/>
    </row>
    <row r="3" spans="1:12" ht="15.95" customHeight="1">
      <c r="A3" s="992" t="s">
        <v>1428</v>
      </c>
      <c r="B3" s="519"/>
      <c r="C3" s="519"/>
      <c r="D3" s="519"/>
      <c r="E3" s="519"/>
      <c r="F3" s="519"/>
      <c r="G3" s="519"/>
      <c r="H3" s="519"/>
      <c r="I3" s="519"/>
      <c r="J3" s="519"/>
      <c r="K3" s="519"/>
      <c r="L3" s="519"/>
    </row>
    <row r="4" spans="1:12" ht="15.95" hidden="1" customHeight="1">
      <c r="A4" s="992"/>
      <c r="B4" s="519"/>
      <c r="C4" s="519"/>
      <c r="D4" s="519"/>
      <c r="E4" s="519"/>
      <c r="F4" s="519"/>
      <c r="G4" s="519"/>
      <c r="H4" s="519"/>
      <c r="I4" s="519"/>
      <c r="J4" s="519"/>
      <c r="K4" s="519"/>
      <c r="L4" s="519"/>
    </row>
    <row r="5" spans="1:12" ht="15.95" hidden="1" customHeight="1">
      <c r="A5" s="992"/>
      <c r="B5" s="519"/>
      <c r="C5" s="519"/>
      <c r="D5" s="519"/>
      <c r="E5" s="519"/>
      <c r="F5" s="519"/>
      <c r="G5" s="519"/>
      <c r="H5" s="519"/>
      <c r="I5" s="519"/>
      <c r="J5" s="519"/>
      <c r="K5" s="519"/>
      <c r="L5" s="519"/>
    </row>
    <row r="6" spans="1:12" ht="15.95" hidden="1" customHeight="1">
      <c r="A6" s="992"/>
      <c r="B6" s="519"/>
      <c r="C6" s="519"/>
      <c r="D6" s="519"/>
      <c r="E6" s="519"/>
      <c r="F6" s="519"/>
      <c r="G6" s="519"/>
      <c r="H6" s="519"/>
      <c r="I6" s="519"/>
      <c r="J6" s="519"/>
      <c r="K6" s="519"/>
      <c r="L6" s="519"/>
    </row>
    <row r="7" spans="1:12" s="480" customFormat="1" ht="14.85" customHeight="1">
      <c r="A7" s="478"/>
      <c r="B7" s="478"/>
      <c r="C7" s="479"/>
      <c r="D7" s="479"/>
      <c r="E7" s="479"/>
      <c r="F7" s="479"/>
      <c r="G7" s="479"/>
      <c r="H7" s="479"/>
      <c r="I7" s="479"/>
      <c r="J7" s="479"/>
      <c r="K7" s="479"/>
      <c r="L7" s="479"/>
    </row>
    <row r="8" spans="1:12" s="523" customFormat="1" ht="15">
      <c r="A8" s="520"/>
      <c r="B8" s="521"/>
      <c r="C8" s="522" t="s">
        <v>1429</v>
      </c>
      <c r="D8" s="522" t="s">
        <v>1430</v>
      </c>
      <c r="E8" s="522" t="s">
        <v>1431</v>
      </c>
      <c r="F8" s="522" t="s">
        <v>1432</v>
      </c>
      <c r="G8" s="1100" t="s">
        <v>1433</v>
      </c>
      <c r="H8" s="1100" t="s">
        <v>1434</v>
      </c>
      <c r="I8" s="1099" t="s">
        <v>1435</v>
      </c>
      <c r="J8" s="522"/>
      <c r="K8" s="522"/>
      <c r="L8" s="522" t="s">
        <v>1436</v>
      </c>
    </row>
    <row r="9" spans="1:12" s="523" customFormat="1" ht="14.25" customHeight="1">
      <c r="A9" s="1094"/>
      <c r="B9" s="1095"/>
      <c r="C9" s="524" t="s">
        <v>1437</v>
      </c>
      <c r="D9" s="524" t="s">
        <v>1438</v>
      </c>
      <c r="E9" s="524" t="s">
        <v>1439</v>
      </c>
      <c r="F9" s="524" t="s">
        <v>1440</v>
      </c>
      <c r="G9" s="1097" t="s">
        <v>1441</v>
      </c>
      <c r="H9" s="1097" t="s">
        <v>1441</v>
      </c>
      <c r="I9" s="1096" t="s">
        <v>1442</v>
      </c>
      <c r="J9" s="525" t="s">
        <v>1443</v>
      </c>
      <c r="K9" s="525" t="s">
        <v>1444</v>
      </c>
      <c r="L9" s="525" t="s">
        <v>1445</v>
      </c>
    </row>
    <row r="10" spans="1:12" s="523" customFormat="1" ht="15">
      <c r="A10" s="526" t="s">
        <v>1446</v>
      </c>
      <c r="B10" s="527"/>
      <c r="C10" s="528" t="s">
        <v>1447</v>
      </c>
      <c r="D10" s="528" t="s">
        <v>1448</v>
      </c>
      <c r="E10" s="528" t="s">
        <v>1449</v>
      </c>
      <c r="F10" s="528" t="s">
        <v>1447</v>
      </c>
      <c r="G10" s="529" t="s">
        <v>925</v>
      </c>
      <c r="H10" s="529" t="s">
        <v>1450</v>
      </c>
      <c r="I10" s="530" t="s">
        <v>1451</v>
      </c>
      <c r="J10" s="528" t="s">
        <v>1452</v>
      </c>
      <c r="L10" s="528" t="s">
        <v>1453</v>
      </c>
    </row>
    <row r="11" spans="1:12" s="523" customFormat="1" ht="15">
      <c r="A11" s="526" t="s">
        <v>1454</v>
      </c>
      <c r="B11" s="527"/>
      <c r="C11" s="528" t="s">
        <v>1455</v>
      </c>
      <c r="D11" s="528" t="s">
        <v>1456</v>
      </c>
      <c r="E11" s="528" t="s">
        <v>1457</v>
      </c>
      <c r="F11" s="528" t="s">
        <v>1458</v>
      </c>
      <c r="G11" s="529" t="s">
        <v>1459</v>
      </c>
      <c r="H11" s="529" t="s">
        <v>1460</v>
      </c>
      <c r="I11" s="530" t="s">
        <v>1461</v>
      </c>
      <c r="J11" s="528" t="s">
        <v>1462</v>
      </c>
      <c r="K11" s="528" t="s">
        <v>1463</v>
      </c>
      <c r="L11" s="528" t="s">
        <v>1464</v>
      </c>
    </row>
    <row r="12" spans="1:12" s="537" customFormat="1" ht="15">
      <c r="A12" s="531"/>
      <c r="B12" s="532"/>
      <c r="C12" s="533" t="s">
        <v>1465</v>
      </c>
      <c r="D12" s="534" t="s">
        <v>1466</v>
      </c>
      <c r="E12" s="533" t="s">
        <v>1467</v>
      </c>
      <c r="F12" s="535"/>
      <c r="G12" s="766" t="s">
        <v>1468</v>
      </c>
      <c r="H12" s="533" t="s">
        <v>1468</v>
      </c>
      <c r="I12" s="536" t="s">
        <v>1469</v>
      </c>
      <c r="J12" s="534" t="s">
        <v>689</v>
      </c>
      <c r="K12" s="534"/>
      <c r="L12" s="534"/>
    </row>
    <row r="13" spans="1:12" s="523" customFormat="1" ht="20.25" customHeight="1">
      <c r="A13" s="432">
        <v>2010</v>
      </c>
      <c r="B13" s="538"/>
      <c r="C13" s="539">
        <v>49</v>
      </c>
      <c r="D13" s="540">
        <v>612189</v>
      </c>
      <c r="E13" s="541">
        <v>108411</v>
      </c>
      <c r="F13" s="542">
        <v>19647</v>
      </c>
      <c r="G13" s="552" t="s">
        <v>1470</v>
      </c>
      <c r="H13" s="544">
        <v>1432.26</v>
      </c>
      <c r="I13" s="545">
        <v>7562.52</v>
      </c>
      <c r="J13" s="605">
        <v>1.43</v>
      </c>
      <c r="K13" s="546">
        <v>11.26</v>
      </c>
      <c r="L13" s="546">
        <v>3.07</v>
      </c>
    </row>
    <row r="14" spans="1:12" s="550" customFormat="1" ht="15.95" customHeight="1">
      <c r="A14" s="432">
        <v>2011</v>
      </c>
      <c r="B14" s="551"/>
      <c r="C14" s="547">
        <v>49</v>
      </c>
      <c r="D14" s="542">
        <v>520224</v>
      </c>
      <c r="E14" s="548">
        <v>104966</v>
      </c>
      <c r="F14" s="542">
        <v>11818</v>
      </c>
      <c r="G14" s="544" t="s">
        <v>1470</v>
      </c>
      <c r="H14" s="544">
        <v>1143.69</v>
      </c>
      <c r="I14" s="543">
        <v>6254.41</v>
      </c>
      <c r="J14" s="605">
        <v>1.63</v>
      </c>
      <c r="K14" s="549">
        <v>8.7100000000000009</v>
      </c>
      <c r="L14" s="549">
        <v>4.83</v>
      </c>
    </row>
    <row r="15" spans="1:12" s="550" customFormat="1" ht="15.95" customHeight="1">
      <c r="A15" s="432">
        <v>2012</v>
      </c>
      <c r="B15" s="551"/>
      <c r="C15" s="547">
        <v>47</v>
      </c>
      <c r="D15" s="542">
        <v>627708</v>
      </c>
      <c r="E15" s="548">
        <v>110244</v>
      </c>
      <c r="F15" s="542">
        <v>10168</v>
      </c>
      <c r="G15" s="544" t="s">
        <v>1470</v>
      </c>
      <c r="H15" s="544">
        <v>1065.6099999999999</v>
      </c>
      <c r="I15" s="543">
        <v>5855.64</v>
      </c>
      <c r="J15" s="605">
        <v>1.74</v>
      </c>
      <c r="K15" s="549">
        <v>7.58</v>
      </c>
      <c r="L15" s="549">
        <v>5.4</v>
      </c>
    </row>
    <row r="16" spans="1:12" s="550" customFormat="1" ht="15.95" customHeight="1">
      <c r="A16" s="432">
        <v>2013</v>
      </c>
      <c r="B16" s="551"/>
      <c r="C16" s="547">
        <v>47</v>
      </c>
      <c r="D16" s="542">
        <v>1867761</v>
      </c>
      <c r="E16" s="548">
        <v>225868</v>
      </c>
      <c r="F16" s="542">
        <v>14197</v>
      </c>
      <c r="G16" s="544" t="s">
        <v>1470</v>
      </c>
      <c r="H16" s="544">
        <v>1248.8599999999999</v>
      </c>
      <c r="I16" s="543">
        <v>6962.95</v>
      </c>
      <c r="J16" s="605">
        <v>3.04</v>
      </c>
      <c r="K16" s="549">
        <v>10.07</v>
      </c>
      <c r="L16" s="549">
        <v>3.67</v>
      </c>
    </row>
    <row r="17" spans="1:34" s="550" customFormat="1" ht="15.95" customHeight="1">
      <c r="A17" s="432">
        <v>2014</v>
      </c>
      <c r="B17" s="551"/>
      <c r="C17" s="547">
        <v>47</v>
      </c>
      <c r="D17" s="542">
        <v>1127448</v>
      </c>
      <c r="E17" s="548">
        <v>269333</v>
      </c>
      <c r="F17" s="542">
        <v>16217</v>
      </c>
      <c r="G17" s="544" t="s">
        <v>1470</v>
      </c>
      <c r="H17" s="544">
        <v>1426.57</v>
      </c>
      <c r="I17" s="543" t="s">
        <v>1471</v>
      </c>
      <c r="J17" s="605">
        <v>3.23</v>
      </c>
      <c r="K17" s="549">
        <v>10.41</v>
      </c>
      <c r="L17" s="549">
        <v>4.26</v>
      </c>
    </row>
    <row r="18" spans="1:34" s="550" customFormat="1" ht="15.95" customHeight="1">
      <c r="A18" s="432">
        <v>2015</v>
      </c>
      <c r="B18" s="551"/>
      <c r="C18" s="547">
        <v>46</v>
      </c>
      <c r="D18" s="542">
        <v>515561</v>
      </c>
      <c r="E18" s="548">
        <v>109975</v>
      </c>
      <c r="F18" s="542">
        <v>11248</v>
      </c>
      <c r="G18" s="544" t="s">
        <v>1470</v>
      </c>
      <c r="H18" s="544">
        <v>1215.8900000000001</v>
      </c>
      <c r="I18" s="543">
        <v>7199.91</v>
      </c>
      <c r="J18" s="605">
        <v>1.53</v>
      </c>
      <c r="K18" s="549">
        <v>8.85</v>
      </c>
      <c r="L18" s="549">
        <v>5.16</v>
      </c>
    </row>
    <row r="19" spans="1:34" s="550" customFormat="1" ht="15.95" customHeight="1">
      <c r="A19" s="432">
        <v>2016</v>
      </c>
      <c r="B19" s="551"/>
      <c r="C19" s="547">
        <v>44</v>
      </c>
      <c r="D19" s="542">
        <v>734391.93700000003</v>
      </c>
      <c r="E19" s="548">
        <v>124453.992</v>
      </c>
      <c r="F19" s="542">
        <v>10592</v>
      </c>
      <c r="G19" s="544" t="s">
        <v>1470</v>
      </c>
      <c r="H19" s="544">
        <v>1220.45</v>
      </c>
      <c r="I19" s="543">
        <v>7248.4495200000001</v>
      </c>
      <c r="J19" s="605">
        <v>1.72</v>
      </c>
      <c r="K19" s="549">
        <v>8.99</v>
      </c>
      <c r="L19" s="549">
        <v>4.1100000000000003</v>
      </c>
    </row>
    <row r="20" spans="1:34" s="550" customFormat="1" ht="15.95" customHeight="1">
      <c r="A20" s="432">
        <v>2017</v>
      </c>
      <c r="B20" s="551"/>
      <c r="C20" s="547">
        <v>43</v>
      </c>
      <c r="D20" s="542">
        <v>1129827</v>
      </c>
      <c r="E20" s="548">
        <v>211339</v>
      </c>
      <c r="F20" s="542">
        <v>19440</v>
      </c>
      <c r="G20" s="544" t="s">
        <v>1470</v>
      </c>
      <c r="H20" s="544">
        <v>1331.71</v>
      </c>
      <c r="I20" s="543">
        <v>8146.33</v>
      </c>
      <c r="J20" s="605">
        <v>2.58</v>
      </c>
      <c r="K20" s="549">
        <v>9.43</v>
      </c>
      <c r="L20" s="549">
        <v>4.82</v>
      </c>
    </row>
    <row r="21" spans="1:34" s="523" customFormat="1" ht="16.5" customHeight="1">
      <c r="A21" s="432">
        <v>2018</v>
      </c>
      <c r="B21" s="553"/>
      <c r="C21" s="547">
        <v>44</v>
      </c>
      <c r="D21" s="542">
        <v>1441081.638</v>
      </c>
      <c r="E21" s="548">
        <v>321919</v>
      </c>
      <c r="F21" s="542">
        <v>19225</v>
      </c>
      <c r="G21" s="544" t="s">
        <v>1472</v>
      </c>
      <c r="H21" s="544">
        <v>1337.26</v>
      </c>
      <c r="I21" s="543">
        <v>8198.5304350000006</v>
      </c>
      <c r="J21" s="617">
        <v>3.88</v>
      </c>
      <c r="K21" s="549">
        <v>9.69</v>
      </c>
      <c r="L21" s="549">
        <v>5.22</v>
      </c>
      <c r="M21" s="1007"/>
      <c r="N21" s="1008"/>
      <c r="O21" s="1008"/>
      <c r="P21" s="1008"/>
      <c r="Q21" s="1008"/>
      <c r="R21" s="1008"/>
      <c r="S21" s="1009"/>
      <c r="T21" s="1009"/>
      <c r="U21" s="1009"/>
    </row>
    <row r="22" spans="1:34" s="523" customFormat="1" ht="16.5" customHeight="1">
      <c r="A22" s="851">
        <v>2019</v>
      </c>
      <c r="B22" s="912"/>
      <c r="C22" s="913">
        <v>44</v>
      </c>
      <c r="D22" s="914">
        <f>SUM(D26:D29)</f>
        <v>1157308.1200000001</v>
      </c>
      <c r="E22" s="915">
        <f>SUM(E26:E29)</f>
        <v>280106.36045200005</v>
      </c>
      <c r="F22" s="914">
        <f>SUM(F26:F29)</f>
        <v>20712</v>
      </c>
      <c r="G22" s="916" t="s">
        <v>1472</v>
      </c>
      <c r="H22" s="916">
        <v>1610.18</v>
      </c>
      <c r="I22" s="917">
        <v>10134.620000000001</v>
      </c>
      <c r="J22" s="918">
        <v>2.82</v>
      </c>
      <c r="K22" s="853">
        <v>11.27</v>
      </c>
      <c r="L22" s="853">
        <v>4.0999999999999996</v>
      </c>
      <c r="M22" s="1007"/>
      <c r="N22" s="1008"/>
      <c r="O22" s="1008"/>
      <c r="P22" s="1008"/>
      <c r="Q22" s="1009"/>
      <c r="R22" s="1009"/>
      <c r="S22" s="1009"/>
      <c r="T22" s="1009"/>
      <c r="U22" s="1009"/>
    </row>
    <row r="23" spans="1:34" s="523" customFormat="1" ht="21" customHeight="1">
      <c r="A23" s="432">
        <v>2018</v>
      </c>
      <c r="B23" s="553" t="s">
        <v>223</v>
      </c>
      <c r="C23" s="547">
        <v>43</v>
      </c>
      <c r="D23" s="542">
        <v>248846</v>
      </c>
      <c r="E23" s="548">
        <v>47736</v>
      </c>
      <c r="F23" s="542">
        <v>3918</v>
      </c>
      <c r="G23" s="544" t="s">
        <v>1470</v>
      </c>
      <c r="H23" s="544">
        <v>1310.99</v>
      </c>
      <c r="I23" s="543">
        <v>8037.5</v>
      </c>
      <c r="J23" s="617">
        <v>0.55000000000000004</v>
      </c>
      <c r="K23" s="549">
        <v>9.48</v>
      </c>
      <c r="L23" s="549">
        <v>5.32</v>
      </c>
      <c r="M23" s="1008"/>
      <c r="N23" s="1008"/>
      <c r="O23" s="1008"/>
      <c r="P23" s="1009"/>
      <c r="Q23" s="1009"/>
      <c r="R23" s="1009"/>
      <c r="S23" s="1009"/>
      <c r="T23" s="1009"/>
      <c r="U23" s="1009"/>
    </row>
    <row r="24" spans="1:34" s="523" customFormat="1" ht="16.5" customHeight="1">
      <c r="A24" s="432"/>
      <c r="B24" s="553" t="s">
        <v>224</v>
      </c>
      <c r="C24" s="547">
        <v>43</v>
      </c>
      <c r="D24" s="542">
        <v>347672.06599999999</v>
      </c>
      <c r="E24" s="548">
        <v>74241.789999999994</v>
      </c>
      <c r="F24" s="542">
        <v>5137</v>
      </c>
      <c r="G24" s="544" t="s">
        <v>1472</v>
      </c>
      <c r="H24" s="544">
        <v>1338.55</v>
      </c>
      <c r="I24" s="543">
        <v>8206.4758970000003</v>
      </c>
      <c r="J24" s="617">
        <v>0.9</v>
      </c>
      <c r="K24" s="549">
        <v>9.67</v>
      </c>
      <c r="L24" s="549">
        <v>5.21</v>
      </c>
      <c r="M24" s="1007"/>
      <c r="N24" s="1008"/>
      <c r="O24" s="1008"/>
      <c r="P24" s="1008"/>
      <c r="Q24" s="1008"/>
      <c r="R24" s="1008"/>
      <c r="S24" s="1008"/>
      <c r="T24" s="1008"/>
      <c r="U24" s="1008"/>
      <c r="V24" s="550"/>
      <c r="W24" s="550"/>
    </row>
    <row r="25" spans="1:34" s="523" customFormat="1" ht="16.5" customHeight="1">
      <c r="A25" s="432"/>
      <c r="B25" s="553" t="s">
        <v>225</v>
      </c>
      <c r="C25" s="547">
        <v>44</v>
      </c>
      <c r="D25" s="542">
        <v>409044.41399999999</v>
      </c>
      <c r="E25" s="548">
        <v>119801</v>
      </c>
      <c r="F25" s="542">
        <v>4729</v>
      </c>
      <c r="G25" s="544" t="s">
        <v>1472</v>
      </c>
      <c r="H25" s="544">
        <v>1337.26</v>
      </c>
      <c r="I25" s="543">
        <v>8198.5304350000006</v>
      </c>
      <c r="J25" s="617">
        <v>1.46</v>
      </c>
      <c r="K25" s="549">
        <v>9.69</v>
      </c>
      <c r="L25" s="549">
        <v>5.22</v>
      </c>
      <c r="M25" s="1007"/>
      <c r="N25" s="1008"/>
      <c r="O25" s="1008"/>
      <c r="P25" s="1008"/>
      <c r="Q25" s="1009"/>
      <c r="R25" s="1009"/>
      <c r="S25" s="1009"/>
      <c r="T25" s="1009"/>
      <c r="U25" s="1009"/>
    </row>
    <row r="26" spans="1:34" s="1009" customFormat="1" ht="21.2" customHeight="1">
      <c r="A26" s="905">
        <v>2019</v>
      </c>
      <c r="B26" s="1032" t="s">
        <v>222</v>
      </c>
      <c r="C26" s="547">
        <v>44</v>
      </c>
      <c r="D26" s="542">
        <v>345196.12900000002</v>
      </c>
      <c r="E26" s="548">
        <v>84590.360452000023</v>
      </c>
      <c r="F26" s="542">
        <v>6003</v>
      </c>
      <c r="G26" s="544" t="s">
        <v>1472</v>
      </c>
      <c r="H26" s="544">
        <v>1413.32</v>
      </c>
      <c r="I26" s="543">
        <v>8667.86</v>
      </c>
      <c r="J26" s="617">
        <v>0.97</v>
      </c>
      <c r="K26" s="549">
        <v>9.7100000000000009</v>
      </c>
      <c r="L26" s="549">
        <v>4.6500000000000004</v>
      </c>
      <c r="M26" s="1008"/>
      <c r="N26" s="1008"/>
      <c r="O26" s="1008"/>
      <c r="P26" s="1008"/>
      <c r="Q26" s="1008"/>
      <c r="R26" s="1008"/>
      <c r="S26" s="1008"/>
      <c r="T26" s="1008"/>
    </row>
    <row r="27" spans="1:34" s="1009" customFormat="1" ht="16.5" customHeight="1">
      <c r="A27" s="905"/>
      <c r="B27" s="1032" t="s">
        <v>223</v>
      </c>
      <c r="C27" s="547">
        <v>44</v>
      </c>
      <c r="D27" s="542">
        <v>336957.99099999998</v>
      </c>
      <c r="E27" s="548">
        <v>82718</v>
      </c>
      <c r="F27" s="542">
        <v>5258</v>
      </c>
      <c r="G27" s="544" t="s">
        <v>1472</v>
      </c>
      <c r="H27" s="544">
        <v>1471.04</v>
      </c>
      <c r="I27" s="543">
        <v>9220.1169219999992</v>
      </c>
      <c r="J27" s="617">
        <v>0.92</v>
      </c>
      <c r="K27" s="549">
        <v>10.25</v>
      </c>
      <c r="L27" s="549">
        <v>4.41</v>
      </c>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8"/>
    </row>
    <row r="28" spans="1:34" s="1009" customFormat="1" ht="16.5" customHeight="1">
      <c r="A28" s="905"/>
      <c r="B28" s="1032" t="s">
        <v>224</v>
      </c>
      <c r="C28" s="547">
        <v>44</v>
      </c>
      <c r="D28" s="542">
        <v>226554</v>
      </c>
      <c r="E28" s="548">
        <f>SUM(E34:E36)</f>
        <v>56210</v>
      </c>
      <c r="F28" s="542">
        <f>SUM(F34:F36)</f>
        <v>5240</v>
      </c>
      <c r="G28" s="990" t="s">
        <v>1472</v>
      </c>
      <c r="H28" s="544">
        <v>1516.53</v>
      </c>
      <c r="I28" s="543">
        <v>9538.6</v>
      </c>
      <c r="J28" s="617">
        <v>0.59</v>
      </c>
      <c r="K28" s="549">
        <v>10.57</v>
      </c>
      <c r="L28" s="549">
        <v>5.35</v>
      </c>
      <c r="M28" s="1008"/>
      <c r="N28" s="1008"/>
      <c r="O28" s="1008"/>
      <c r="P28" s="1008"/>
      <c r="Q28" s="1008"/>
      <c r="R28" s="1008"/>
      <c r="S28" s="1008"/>
      <c r="T28" s="1008"/>
    </row>
    <row r="29" spans="1:34" s="1008" customFormat="1" ht="16.5" customHeight="1">
      <c r="A29" s="905"/>
      <c r="B29" s="1032" t="s">
        <v>225</v>
      </c>
      <c r="C29" s="547">
        <v>44</v>
      </c>
      <c r="D29" s="542">
        <f>SUM(D37:D39)</f>
        <v>248600</v>
      </c>
      <c r="E29" s="548">
        <f t="shared" ref="E29:F29" si="0">SUM(E37:E39)</f>
        <v>56588</v>
      </c>
      <c r="F29" s="542">
        <f t="shared" si="0"/>
        <v>4211</v>
      </c>
      <c r="G29" s="990" t="s">
        <v>1472</v>
      </c>
      <c r="H29" s="544">
        <f>H39</f>
        <v>1610.18</v>
      </c>
      <c r="I29" s="543">
        <f>I39</f>
        <v>10134.620000000001</v>
      </c>
      <c r="J29" s="617">
        <v>0.56000000000000005</v>
      </c>
      <c r="K29" s="549">
        <v>11.27</v>
      </c>
      <c r="L29" s="549">
        <v>4.0999999999999996</v>
      </c>
    </row>
    <row r="30" spans="1:34" s="1009" customFormat="1" ht="21" customHeight="1">
      <c r="A30" s="1193">
        <v>2020</v>
      </c>
      <c r="B30" s="1194" t="s">
        <v>222</v>
      </c>
      <c r="C30" s="913">
        <v>44</v>
      </c>
      <c r="D30" s="914">
        <f>SUM(D40:D42)</f>
        <v>290920</v>
      </c>
      <c r="E30" s="915">
        <f>SUM(E40:E42)</f>
        <v>63583</v>
      </c>
      <c r="F30" s="914">
        <f>SUM(F40:F42)</f>
        <v>5145</v>
      </c>
      <c r="G30" s="1018" t="s">
        <v>1472</v>
      </c>
      <c r="H30" s="916">
        <f>H42</f>
        <v>1350.62</v>
      </c>
      <c r="I30" s="917">
        <f>I42</f>
        <v>8504.6</v>
      </c>
      <c r="J30" s="918">
        <v>0.65</v>
      </c>
      <c r="K30" s="853">
        <v>9.9</v>
      </c>
      <c r="L30" s="853">
        <v>5.32</v>
      </c>
    </row>
    <row r="31" spans="1:34" s="1009" customFormat="1" ht="21.2" customHeight="1">
      <c r="A31" s="905">
        <v>2019</v>
      </c>
      <c r="B31" s="1032" t="s">
        <v>1473</v>
      </c>
      <c r="C31" s="1046">
        <v>44</v>
      </c>
      <c r="D31" s="1047">
        <v>145039</v>
      </c>
      <c r="E31" s="1048">
        <v>33112</v>
      </c>
      <c r="F31" s="1047">
        <v>2040</v>
      </c>
      <c r="G31" s="544" t="s">
        <v>1470</v>
      </c>
      <c r="H31" s="1049">
        <v>1433.92</v>
      </c>
      <c r="I31" s="1050">
        <v>8794.23</v>
      </c>
      <c r="J31" s="1051">
        <v>0.38</v>
      </c>
      <c r="K31" s="1052">
        <v>9.8699999999999992</v>
      </c>
      <c r="L31" s="1052">
        <v>4.83</v>
      </c>
    </row>
    <row r="32" spans="1:34" s="1009" customFormat="1" ht="16.5" customHeight="1">
      <c r="A32" s="905"/>
      <c r="B32" s="1032" t="s">
        <v>1474</v>
      </c>
      <c r="C32" s="1046">
        <v>44</v>
      </c>
      <c r="D32" s="1047">
        <v>68850</v>
      </c>
      <c r="E32" s="1048">
        <v>16228</v>
      </c>
      <c r="F32" s="1047">
        <v>1483</v>
      </c>
      <c r="G32" s="544" t="s">
        <v>1470</v>
      </c>
      <c r="H32" s="1049">
        <v>1433.52</v>
      </c>
      <c r="I32" s="1050">
        <v>8891.01</v>
      </c>
      <c r="J32" s="1051">
        <v>0.18</v>
      </c>
      <c r="K32" s="1052">
        <v>9.99</v>
      </c>
      <c r="L32" s="1052">
        <v>4.87</v>
      </c>
    </row>
    <row r="33" spans="1:12" s="1009" customFormat="1" ht="16.5" customHeight="1">
      <c r="A33" s="905"/>
      <c r="B33" s="1032" t="s">
        <v>401</v>
      </c>
      <c r="C33" s="1046">
        <v>44</v>
      </c>
      <c r="D33" s="1047">
        <v>123069.261</v>
      </c>
      <c r="E33" s="1048">
        <v>33378.263113000001</v>
      </c>
      <c r="F33" s="1047">
        <v>1735</v>
      </c>
      <c r="G33" s="544" t="s">
        <v>1472</v>
      </c>
      <c r="H33" s="1049">
        <v>1471.04</v>
      </c>
      <c r="I33" s="1050">
        <v>9220.1169208481806</v>
      </c>
      <c r="J33" s="1051">
        <v>0.36201561649968156</v>
      </c>
      <c r="K33" s="1052">
        <v>10.25454186343247</v>
      </c>
      <c r="L33" s="1052">
        <v>4.8063377411699797</v>
      </c>
    </row>
    <row r="34" spans="1:12" s="1009" customFormat="1" ht="16.5" customHeight="1">
      <c r="A34" s="905"/>
      <c r="B34" s="1032" t="s">
        <v>402</v>
      </c>
      <c r="C34" s="1046">
        <v>44</v>
      </c>
      <c r="D34" s="1047">
        <v>105259</v>
      </c>
      <c r="E34" s="1048">
        <v>27866</v>
      </c>
      <c r="F34" s="1047">
        <v>2420</v>
      </c>
      <c r="G34" s="544" t="s">
        <v>1472</v>
      </c>
      <c r="H34" s="1049">
        <v>1547.68</v>
      </c>
      <c r="I34" s="1050">
        <v>9728.7099999999991</v>
      </c>
      <c r="J34" s="1051">
        <v>0.28999999999999998</v>
      </c>
      <c r="K34" s="1052">
        <v>10.83</v>
      </c>
      <c r="L34" s="1052">
        <v>4.55</v>
      </c>
    </row>
    <row r="35" spans="1:12" s="1009" customFormat="1" ht="16.5" customHeight="1">
      <c r="A35" s="905"/>
      <c r="B35" s="1032" t="s">
        <v>403</v>
      </c>
      <c r="C35" s="1046">
        <v>44</v>
      </c>
      <c r="D35" s="1047">
        <v>55937</v>
      </c>
      <c r="E35" s="1048">
        <v>11785</v>
      </c>
      <c r="F35" s="1047">
        <v>1287</v>
      </c>
      <c r="G35" s="990" t="s">
        <v>1472</v>
      </c>
      <c r="H35" s="1049">
        <v>1533.09</v>
      </c>
      <c r="I35" s="1050">
        <v>9631.2099999999991</v>
      </c>
      <c r="J35" s="1051">
        <v>0.12</v>
      </c>
      <c r="K35" s="1052">
        <v>10.67</v>
      </c>
      <c r="L35" s="1052">
        <v>4.62</v>
      </c>
    </row>
    <row r="36" spans="1:12" s="1009" customFormat="1" ht="16.5" customHeight="1">
      <c r="A36" s="905"/>
      <c r="B36" s="1032" t="s">
        <v>404</v>
      </c>
      <c r="C36" s="1046">
        <v>44</v>
      </c>
      <c r="D36" s="1047">
        <v>65358</v>
      </c>
      <c r="E36" s="1048">
        <v>16559</v>
      </c>
      <c r="F36" s="1047">
        <v>1533</v>
      </c>
      <c r="G36" s="990" t="s">
        <v>1472</v>
      </c>
      <c r="H36" s="1049">
        <v>1516.53</v>
      </c>
      <c r="I36" s="1050">
        <v>9538.6</v>
      </c>
      <c r="J36" s="1051">
        <v>0.17</v>
      </c>
      <c r="K36" s="1052">
        <v>10.57</v>
      </c>
      <c r="L36" s="1052">
        <v>4.67</v>
      </c>
    </row>
    <row r="37" spans="1:12" s="1009" customFormat="1" ht="16.5" customHeight="1">
      <c r="A37" s="905"/>
      <c r="B37" s="1032" t="s">
        <v>405</v>
      </c>
      <c r="C37" s="1046">
        <v>44</v>
      </c>
      <c r="D37" s="1047">
        <v>77435</v>
      </c>
      <c r="E37" s="1048">
        <v>16686</v>
      </c>
      <c r="F37" s="1047">
        <v>1535</v>
      </c>
      <c r="G37" s="990" t="s">
        <v>1472</v>
      </c>
      <c r="H37" s="1049">
        <v>1523.27</v>
      </c>
      <c r="I37" s="1050">
        <v>9587.61</v>
      </c>
      <c r="J37" s="1051">
        <v>0.17</v>
      </c>
      <c r="K37" s="1052">
        <v>10.63</v>
      </c>
      <c r="L37" s="1052">
        <v>4.6399999999999997</v>
      </c>
    </row>
    <row r="38" spans="1:12" s="1009" customFormat="1" ht="16.5" customHeight="1">
      <c r="A38" s="905"/>
      <c r="B38" s="1032" t="s">
        <v>406</v>
      </c>
      <c r="C38" s="1046">
        <v>44</v>
      </c>
      <c r="D38" s="1047">
        <v>82352</v>
      </c>
      <c r="E38" s="1048">
        <v>15042</v>
      </c>
      <c r="F38" s="1047">
        <v>1138</v>
      </c>
      <c r="G38" s="990" t="s">
        <v>1472</v>
      </c>
      <c r="H38" s="1049">
        <v>1526.95</v>
      </c>
      <c r="I38" s="1050">
        <v>9610.73</v>
      </c>
      <c r="J38" s="1051">
        <v>0.16</v>
      </c>
      <c r="K38" s="1052">
        <v>10.66</v>
      </c>
      <c r="L38" s="1052">
        <v>4.63</v>
      </c>
    </row>
    <row r="39" spans="1:12" s="1009" customFormat="1" ht="16.5" customHeight="1">
      <c r="A39" s="905"/>
      <c r="B39" s="1032" t="s">
        <v>407</v>
      </c>
      <c r="C39" s="1046">
        <v>44</v>
      </c>
      <c r="D39" s="1047">
        <v>88813</v>
      </c>
      <c r="E39" s="1048">
        <v>24860</v>
      </c>
      <c r="F39" s="1047">
        <v>1538</v>
      </c>
      <c r="G39" s="990" t="s">
        <v>1472</v>
      </c>
      <c r="H39" s="1049">
        <v>1610.18</v>
      </c>
      <c r="I39" s="1050">
        <v>10134.620000000001</v>
      </c>
      <c r="J39" s="1051">
        <v>0.25</v>
      </c>
      <c r="K39" s="1052">
        <v>11.27</v>
      </c>
      <c r="L39" s="1052">
        <v>4.3899999999999997</v>
      </c>
    </row>
    <row r="40" spans="1:12" s="1009" customFormat="1" ht="21.2" customHeight="1">
      <c r="A40" s="905">
        <v>2020</v>
      </c>
      <c r="B40" s="1032" t="s">
        <v>408</v>
      </c>
      <c r="C40" s="1046">
        <v>44</v>
      </c>
      <c r="D40" s="1047">
        <v>58893</v>
      </c>
      <c r="E40" s="1048">
        <v>16934</v>
      </c>
      <c r="F40" s="1047">
        <v>1378</v>
      </c>
      <c r="G40" s="544" t="s">
        <v>1472</v>
      </c>
      <c r="H40" s="1049">
        <v>1657.63</v>
      </c>
      <c r="I40" s="1050">
        <v>10436.57</v>
      </c>
      <c r="J40" s="1051">
        <v>0.16</v>
      </c>
      <c r="K40" s="1052">
        <v>11.6</v>
      </c>
      <c r="L40" s="1052">
        <v>4.28</v>
      </c>
    </row>
    <row r="41" spans="1:12" s="1009" customFormat="1" ht="16.5" customHeight="1">
      <c r="A41" s="1082"/>
      <c r="B41" s="906" t="s">
        <v>409</v>
      </c>
      <c r="C41" s="1046">
        <v>44</v>
      </c>
      <c r="D41" s="1047">
        <v>70843</v>
      </c>
      <c r="E41" s="1048">
        <v>16494</v>
      </c>
      <c r="F41" s="1047">
        <v>1546</v>
      </c>
      <c r="G41" s="990" t="s">
        <v>1472</v>
      </c>
      <c r="H41" s="1049">
        <v>1660.48</v>
      </c>
      <c r="I41" s="1050">
        <v>10454.549999999999</v>
      </c>
      <c r="J41" s="1051">
        <v>0.16</v>
      </c>
      <c r="K41" s="1052">
        <v>12.98</v>
      </c>
      <c r="L41" s="1052">
        <v>4.33</v>
      </c>
    </row>
    <row r="42" spans="1:12" s="1009" customFormat="1" ht="16.5" customHeight="1">
      <c r="A42" s="1082"/>
      <c r="B42" s="906" t="s">
        <v>398</v>
      </c>
      <c r="C42" s="1046">
        <v>44</v>
      </c>
      <c r="D42" s="1047">
        <v>161184</v>
      </c>
      <c r="E42" s="1048">
        <v>30155</v>
      </c>
      <c r="F42" s="1047">
        <v>2221</v>
      </c>
      <c r="G42" s="990" t="s">
        <v>1472</v>
      </c>
      <c r="H42" s="1049">
        <v>1350.62</v>
      </c>
      <c r="I42" s="1050">
        <v>8504.6</v>
      </c>
      <c r="J42" s="1051">
        <v>0.26</v>
      </c>
      <c r="K42" s="1052">
        <v>9.9</v>
      </c>
      <c r="L42" s="1052">
        <v>5.6</v>
      </c>
    </row>
    <row r="43" spans="1:12" s="1009" customFormat="1" ht="16.5" customHeight="1">
      <c r="A43" s="1082"/>
      <c r="B43" s="906" t="s">
        <v>399</v>
      </c>
      <c r="C43" s="1046">
        <v>44</v>
      </c>
      <c r="D43" s="1047">
        <v>146236</v>
      </c>
      <c r="E43" s="1048">
        <v>19490</v>
      </c>
      <c r="F43" s="1047">
        <v>1235</v>
      </c>
      <c r="G43" s="990" t="s">
        <v>1472</v>
      </c>
      <c r="H43" s="1049">
        <v>1310.73</v>
      </c>
      <c r="I43" s="1050">
        <v>8253.19</v>
      </c>
      <c r="J43" s="1051">
        <v>0.24</v>
      </c>
      <c r="K43" s="1052">
        <v>9.57</v>
      </c>
      <c r="L43" s="1052">
        <v>5.77</v>
      </c>
    </row>
    <row r="44" spans="1:12" ht="21.2" customHeight="1">
      <c r="A44" s="495" t="s">
        <v>1475</v>
      </c>
      <c r="B44" s="495"/>
      <c r="C44" s="495"/>
      <c r="D44" s="495"/>
      <c r="E44" s="495"/>
      <c r="F44" s="495"/>
      <c r="G44" s="495"/>
      <c r="H44" s="495"/>
      <c r="I44" s="495"/>
      <c r="J44" s="495"/>
      <c r="K44" s="495"/>
      <c r="L44" s="554" t="s">
        <v>1476</v>
      </c>
    </row>
    <row r="45" spans="1:12" ht="13.7" customHeight="1">
      <c r="A45" s="477" t="s">
        <v>1477</v>
      </c>
      <c r="L45" s="555" t="s">
        <v>1478</v>
      </c>
    </row>
    <row r="46" spans="1:12" ht="13.7" customHeight="1">
      <c r="A46" s="477" t="s">
        <v>1479</v>
      </c>
      <c r="L46" s="555" t="s">
        <v>1591</v>
      </c>
    </row>
    <row r="47" spans="1:12" ht="13.7" customHeight="1">
      <c r="A47" s="477" t="s">
        <v>1480</v>
      </c>
      <c r="L47" s="555" t="s">
        <v>1481</v>
      </c>
    </row>
    <row r="48" spans="1:12" ht="13.7" customHeight="1">
      <c r="A48" s="518" t="s">
        <v>1482</v>
      </c>
      <c r="L48" s="556" t="s">
        <v>1483</v>
      </c>
    </row>
    <row r="49" spans="1:12">
      <c r="E49" s="477" t="s">
        <v>107</v>
      </c>
    </row>
    <row r="50" spans="1:12" ht="14.25">
      <c r="A50" s="557" t="s">
        <v>1484</v>
      </c>
      <c r="B50" s="476"/>
      <c r="C50" s="476"/>
      <c r="D50" s="476"/>
      <c r="E50" s="476"/>
      <c r="F50" s="476"/>
      <c r="G50" s="476"/>
      <c r="H50" s="476"/>
      <c r="I50" s="476"/>
      <c r="J50" s="476"/>
      <c r="K50" s="476"/>
      <c r="L50" s="476"/>
    </row>
  </sheetData>
  <printOptions horizontalCentered="1" verticalCentered="1"/>
  <pageMargins left="0" right="0" top="0" bottom="0" header="0.3" footer="0.3"/>
  <pageSetup paperSize="9" scale="7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0"/>
  <dimension ref="A1:U65"/>
  <sheetViews>
    <sheetView topLeftCell="F1" zoomScale="80" zoomScaleNormal="80" workbookViewId="0">
      <pane ySplit="12" topLeftCell="A38" activePane="bottomLeft" state="frozen"/>
      <selection activeCell="A49" sqref="A1:XFD1048576"/>
      <selection pane="bottomLeft" activeCell="A49" sqref="A1:XFD1048576"/>
    </sheetView>
  </sheetViews>
  <sheetFormatPr defaultColWidth="9.140625" defaultRowHeight="12.75"/>
  <cols>
    <col min="1" max="2" width="9.7109375" style="477" customWidth="1"/>
    <col min="3" max="12" width="13.85546875" style="477" customWidth="1"/>
    <col min="13" max="16384" width="9.140625" style="477"/>
  </cols>
  <sheetData>
    <row r="1" spans="1:12" ht="21.75" customHeight="1">
      <c r="A1" s="1184" t="s">
        <v>1589</v>
      </c>
      <c r="B1" s="991"/>
      <c r="C1" s="991"/>
      <c r="D1" s="991"/>
      <c r="E1" s="991"/>
      <c r="F1" s="991"/>
      <c r="G1" s="991"/>
      <c r="H1" s="991"/>
      <c r="I1" s="991"/>
      <c r="J1" s="991"/>
      <c r="K1" s="991"/>
      <c r="L1" s="991"/>
    </row>
    <row r="2" spans="1:12" ht="18">
      <c r="A2" s="1184" t="s">
        <v>1485</v>
      </c>
      <c r="B2" s="991"/>
      <c r="C2" s="991"/>
      <c r="D2" s="991"/>
      <c r="E2" s="991"/>
      <c r="F2" s="991"/>
      <c r="G2" s="991"/>
      <c r="H2" s="991"/>
      <c r="I2" s="991"/>
      <c r="J2" s="991"/>
      <c r="K2" s="991"/>
      <c r="L2" s="991"/>
    </row>
    <row r="3" spans="1:12" ht="16.5">
      <c r="A3" s="1185" t="s">
        <v>1486</v>
      </c>
      <c r="B3" s="519"/>
      <c r="C3" s="519"/>
      <c r="D3" s="519"/>
      <c r="E3" s="519"/>
      <c r="F3" s="519"/>
      <c r="G3" s="519"/>
      <c r="H3" s="519"/>
      <c r="I3" s="519"/>
      <c r="J3" s="519"/>
      <c r="K3" s="519"/>
      <c r="L3" s="519"/>
    </row>
    <row r="4" spans="1:12" ht="16.5" hidden="1">
      <c r="A4" s="1185"/>
      <c r="B4" s="519"/>
      <c r="C4" s="519"/>
      <c r="D4" s="519"/>
      <c r="E4" s="519"/>
      <c r="F4" s="519"/>
      <c r="G4" s="519"/>
      <c r="H4" s="519"/>
      <c r="I4" s="519"/>
      <c r="J4" s="519"/>
      <c r="K4" s="519"/>
      <c r="L4" s="519"/>
    </row>
    <row r="5" spans="1:12" ht="16.5" hidden="1">
      <c r="A5" s="1185"/>
      <c r="B5" s="519"/>
      <c r="C5" s="519"/>
      <c r="D5" s="519"/>
      <c r="E5" s="519"/>
      <c r="F5" s="519"/>
      <c r="G5" s="519"/>
      <c r="H5" s="519"/>
      <c r="I5" s="519"/>
      <c r="J5" s="519"/>
      <c r="K5" s="519"/>
      <c r="L5" s="519"/>
    </row>
    <row r="6" spans="1:12" ht="16.5" hidden="1">
      <c r="A6" s="1185"/>
      <c r="B6" s="519"/>
      <c r="C6" s="519"/>
      <c r="D6" s="519"/>
      <c r="E6" s="519"/>
      <c r="F6" s="519"/>
      <c r="G6" s="519"/>
      <c r="H6" s="519"/>
      <c r="I6" s="519"/>
      <c r="J6" s="519"/>
      <c r="K6" s="519"/>
      <c r="L6" s="519"/>
    </row>
    <row r="7" spans="1:12" ht="0.6" customHeight="1">
      <c r="A7" s="1185"/>
      <c r="B7" s="519"/>
      <c r="C7" s="519"/>
      <c r="D7" s="519"/>
      <c r="E7" s="519"/>
      <c r="F7" s="519"/>
      <c r="G7" s="519"/>
      <c r="H7" s="519"/>
      <c r="I7" s="519"/>
      <c r="J7" s="519"/>
      <c r="K7" s="519"/>
      <c r="L7" s="519"/>
    </row>
    <row r="8" spans="1:12" s="480" customFormat="1" ht="14.85" customHeight="1">
      <c r="A8" s="558" t="s">
        <v>1487</v>
      </c>
      <c r="B8" s="478"/>
      <c r="C8" s="479"/>
      <c r="D8" s="479"/>
      <c r="E8" s="479"/>
      <c r="F8" s="479"/>
      <c r="G8" s="479"/>
      <c r="H8" s="479"/>
      <c r="I8" s="479"/>
      <c r="J8" s="479"/>
      <c r="K8" s="479"/>
      <c r="L8" s="559" t="s">
        <v>1488</v>
      </c>
    </row>
    <row r="9" spans="1:12" s="564" customFormat="1" ht="15.95" customHeight="1">
      <c r="A9" s="560"/>
      <c r="B9" s="561"/>
      <c r="C9" s="562"/>
      <c r="D9" s="562"/>
      <c r="E9" s="562"/>
      <c r="F9" s="562"/>
      <c r="G9" s="562"/>
      <c r="H9" s="562"/>
      <c r="I9" s="562"/>
      <c r="J9" s="522" t="s">
        <v>1489</v>
      </c>
      <c r="K9" s="562"/>
      <c r="L9" s="563"/>
    </row>
    <row r="10" spans="1:12" s="523" customFormat="1" ht="15">
      <c r="A10" s="565" t="s">
        <v>1446</v>
      </c>
      <c r="B10" s="566"/>
      <c r="C10" s="567" t="s">
        <v>1490</v>
      </c>
      <c r="D10" s="567" t="s">
        <v>1491</v>
      </c>
      <c r="E10" s="567" t="s">
        <v>1280</v>
      </c>
      <c r="F10" s="567" t="s">
        <v>1492</v>
      </c>
      <c r="G10" s="568" t="s">
        <v>551</v>
      </c>
      <c r="H10" s="568" t="s">
        <v>1493</v>
      </c>
      <c r="I10" s="568" t="s">
        <v>1494</v>
      </c>
      <c r="J10" s="568" t="s">
        <v>1495</v>
      </c>
      <c r="K10" s="568" t="s">
        <v>1496</v>
      </c>
      <c r="L10" s="568" t="s">
        <v>367</v>
      </c>
    </row>
    <row r="11" spans="1:12" s="523" customFormat="1" ht="15">
      <c r="A11" s="526" t="s">
        <v>1454</v>
      </c>
      <c r="B11" s="566"/>
      <c r="C11" s="528" t="s">
        <v>1497</v>
      </c>
      <c r="D11" s="528" t="s">
        <v>1498</v>
      </c>
      <c r="E11" s="528" t="s">
        <v>1499</v>
      </c>
      <c r="F11" s="528" t="s">
        <v>1500</v>
      </c>
      <c r="G11" s="529" t="s">
        <v>1501</v>
      </c>
      <c r="H11" s="529" t="s">
        <v>1502</v>
      </c>
      <c r="I11" s="529" t="s">
        <v>1503</v>
      </c>
      <c r="J11" s="529" t="s">
        <v>1504</v>
      </c>
      <c r="K11" s="529" t="s">
        <v>1505</v>
      </c>
      <c r="L11" s="529" t="s">
        <v>378</v>
      </c>
    </row>
    <row r="12" spans="1:12" s="523" customFormat="1" ht="15">
      <c r="A12" s="569"/>
      <c r="B12" s="570"/>
      <c r="C12" s="571" t="s">
        <v>391</v>
      </c>
      <c r="D12" s="571"/>
      <c r="E12" s="571"/>
      <c r="F12" s="571"/>
      <c r="G12" s="572"/>
      <c r="H12" s="572" t="s">
        <v>1506</v>
      </c>
      <c r="I12" s="572" t="s">
        <v>1465</v>
      </c>
      <c r="J12" s="572" t="s">
        <v>947</v>
      </c>
      <c r="K12" s="572" t="s">
        <v>1452</v>
      </c>
      <c r="L12" s="572"/>
    </row>
    <row r="13" spans="1:12" ht="20.25" customHeight="1">
      <c r="A13" s="573">
        <v>2010</v>
      </c>
      <c r="B13" s="574"/>
      <c r="C13" s="575">
        <v>44126</v>
      </c>
      <c r="D13" s="576">
        <v>25991</v>
      </c>
      <c r="E13" s="576">
        <v>10141</v>
      </c>
      <c r="F13" s="576">
        <v>25279</v>
      </c>
      <c r="G13" s="576">
        <v>1558</v>
      </c>
      <c r="H13" s="576">
        <v>1315</v>
      </c>
      <c r="I13" s="577">
        <v>1</v>
      </c>
      <c r="J13" s="577">
        <v>0</v>
      </c>
      <c r="K13" s="577">
        <v>0</v>
      </c>
      <c r="L13" s="577">
        <v>108411</v>
      </c>
    </row>
    <row r="14" spans="1:12" s="579" customFormat="1" ht="15.95" customHeight="1">
      <c r="A14" s="578">
        <v>2011</v>
      </c>
      <c r="B14" s="580"/>
      <c r="C14" s="581">
        <v>50004</v>
      </c>
      <c r="D14" s="581">
        <v>20347</v>
      </c>
      <c r="E14" s="577">
        <v>1164</v>
      </c>
      <c r="F14" s="577">
        <v>20008</v>
      </c>
      <c r="G14" s="577">
        <v>9236</v>
      </c>
      <c r="H14" s="577">
        <v>1187</v>
      </c>
      <c r="I14" s="577">
        <v>0</v>
      </c>
      <c r="J14" s="577">
        <v>0</v>
      </c>
      <c r="K14" s="577">
        <v>3020</v>
      </c>
      <c r="L14" s="577">
        <f>SUM(C14:K14)</f>
        <v>104966</v>
      </c>
    </row>
    <row r="15" spans="1:12" s="579" customFormat="1" ht="15.95" customHeight="1">
      <c r="A15" s="578">
        <v>2012</v>
      </c>
      <c r="B15" s="580"/>
      <c r="C15" s="581">
        <v>68519</v>
      </c>
      <c r="D15" s="581">
        <v>9266</v>
      </c>
      <c r="E15" s="577">
        <v>812</v>
      </c>
      <c r="F15" s="577">
        <v>15791</v>
      </c>
      <c r="G15" s="577">
        <v>7121</v>
      </c>
      <c r="H15" s="577">
        <v>645</v>
      </c>
      <c r="I15" s="577">
        <v>52</v>
      </c>
      <c r="J15" s="577">
        <v>0</v>
      </c>
      <c r="K15" s="577">
        <v>8039</v>
      </c>
      <c r="L15" s="577">
        <v>110245</v>
      </c>
    </row>
    <row r="16" spans="1:12" s="579" customFormat="1" ht="15.95" customHeight="1">
      <c r="A16" s="578">
        <v>2013</v>
      </c>
      <c r="B16" s="580"/>
      <c r="C16" s="581">
        <v>153620</v>
      </c>
      <c r="D16" s="581">
        <v>31925</v>
      </c>
      <c r="E16" s="577">
        <v>774</v>
      </c>
      <c r="F16" s="577">
        <v>19735</v>
      </c>
      <c r="G16" s="577">
        <v>5583</v>
      </c>
      <c r="H16" s="577">
        <v>324</v>
      </c>
      <c r="I16" s="577">
        <v>156</v>
      </c>
      <c r="J16" s="577">
        <v>0</v>
      </c>
      <c r="K16" s="577">
        <v>13751</v>
      </c>
      <c r="L16" s="577">
        <v>225868</v>
      </c>
    </row>
    <row r="17" spans="1:21" s="579" customFormat="1" ht="15.95" customHeight="1">
      <c r="A17" s="578">
        <v>2014</v>
      </c>
      <c r="B17" s="580"/>
      <c r="C17" s="581">
        <v>190427</v>
      </c>
      <c r="D17" s="581">
        <v>40557</v>
      </c>
      <c r="E17" s="577">
        <v>371</v>
      </c>
      <c r="F17" s="577">
        <v>22157</v>
      </c>
      <c r="G17" s="577">
        <v>11830</v>
      </c>
      <c r="H17" s="577">
        <v>3677</v>
      </c>
      <c r="I17" s="577">
        <v>120</v>
      </c>
      <c r="J17" s="577">
        <v>194</v>
      </c>
      <c r="K17" s="577">
        <v>0</v>
      </c>
      <c r="L17" s="577">
        <v>269333</v>
      </c>
    </row>
    <row r="18" spans="1:21" s="579" customFormat="1" ht="15.95" customHeight="1">
      <c r="A18" s="578">
        <v>2015</v>
      </c>
      <c r="B18" s="580"/>
      <c r="C18" s="581">
        <v>68512</v>
      </c>
      <c r="D18" s="581">
        <v>11343</v>
      </c>
      <c r="E18" s="577">
        <v>4365</v>
      </c>
      <c r="F18" s="577">
        <v>18727</v>
      </c>
      <c r="G18" s="577">
        <v>5852</v>
      </c>
      <c r="H18" s="577">
        <v>1176</v>
      </c>
      <c r="I18" s="577">
        <v>0</v>
      </c>
      <c r="J18" s="577">
        <v>0</v>
      </c>
      <c r="K18" s="577">
        <v>0</v>
      </c>
      <c r="L18" s="577">
        <v>109975</v>
      </c>
    </row>
    <row r="19" spans="1:21" s="579" customFormat="1" ht="15.95" customHeight="1">
      <c r="A19" s="578">
        <v>2016</v>
      </c>
      <c r="B19" s="580"/>
      <c r="C19" s="581">
        <v>65270</v>
      </c>
      <c r="D19" s="581">
        <v>17772</v>
      </c>
      <c r="E19" s="577">
        <v>11556</v>
      </c>
      <c r="F19" s="577">
        <v>24648</v>
      </c>
      <c r="G19" s="577">
        <v>2643</v>
      </c>
      <c r="H19" s="577">
        <v>2565</v>
      </c>
      <c r="I19" s="577">
        <v>0</v>
      </c>
      <c r="J19" s="577">
        <v>0</v>
      </c>
      <c r="K19" s="577">
        <v>0</v>
      </c>
      <c r="L19" s="577">
        <f>SUM(C19:K19)</f>
        <v>124454</v>
      </c>
    </row>
    <row r="20" spans="1:21" s="579" customFormat="1" ht="15.95" customHeight="1">
      <c r="A20" s="578">
        <v>2017</v>
      </c>
      <c r="B20" s="580"/>
      <c r="C20" s="581">
        <v>98303</v>
      </c>
      <c r="D20" s="581">
        <v>44893</v>
      </c>
      <c r="E20" s="577">
        <v>4130</v>
      </c>
      <c r="F20" s="577">
        <v>31214</v>
      </c>
      <c r="G20" s="577">
        <v>29607</v>
      </c>
      <c r="H20" s="577">
        <v>2323</v>
      </c>
      <c r="I20" s="577">
        <v>869</v>
      </c>
      <c r="J20" s="577">
        <v>0</v>
      </c>
      <c r="K20" s="577">
        <v>0</v>
      </c>
      <c r="L20" s="577">
        <v>211339</v>
      </c>
    </row>
    <row r="21" spans="1:21" s="579" customFormat="1" ht="16.5" customHeight="1">
      <c r="A21" s="958">
        <v>2018</v>
      </c>
      <c r="B21" s="582"/>
      <c r="C21" s="854">
        <v>168523</v>
      </c>
      <c r="D21" s="854">
        <v>98890</v>
      </c>
      <c r="E21" s="854">
        <v>1412</v>
      </c>
      <c r="F21" s="854">
        <v>29289</v>
      </c>
      <c r="G21" s="854">
        <v>19169</v>
      </c>
      <c r="H21" s="854">
        <v>730</v>
      </c>
      <c r="I21" s="971">
        <v>3906</v>
      </c>
      <c r="J21" s="854">
        <v>0</v>
      </c>
      <c r="K21" s="854">
        <v>0</v>
      </c>
      <c r="L21" s="577">
        <f>SUM(C21:K21)</f>
        <v>321919</v>
      </c>
      <c r="M21" s="1186"/>
      <c r="N21" s="1044"/>
      <c r="O21" s="1044"/>
      <c r="P21" s="1044"/>
      <c r="Q21" s="1044"/>
      <c r="R21" s="1044"/>
      <c r="S21" s="1044"/>
      <c r="T21" s="1044"/>
      <c r="U21" s="1044"/>
    </row>
    <row r="22" spans="1:21" s="579" customFormat="1" ht="16.5" customHeight="1">
      <c r="A22" s="1187">
        <v>2019</v>
      </c>
      <c r="B22" s="919"/>
      <c r="C22" s="939">
        <f>SUM(C26:C29)</f>
        <v>191368.39702999999</v>
      </c>
      <c r="D22" s="939">
        <f t="shared" ref="D22:L22" si="0">SUM(D26:D29)</f>
        <v>35874.341988</v>
      </c>
      <c r="E22" s="939">
        <f t="shared" si="0"/>
        <v>2967.4298200000003</v>
      </c>
      <c r="F22" s="939">
        <f t="shared" si="0"/>
        <v>40494</v>
      </c>
      <c r="G22" s="939">
        <f t="shared" si="0"/>
        <v>7530.4883060000002</v>
      </c>
      <c r="H22" s="939">
        <f t="shared" si="0"/>
        <v>1053.6719109999999</v>
      </c>
      <c r="I22" s="1188">
        <f t="shared" si="0"/>
        <v>818</v>
      </c>
      <c r="J22" s="939">
        <f t="shared" si="0"/>
        <v>0</v>
      </c>
      <c r="K22" s="939">
        <f t="shared" si="0"/>
        <v>0</v>
      </c>
      <c r="L22" s="1189">
        <f t="shared" si="0"/>
        <v>280106</v>
      </c>
      <c r="M22" s="1186"/>
      <c r="N22" s="1044"/>
      <c r="O22" s="1044"/>
      <c r="P22" s="1044"/>
      <c r="Q22" s="1044"/>
      <c r="R22" s="1044"/>
      <c r="S22" s="1044"/>
      <c r="T22" s="1044"/>
      <c r="U22" s="1044"/>
    </row>
    <row r="23" spans="1:21" s="579" customFormat="1" ht="21" customHeight="1">
      <c r="A23" s="958">
        <v>2018</v>
      </c>
      <c r="B23" s="582" t="s">
        <v>223</v>
      </c>
      <c r="C23" s="854">
        <v>15460</v>
      </c>
      <c r="D23" s="854">
        <v>16684</v>
      </c>
      <c r="E23" s="854">
        <v>166</v>
      </c>
      <c r="F23" s="854">
        <v>4025</v>
      </c>
      <c r="G23" s="854">
        <v>7467</v>
      </c>
      <c r="H23" s="854">
        <v>117</v>
      </c>
      <c r="I23" s="971">
        <v>3817</v>
      </c>
      <c r="J23" s="854">
        <v>0</v>
      </c>
      <c r="K23" s="854">
        <v>0</v>
      </c>
      <c r="L23" s="577">
        <f t="shared" ref="L23" si="1">SUM(C23:K23)</f>
        <v>47736</v>
      </c>
      <c r="M23" s="1190"/>
      <c r="N23" s="1044"/>
      <c r="O23" s="1044"/>
      <c r="P23" s="1044"/>
      <c r="Q23" s="1044"/>
      <c r="R23" s="1044"/>
      <c r="S23" s="1044"/>
      <c r="T23" s="1044"/>
      <c r="U23" s="1044"/>
    </row>
    <row r="24" spans="1:21" s="579" customFormat="1" ht="16.5" customHeight="1">
      <c r="A24" s="958"/>
      <c r="B24" s="582" t="s">
        <v>224</v>
      </c>
      <c r="C24" s="854">
        <v>46981</v>
      </c>
      <c r="D24" s="854">
        <v>16035</v>
      </c>
      <c r="E24" s="854">
        <v>206</v>
      </c>
      <c r="F24" s="854">
        <v>5391</v>
      </c>
      <c r="G24" s="854">
        <v>5598</v>
      </c>
      <c r="H24" s="854">
        <v>31</v>
      </c>
      <c r="I24" s="971">
        <v>0</v>
      </c>
      <c r="J24" s="854">
        <v>0</v>
      </c>
      <c r="K24" s="854">
        <v>0</v>
      </c>
      <c r="L24" s="577">
        <v>74242</v>
      </c>
      <c r="M24" s="1186"/>
      <c r="N24" s="1044"/>
      <c r="O24" s="1044"/>
      <c r="P24" s="1044"/>
      <c r="Q24" s="1044"/>
      <c r="R24" s="1044"/>
      <c r="S24" s="1044"/>
      <c r="T24" s="1044"/>
      <c r="U24" s="1044"/>
    </row>
    <row r="25" spans="1:21" s="579" customFormat="1" ht="16.5" customHeight="1">
      <c r="A25" s="958"/>
      <c r="B25" s="582" t="s">
        <v>225</v>
      </c>
      <c r="C25" s="854">
        <v>55042</v>
      </c>
      <c r="D25" s="854">
        <v>54439</v>
      </c>
      <c r="E25" s="854">
        <v>572</v>
      </c>
      <c r="F25" s="854">
        <v>7620</v>
      </c>
      <c r="G25" s="854">
        <v>1660</v>
      </c>
      <c r="H25" s="854">
        <v>379</v>
      </c>
      <c r="I25" s="971">
        <v>89</v>
      </c>
      <c r="J25" s="854">
        <v>0</v>
      </c>
      <c r="K25" s="854">
        <v>0</v>
      </c>
      <c r="L25" s="577">
        <v>119801</v>
      </c>
      <c r="M25" s="1186"/>
      <c r="N25" s="1044"/>
      <c r="O25" s="1044"/>
      <c r="P25" s="1044"/>
      <c r="Q25" s="1044"/>
      <c r="R25" s="1044"/>
      <c r="S25" s="1044"/>
      <c r="T25" s="1044"/>
      <c r="U25" s="1044"/>
    </row>
    <row r="26" spans="1:21" s="1044" customFormat="1" ht="21.2" customHeight="1">
      <c r="A26" s="958">
        <v>2019</v>
      </c>
      <c r="B26" s="959" t="s">
        <v>222</v>
      </c>
      <c r="C26" s="854">
        <v>65316</v>
      </c>
      <c r="D26" s="854">
        <v>7778</v>
      </c>
      <c r="E26" s="854">
        <v>307</v>
      </c>
      <c r="F26" s="854">
        <v>7993</v>
      </c>
      <c r="G26" s="854">
        <v>2425</v>
      </c>
      <c r="H26" s="854">
        <v>107</v>
      </c>
      <c r="I26" s="971">
        <v>664</v>
      </c>
      <c r="J26" s="854">
        <v>0</v>
      </c>
      <c r="K26" s="854">
        <v>0</v>
      </c>
      <c r="L26" s="971">
        <v>84590</v>
      </c>
    </row>
    <row r="27" spans="1:21" s="1044" customFormat="1" ht="17.25" customHeight="1">
      <c r="A27" s="958"/>
      <c r="B27" s="959" t="s">
        <v>223</v>
      </c>
      <c r="C27" s="854">
        <v>55829.397029999993</v>
      </c>
      <c r="D27" s="854">
        <v>12402.341988</v>
      </c>
      <c r="E27" s="854">
        <v>1521.72982</v>
      </c>
      <c r="F27" s="854">
        <v>11574</v>
      </c>
      <c r="G27" s="854">
        <v>942.48830600000008</v>
      </c>
      <c r="H27" s="854">
        <v>448.67191099999997</v>
      </c>
      <c r="I27" s="971">
        <v>0</v>
      </c>
      <c r="J27" s="854">
        <v>0</v>
      </c>
      <c r="K27" s="854">
        <v>0</v>
      </c>
      <c r="L27" s="971">
        <v>82718</v>
      </c>
    </row>
    <row r="28" spans="1:21" s="1044" customFormat="1" ht="17.25" customHeight="1">
      <c r="A28" s="958"/>
      <c r="B28" s="959" t="s">
        <v>224</v>
      </c>
      <c r="C28" s="854">
        <f>SUM(C34:C36)</f>
        <v>33434</v>
      </c>
      <c r="D28" s="854">
        <f t="shared" ref="D28:L28" si="2">SUM(D34:D36)</f>
        <v>6896</v>
      </c>
      <c r="E28" s="854">
        <f t="shared" si="2"/>
        <v>409</v>
      </c>
      <c r="F28" s="854">
        <f t="shared" si="2"/>
        <v>12312</v>
      </c>
      <c r="G28" s="854">
        <f t="shared" si="2"/>
        <v>2887</v>
      </c>
      <c r="H28" s="854">
        <f t="shared" si="2"/>
        <v>163</v>
      </c>
      <c r="I28" s="854">
        <f t="shared" si="2"/>
        <v>109</v>
      </c>
      <c r="J28" s="854">
        <f t="shared" si="2"/>
        <v>0</v>
      </c>
      <c r="K28" s="854">
        <f t="shared" si="2"/>
        <v>0</v>
      </c>
      <c r="L28" s="854">
        <f t="shared" si="2"/>
        <v>56210</v>
      </c>
      <c r="M28" s="1191">
        <f>L28-'50'!E28</f>
        <v>0</v>
      </c>
    </row>
    <row r="29" spans="1:21" s="1044" customFormat="1" ht="17.25" customHeight="1">
      <c r="A29" s="958"/>
      <c r="B29" s="959" t="s">
        <v>225</v>
      </c>
      <c r="C29" s="854">
        <f>SUM(C37:C39)</f>
        <v>36789</v>
      </c>
      <c r="D29" s="854">
        <f t="shared" ref="D29:L29" si="3">SUM(D37:D39)</f>
        <v>8798</v>
      </c>
      <c r="E29" s="854">
        <f t="shared" si="3"/>
        <v>729.7</v>
      </c>
      <c r="F29" s="854">
        <f t="shared" si="3"/>
        <v>8615</v>
      </c>
      <c r="G29" s="854">
        <f t="shared" si="3"/>
        <v>1276</v>
      </c>
      <c r="H29" s="854">
        <f t="shared" si="3"/>
        <v>335</v>
      </c>
      <c r="I29" s="854">
        <f t="shared" si="3"/>
        <v>45</v>
      </c>
      <c r="J29" s="854">
        <f t="shared" si="3"/>
        <v>0</v>
      </c>
      <c r="K29" s="854">
        <f t="shared" si="3"/>
        <v>0</v>
      </c>
      <c r="L29" s="854">
        <f t="shared" si="3"/>
        <v>56588</v>
      </c>
      <c r="M29" s="1191">
        <f>L29-'50'!E29</f>
        <v>0</v>
      </c>
      <c r="N29" s="1045">
        <f t="shared" ref="N29:N33" si="4">L29-SUM(C29:K29)</f>
        <v>0.30000000000291038</v>
      </c>
    </row>
    <row r="30" spans="1:21" s="1044" customFormat="1" ht="21" customHeight="1">
      <c r="A30" s="1187">
        <v>2020</v>
      </c>
      <c r="B30" s="1192" t="s">
        <v>222</v>
      </c>
      <c r="C30" s="939">
        <f t="shared" ref="C30:I30" si="5">SUM(C40:C42)</f>
        <v>27927</v>
      </c>
      <c r="D30" s="939">
        <f t="shared" si="5"/>
        <v>8342</v>
      </c>
      <c r="E30" s="939">
        <f t="shared" si="5"/>
        <v>418.7</v>
      </c>
      <c r="F30" s="939">
        <f t="shared" si="5"/>
        <v>14433</v>
      </c>
      <c r="G30" s="939">
        <f t="shared" si="5"/>
        <v>4363</v>
      </c>
      <c r="H30" s="939">
        <f t="shared" si="5"/>
        <v>101</v>
      </c>
      <c r="I30" s="939">
        <f t="shared" si="5"/>
        <v>7998</v>
      </c>
      <c r="J30" s="939">
        <f t="shared" ref="J30:K30" si="6">SUM(J38:J42)</f>
        <v>0</v>
      </c>
      <c r="K30" s="939">
        <f t="shared" si="6"/>
        <v>0</v>
      </c>
      <c r="L30" s="939">
        <f>SUM(L40:L42)</f>
        <v>63583</v>
      </c>
      <c r="M30" s="1191">
        <f>L30-'50'!E30</f>
        <v>0</v>
      </c>
      <c r="N30" s="1045">
        <f t="shared" ref="N30" si="7">L30-SUM(C30:K30)</f>
        <v>0.30000000000291038</v>
      </c>
    </row>
    <row r="31" spans="1:21" s="1044" customFormat="1" ht="21.2" customHeight="1">
      <c r="A31" s="958">
        <v>2019</v>
      </c>
      <c r="B31" s="959" t="s">
        <v>1473</v>
      </c>
      <c r="C31" s="854">
        <v>22003</v>
      </c>
      <c r="D31" s="854">
        <v>6111</v>
      </c>
      <c r="E31" s="854">
        <v>817</v>
      </c>
      <c r="F31" s="854">
        <v>3487</v>
      </c>
      <c r="G31" s="854">
        <v>425</v>
      </c>
      <c r="H31" s="854">
        <v>269</v>
      </c>
      <c r="I31" s="971">
        <v>0</v>
      </c>
      <c r="J31" s="854">
        <v>0</v>
      </c>
      <c r="K31" s="854">
        <v>0</v>
      </c>
      <c r="L31" s="577">
        <f t="shared" ref="L31:L32" si="8">SUM(C31:K31)</f>
        <v>33112</v>
      </c>
      <c r="M31" s="1044">
        <f>L31-'50'!E31</f>
        <v>0</v>
      </c>
      <c r="N31" s="1045">
        <f t="shared" si="4"/>
        <v>0</v>
      </c>
    </row>
    <row r="32" spans="1:21" s="1044" customFormat="1" ht="16.5" customHeight="1">
      <c r="A32" s="958"/>
      <c r="B32" s="959" t="s">
        <v>1474</v>
      </c>
      <c r="C32" s="854">
        <v>9057</v>
      </c>
      <c r="D32" s="854">
        <v>3466</v>
      </c>
      <c r="E32" s="854">
        <v>117</v>
      </c>
      <c r="F32" s="854">
        <v>3320</v>
      </c>
      <c r="G32" s="854">
        <v>226</v>
      </c>
      <c r="H32" s="854">
        <v>42</v>
      </c>
      <c r="I32" s="971">
        <v>0</v>
      </c>
      <c r="J32" s="854">
        <v>0</v>
      </c>
      <c r="K32" s="854">
        <v>0</v>
      </c>
      <c r="L32" s="971">
        <f t="shared" si="8"/>
        <v>16228</v>
      </c>
      <c r="M32" s="1190">
        <f>L32-'50'!E32</f>
        <v>0</v>
      </c>
      <c r="N32" s="1045">
        <f t="shared" si="4"/>
        <v>0</v>
      </c>
    </row>
    <row r="33" spans="1:14" s="1044" customFormat="1" ht="16.5" customHeight="1">
      <c r="A33" s="958"/>
      <c r="B33" s="1032" t="s">
        <v>401</v>
      </c>
      <c r="C33" s="854">
        <v>24770.066848999999</v>
      </c>
      <c r="D33" s="854">
        <v>2824.3306069999999</v>
      </c>
      <c r="E33" s="854">
        <v>587.85911499999997</v>
      </c>
      <c r="F33" s="854">
        <v>4767.2593040000002</v>
      </c>
      <c r="G33" s="854">
        <v>291.36970200000002</v>
      </c>
      <c r="H33" s="854">
        <f>137.377536+0.4</f>
        <v>137.777536</v>
      </c>
      <c r="I33" s="971">
        <v>0</v>
      </c>
      <c r="J33" s="854">
        <v>0</v>
      </c>
      <c r="K33" s="854">
        <v>0</v>
      </c>
      <c r="L33" s="971">
        <v>33378</v>
      </c>
      <c r="M33" s="1190">
        <f>L33-'50'!E33</f>
        <v>-0.26311300000088522</v>
      </c>
      <c r="N33" s="1045">
        <f t="shared" si="4"/>
        <v>-0.66311300000234041</v>
      </c>
    </row>
    <row r="34" spans="1:14" s="1044" customFormat="1" ht="16.5" customHeight="1">
      <c r="A34" s="958"/>
      <c r="B34" s="1032" t="s">
        <v>402</v>
      </c>
      <c r="C34" s="854">
        <v>16944</v>
      </c>
      <c r="D34" s="854">
        <v>3054</v>
      </c>
      <c r="E34" s="854">
        <v>62</v>
      </c>
      <c r="F34" s="854">
        <v>5850</v>
      </c>
      <c r="G34" s="854">
        <v>1901</v>
      </c>
      <c r="H34" s="854">
        <v>55</v>
      </c>
      <c r="I34" s="971">
        <v>0</v>
      </c>
      <c r="J34" s="854">
        <v>0</v>
      </c>
      <c r="K34" s="854">
        <v>0</v>
      </c>
      <c r="L34" s="971">
        <v>27866</v>
      </c>
      <c r="M34" s="1190">
        <f>L34-'50'!E34</f>
        <v>0</v>
      </c>
      <c r="N34" s="1045">
        <f t="shared" ref="N34:N39" si="9">L34-SUM(C34:K34)</f>
        <v>0</v>
      </c>
    </row>
    <row r="35" spans="1:14" s="1044" customFormat="1" ht="16.5" customHeight="1">
      <c r="A35" s="958"/>
      <c r="B35" s="1032" t="s">
        <v>403</v>
      </c>
      <c r="C35" s="854">
        <v>6163</v>
      </c>
      <c r="D35" s="854">
        <v>1941</v>
      </c>
      <c r="E35" s="854">
        <v>279</v>
      </c>
      <c r="F35" s="854">
        <v>2921</v>
      </c>
      <c r="G35" s="854">
        <v>453</v>
      </c>
      <c r="H35" s="854">
        <v>28</v>
      </c>
      <c r="I35" s="971">
        <v>0</v>
      </c>
      <c r="J35" s="854">
        <v>0</v>
      </c>
      <c r="K35" s="854">
        <v>0</v>
      </c>
      <c r="L35" s="971">
        <v>11785</v>
      </c>
      <c r="M35" s="1190">
        <f>L35-'50'!E35</f>
        <v>0</v>
      </c>
      <c r="N35" s="1045">
        <f t="shared" si="9"/>
        <v>0</v>
      </c>
    </row>
    <row r="36" spans="1:14" s="1044" customFormat="1" ht="16.5" customHeight="1">
      <c r="A36" s="958"/>
      <c r="B36" s="1032" t="s">
        <v>404</v>
      </c>
      <c r="C36" s="854">
        <v>10327</v>
      </c>
      <c r="D36" s="854">
        <v>1901</v>
      </c>
      <c r="E36" s="854">
        <v>68</v>
      </c>
      <c r="F36" s="854">
        <v>3541</v>
      </c>
      <c r="G36" s="854">
        <v>533</v>
      </c>
      <c r="H36" s="854">
        <v>80</v>
      </c>
      <c r="I36" s="971">
        <v>109</v>
      </c>
      <c r="J36" s="854">
        <v>0</v>
      </c>
      <c r="K36" s="854">
        <v>0</v>
      </c>
      <c r="L36" s="971">
        <v>16559</v>
      </c>
      <c r="M36" s="1190">
        <f>L36-'50'!E36</f>
        <v>0</v>
      </c>
      <c r="N36" s="1045">
        <f t="shared" si="9"/>
        <v>0</v>
      </c>
    </row>
    <row r="37" spans="1:14" s="1044" customFormat="1" ht="16.5" customHeight="1">
      <c r="A37" s="958"/>
      <c r="B37" s="1032" t="s">
        <v>405</v>
      </c>
      <c r="C37" s="854">
        <v>8241</v>
      </c>
      <c r="D37" s="854">
        <v>3555</v>
      </c>
      <c r="E37" s="854">
        <v>141.69999999999999</v>
      </c>
      <c r="F37" s="854">
        <v>3745</v>
      </c>
      <c r="G37" s="854">
        <v>841</v>
      </c>
      <c r="H37" s="854">
        <v>162</v>
      </c>
      <c r="I37" s="971">
        <v>0</v>
      </c>
      <c r="J37" s="854">
        <v>0</v>
      </c>
      <c r="K37" s="854">
        <v>0</v>
      </c>
      <c r="L37" s="971">
        <v>16686</v>
      </c>
      <c r="M37" s="1190">
        <f>L37-'50'!E37</f>
        <v>0</v>
      </c>
      <c r="N37" s="1045">
        <f t="shared" si="9"/>
        <v>0.2999999999992724</v>
      </c>
    </row>
    <row r="38" spans="1:14" s="1044" customFormat="1" ht="16.5" customHeight="1">
      <c r="A38" s="958"/>
      <c r="B38" s="1032" t="s">
        <v>406</v>
      </c>
      <c r="C38" s="854">
        <v>8259</v>
      </c>
      <c r="D38" s="854">
        <v>3667</v>
      </c>
      <c r="E38" s="854">
        <v>262</v>
      </c>
      <c r="F38" s="854">
        <v>2439</v>
      </c>
      <c r="G38" s="854">
        <v>347</v>
      </c>
      <c r="H38" s="854">
        <v>23</v>
      </c>
      <c r="I38" s="971">
        <v>45</v>
      </c>
      <c r="J38" s="854">
        <v>0</v>
      </c>
      <c r="K38" s="854">
        <v>0</v>
      </c>
      <c r="L38" s="971">
        <v>15042</v>
      </c>
      <c r="M38" s="1190">
        <f>L38-'50'!E38</f>
        <v>0</v>
      </c>
      <c r="N38" s="1045">
        <f t="shared" si="9"/>
        <v>0</v>
      </c>
    </row>
    <row r="39" spans="1:14" s="1044" customFormat="1" ht="16.5" customHeight="1">
      <c r="A39" s="958"/>
      <c r="B39" s="1032" t="s">
        <v>407</v>
      </c>
      <c r="C39" s="854">
        <v>20289</v>
      </c>
      <c r="D39" s="854">
        <v>1576</v>
      </c>
      <c r="E39" s="854">
        <v>326</v>
      </c>
      <c r="F39" s="854">
        <v>2431</v>
      </c>
      <c r="G39" s="854">
        <v>88</v>
      </c>
      <c r="H39" s="854">
        <v>150</v>
      </c>
      <c r="I39" s="971">
        <v>0</v>
      </c>
      <c r="J39" s="854">
        <v>0</v>
      </c>
      <c r="K39" s="854">
        <v>0</v>
      </c>
      <c r="L39" s="971">
        <v>24860</v>
      </c>
      <c r="M39" s="1190">
        <f>L39-'50'!E39</f>
        <v>0</v>
      </c>
      <c r="N39" s="1045">
        <f t="shared" si="9"/>
        <v>0</v>
      </c>
    </row>
    <row r="40" spans="1:14" s="1044" customFormat="1" ht="21.2" customHeight="1">
      <c r="A40" s="958">
        <v>2020</v>
      </c>
      <c r="B40" s="959" t="s">
        <v>408</v>
      </c>
      <c r="C40" s="854">
        <v>10116</v>
      </c>
      <c r="D40" s="854">
        <v>2087</v>
      </c>
      <c r="E40" s="854">
        <v>37</v>
      </c>
      <c r="F40" s="854">
        <v>2275</v>
      </c>
      <c r="G40" s="854">
        <v>2402</v>
      </c>
      <c r="H40" s="854">
        <v>17</v>
      </c>
      <c r="I40" s="971">
        <v>0</v>
      </c>
      <c r="J40" s="854">
        <v>0</v>
      </c>
      <c r="K40" s="854">
        <v>0</v>
      </c>
      <c r="L40" s="577">
        <v>16934</v>
      </c>
      <c r="M40" s="1044">
        <f>L40-'50'!E40</f>
        <v>0</v>
      </c>
      <c r="N40" s="1045">
        <f t="shared" ref="N40" si="10">L40-SUM(C40:K40)</f>
        <v>0</v>
      </c>
    </row>
    <row r="41" spans="1:14" s="1044" customFormat="1" ht="16.5" customHeight="1">
      <c r="A41" s="1086"/>
      <c r="B41" s="906" t="s">
        <v>409</v>
      </c>
      <c r="C41" s="854">
        <v>7551</v>
      </c>
      <c r="D41" s="854">
        <v>2958</v>
      </c>
      <c r="E41" s="854">
        <v>365.7</v>
      </c>
      <c r="F41" s="854">
        <v>4356</v>
      </c>
      <c r="G41" s="854">
        <v>1115</v>
      </c>
      <c r="H41" s="854">
        <v>82</v>
      </c>
      <c r="I41" s="971">
        <v>66</v>
      </c>
      <c r="J41" s="854">
        <v>0</v>
      </c>
      <c r="K41" s="854">
        <v>0</v>
      </c>
      <c r="L41" s="971">
        <v>16494</v>
      </c>
      <c r="M41" s="1044">
        <f>L41-'50'!E41</f>
        <v>0</v>
      </c>
      <c r="N41" s="1045">
        <f t="shared" ref="N41" si="11">L41-SUM(C41:K41)</f>
        <v>0.2999999999992724</v>
      </c>
    </row>
    <row r="42" spans="1:14" s="1044" customFormat="1" ht="16.5" customHeight="1">
      <c r="A42" s="1086"/>
      <c r="B42" s="906" t="s">
        <v>398</v>
      </c>
      <c r="C42" s="854">
        <v>10260</v>
      </c>
      <c r="D42" s="854">
        <v>3297</v>
      </c>
      <c r="E42" s="854">
        <v>16</v>
      </c>
      <c r="F42" s="854">
        <v>7802</v>
      </c>
      <c r="G42" s="854">
        <v>846</v>
      </c>
      <c r="H42" s="854">
        <v>2</v>
      </c>
      <c r="I42" s="971">
        <v>7932</v>
      </c>
      <c r="J42" s="854">
        <v>0</v>
      </c>
      <c r="K42" s="854">
        <v>0</v>
      </c>
      <c r="L42" s="971">
        <v>30155</v>
      </c>
      <c r="M42" s="1044">
        <f>L42-'50'!E42</f>
        <v>0</v>
      </c>
      <c r="N42" s="1045">
        <f t="shared" ref="N42" si="12">L42-SUM(C42:K42)</f>
        <v>0</v>
      </c>
    </row>
    <row r="43" spans="1:14" s="1044" customFormat="1" ht="16.5" customHeight="1">
      <c r="A43" s="1086"/>
      <c r="B43" s="906" t="s">
        <v>399</v>
      </c>
      <c r="C43" s="854">
        <v>14536</v>
      </c>
      <c r="D43" s="854">
        <v>1964</v>
      </c>
      <c r="E43" s="854">
        <v>10</v>
      </c>
      <c r="F43" s="854">
        <v>2779</v>
      </c>
      <c r="G43" s="854">
        <v>201</v>
      </c>
      <c r="H43" s="854">
        <v>0</v>
      </c>
      <c r="I43" s="971">
        <v>0</v>
      </c>
      <c r="J43" s="854">
        <v>0</v>
      </c>
      <c r="K43" s="854">
        <v>0</v>
      </c>
      <c r="L43" s="971">
        <v>19490</v>
      </c>
      <c r="M43" s="1044">
        <f>L43-'50'!E43</f>
        <v>0</v>
      </c>
      <c r="N43" s="1045">
        <f t="shared" ref="N43" si="13">L43-SUM(C43:K43)</f>
        <v>0</v>
      </c>
    </row>
    <row r="44" spans="1:14" ht="20.25" customHeight="1">
      <c r="A44" s="583" t="s">
        <v>1480</v>
      </c>
      <c r="B44" s="495"/>
      <c r="C44" s="495"/>
      <c r="D44" s="495"/>
      <c r="E44" s="495"/>
      <c r="F44" s="495"/>
      <c r="G44" s="495"/>
      <c r="H44" s="495"/>
      <c r="I44" s="495"/>
      <c r="J44" s="495"/>
      <c r="K44" s="495"/>
      <c r="L44" s="584" t="s">
        <v>1481</v>
      </c>
    </row>
    <row r="45" spans="1:14">
      <c r="A45" s="585" t="s">
        <v>1482</v>
      </c>
      <c r="B45" s="586"/>
      <c r="C45" s="586"/>
      <c r="L45" s="587" t="s">
        <v>1483</v>
      </c>
    </row>
    <row r="46" spans="1:14">
      <c r="A46" s="476"/>
      <c r="B46" s="476"/>
      <c r="C46" s="476"/>
      <c r="D46" s="476"/>
      <c r="E46" s="476"/>
      <c r="F46" s="476"/>
      <c r="G46" s="476"/>
      <c r="H46" s="476"/>
      <c r="I46" s="476"/>
      <c r="J46" s="476"/>
      <c r="K46" s="476"/>
      <c r="L46" s="476"/>
    </row>
    <row r="47" spans="1:14">
      <c r="A47" s="476" t="s">
        <v>1507</v>
      </c>
      <c r="B47" s="476"/>
      <c r="C47" s="476"/>
      <c r="D47" s="476"/>
      <c r="E47" s="476"/>
      <c r="F47" s="476"/>
      <c r="G47" s="476"/>
      <c r="H47" s="476"/>
      <c r="I47" s="476"/>
      <c r="J47" s="476"/>
      <c r="K47" s="476"/>
      <c r="L47" s="476"/>
    </row>
    <row r="60" spans="1:2">
      <c r="A60" s="588"/>
      <c r="B60" s="588"/>
    </row>
    <row r="61" spans="1:2">
      <c r="A61" s="588"/>
      <c r="B61" s="588"/>
    </row>
    <row r="62" spans="1:2">
      <c r="A62" s="588"/>
      <c r="B62" s="588"/>
    </row>
    <row r="63" spans="1:2">
      <c r="A63" s="588"/>
      <c r="B63" s="588"/>
    </row>
    <row r="64" spans="1:2">
      <c r="A64" s="588"/>
      <c r="B64" s="588"/>
    </row>
    <row r="65" spans="1:2">
      <c r="A65" s="588"/>
      <c r="B65" s="588"/>
    </row>
  </sheetData>
  <printOptions horizontalCentered="1" verticalCentered="1"/>
  <pageMargins left="0" right="0" top="0" bottom="0" header="0.3" footer="0.3"/>
  <pageSetup paperSize="9" scale="78"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1">
    <pageSetUpPr fitToPage="1"/>
  </sheetPr>
  <dimension ref="A1:T48"/>
  <sheetViews>
    <sheetView zoomScale="80" zoomScaleNormal="80" workbookViewId="0">
      <pane ySplit="12" topLeftCell="A39" activePane="bottomLeft" state="frozen"/>
      <selection activeCell="A49" sqref="A1:XFD1048576"/>
      <selection pane="bottomLeft" activeCell="A49" sqref="A1:XFD1048576"/>
    </sheetView>
  </sheetViews>
  <sheetFormatPr defaultColWidth="9.140625" defaultRowHeight="12.75"/>
  <cols>
    <col min="1" max="2" width="10" style="477" customWidth="1"/>
    <col min="3" max="3" width="20.7109375" style="406" customWidth="1"/>
    <col min="4" max="9" width="20.7109375" style="477" customWidth="1"/>
    <col min="10" max="16384" width="9.140625" style="477"/>
  </cols>
  <sheetData>
    <row r="1" spans="1:9" ht="19.5" customHeight="1">
      <c r="A1" s="1184" t="s">
        <v>1588</v>
      </c>
      <c r="B1" s="991"/>
      <c r="C1" s="1169"/>
      <c r="D1" s="476"/>
      <c r="E1" s="476"/>
      <c r="F1" s="476"/>
      <c r="G1" s="476"/>
      <c r="H1" s="476"/>
      <c r="I1" s="476"/>
    </row>
    <row r="2" spans="1:9" ht="18">
      <c r="A2" s="1184" t="s">
        <v>1508</v>
      </c>
      <c r="B2" s="991"/>
      <c r="C2" s="1169"/>
      <c r="D2" s="476"/>
      <c r="E2" s="476"/>
      <c r="F2" s="476"/>
      <c r="G2" s="476"/>
      <c r="H2" s="476"/>
      <c r="I2" s="476"/>
    </row>
    <row r="3" spans="1:9" ht="16.5">
      <c r="A3" s="1185" t="s">
        <v>1509</v>
      </c>
      <c r="B3" s="519"/>
      <c r="C3" s="1169"/>
      <c r="D3" s="476"/>
      <c r="E3" s="476"/>
      <c r="F3" s="476"/>
      <c r="G3" s="476"/>
      <c r="H3" s="476"/>
      <c r="I3" s="476"/>
    </row>
    <row r="4" spans="1:9" ht="16.5" hidden="1">
      <c r="A4" s="1185"/>
      <c r="B4" s="519"/>
      <c r="C4" s="1169"/>
      <c r="D4" s="476"/>
      <c r="E4" s="476"/>
      <c r="F4" s="476"/>
      <c r="G4" s="476"/>
      <c r="H4" s="476"/>
      <c r="I4" s="476"/>
    </row>
    <row r="5" spans="1:9" ht="16.5" hidden="1">
      <c r="A5" s="1185"/>
      <c r="B5" s="519"/>
      <c r="C5" s="1169"/>
      <c r="D5" s="476"/>
      <c r="E5" s="476"/>
      <c r="F5" s="476"/>
      <c r="G5" s="476"/>
      <c r="H5" s="476"/>
      <c r="I5" s="476"/>
    </row>
    <row r="6" spans="1:9" ht="16.5" hidden="1">
      <c r="A6" s="1185"/>
      <c r="B6" s="519"/>
      <c r="C6" s="1169"/>
      <c r="D6" s="476"/>
      <c r="E6" s="476"/>
      <c r="F6" s="476"/>
      <c r="G6" s="476"/>
      <c r="H6" s="476"/>
      <c r="I6" s="476"/>
    </row>
    <row r="7" spans="1:9" ht="16.5">
      <c r="A7" s="1185" t="s">
        <v>1510</v>
      </c>
      <c r="B7" s="519"/>
      <c r="C7" s="1169"/>
      <c r="D7" s="476"/>
      <c r="E7" s="476"/>
      <c r="F7" s="476"/>
      <c r="G7" s="476"/>
      <c r="H7" s="476"/>
      <c r="I7" s="476"/>
    </row>
    <row r="8" spans="1:9" s="480" customFormat="1" ht="14.85" customHeight="1">
      <c r="A8" s="558" t="s">
        <v>1511</v>
      </c>
      <c r="B8" s="478"/>
      <c r="I8" s="589" t="s">
        <v>1512</v>
      </c>
    </row>
    <row r="9" spans="1:9" ht="15">
      <c r="A9" s="560"/>
      <c r="B9" s="561"/>
      <c r="C9" s="522" t="s">
        <v>1513</v>
      </c>
      <c r="D9" s="745"/>
      <c r="E9" s="746"/>
      <c r="F9" s="746"/>
      <c r="G9" s="746"/>
      <c r="H9" s="746"/>
      <c r="I9" s="746"/>
    </row>
    <row r="10" spans="1:9" ht="15">
      <c r="A10" s="565" t="s">
        <v>364</v>
      </c>
      <c r="B10" s="566"/>
      <c r="C10" s="1095" t="s">
        <v>1514</v>
      </c>
      <c r="D10" s="567" t="s">
        <v>1490</v>
      </c>
      <c r="E10" s="567" t="s">
        <v>1491</v>
      </c>
      <c r="F10" s="567" t="s">
        <v>1280</v>
      </c>
      <c r="G10" s="567" t="s">
        <v>1492</v>
      </c>
      <c r="H10" s="568" t="s">
        <v>551</v>
      </c>
      <c r="I10" s="568" t="s">
        <v>1493</v>
      </c>
    </row>
    <row r="11" spans="1:9" ht="15">
      <c r="A11" s="526" t="s">
        <v>372</v>
      </c>
      <c r="B11" s="566"/>
      <c r="C11" s="529" t="s">
        <v>1515</v>
      </c>
      <c r="D11" s="747" t="s">
        <v>1497</v>
      </c>
      <c r="E11" s="528" t="s">
        <v>1498</v>
      </c>
      <c r="F11" s="528" t="s">
        <v>1499</v>
      </c>
      <c r="G11" s="528" t="s">
        <v>1500</v>
      </c>
      <c r="H11" s="529" t="s">
        <v>1501</v>
      </c>
      <c r="I11" s="529" t="s">
        <v>1502</v>
      </c>
    </row>
    <row r="12" spans="1:9" ht="15">
      <c r="A12" s="590"/>
      <c r="B12" s="591"/>
      <c r="C12" s="572" t="s">
        <v>1460</v>
      </c>
      <c r="D12" s="571" t="s">
        <v>391</v>
      </c>
      <c r="E12" s="571"/>
      <c r="F12" s="571"/>
      <c r="G12" s="571"/>
      <c r="H12" s="572"/>
      <c r="I12" s="572" t="s">
        <v>1506</v>
      </c>
    </row>
    <row r="13" spans="1:9" s="579" customFormat="1" ht="21.2" customHeight="1">
      <c r="A13" s="432">
        <v>2010</v>
      </c>
      <c r="B13" s="742"/>
      <c r="C13" s="543">
        <v>1432.26</v>
      </c>
      <c r="D13" s="543">
        <v>2005.59</v>
      </c>
      <c r="E13" s="543">
        <v>978.79</v>
      </c>
      <c r="F13" s="543">
        <v>1922.94</v>
      </c>
      <c r="G13" s="543">
        <v>1405.3</v>
      </c>
      <c r="H13" s="543">
        <v>1440.05</v>
      </c>
      <c r="I13" s="543">
        <v>4010.8</v>
      </c>
    </row>
    <row r="14" spans="1:9" s="579" customFormat="1" ht="16.5" customHeight="1">
      <c r="A14" s="432">
        <v>2011</v>
      </c>
      <c r="B14" s="742"/>
      <c r="C14" s="543">
        <v>1143.69</v>
      </c>
      <c r="D14" s="543">
        <v>1814.05</v>
      </c>
      <c r="E14" s="543">
        <v>697.3</v>
      </c>
      <c r="F14" s="543">
        <v>1852.03</v>
      </c>
      <c r="G14" s="543">
        <v>1148.99</v>
      </c>
      <c r="H14" s="543">
        <v>1055.17</v>
      </c>
      <c r="I14" s="543">
        <v>3573.71</v>
      </c>
    </row>
    <row r="15" spans="1:9" s="579" customFormat="1" ht="16.5" customHeight="1">
      <c r="A15" s="432">
        <v>2012</v>
      </c>
      <c r="B15" s="742"/>
      <c r="C15" s="543">
        <v>1065.6099999999999</v>
      </c>
      <c r="D15" s="543">
        <v>1792.2</v>
      </c>
      <c r="E15" s="543">
        <v>646.20000000000005</v>
      </c>
      <c r="F15" s="543">
        <v>1718.03</v>
      </c>
      <c r="G15" s="543">
        <v>1242.75</v>
      </c>
      <c r="H15" s="543">
        <v>696.26</v>
      </c>
      <c r="I15" s="543">
        <v>3468.87</v>
      </c>
    </row>
    <row r="16" spans="1:9" s="579" customFormat="1" ht="16.5" customHeight="1">
      <c r="A16" s="432">
        <v>2013</v>
      </c>
      <c r="B16" s="742"/>
      <c r="C16" s="543">
        <v>1248.8599999999999</v>
      </c>
      <c r="D16" s="543">
        <v>2456.44</v>
      </c>
      <c r="E16" s="543">
        <v>650.69000000000005</v>
      </c>
      <c r="F16" s="543">
        <v>1876.33</v>
      </c>
      <c r="G16" s="543">
        <v>1206.77</v>
      </c>
      <c r="H16" s="543">
        <v>824.47</v>
      </c>
      <c r="I16" s="543" t="s">
        <v>1516</v>
      </c>
    </row>
    <row r="17" spans="1:20" s="579" customFormat="1" ht="16.5" customHeight="1">
      <c r="A17" s="432">
        <v>2014</v>
      </c>
      <c r="B17" s="742"/>
      <c r="C17" s="543">
        <v>1426.57</v>
      </c>
      <c r="D17" s="543">
        <v>2721.17</v>
      </c>
      <c r="E17" s="543">
        <v>842.14</v>
      </c>
      <c r="F17" s="543">
        <v>1844.71</v>
      </c>
      <c r="G17" s="543">
        <v>1385.97</v>
      </c>
      <c r="H17" s="543">
        <v>830.93</v>
      </c>
      <c r="I17" s="543">
        <v>3687.62</v>
      </c>
    </row>
    <row r="18" spans="1:20" s="579" customFormat="1" ht="16.5" customHeight="1">
      <c r="A18" s="432">
        <v>2015</v>
      </c>
      <c r="B18" s="742"/>
      <c r="C18" s="543">
        <v>1215.8900000000001</v>
      </c>
      <c r="D18" s="543">
        <v>2461.8200000000002</v>
      </c>
      <c r="E18" s="543">
        <v>613.84</v>
      </c>
      <c r="F18" s="543">
        <v>1653.62</v>
      </c>
      <c r="G18" s="543">
        <v>1361.73</v>
      </c>
      <c r="H18" s="543">
        <v>606.13</v>
      </c>
      <c r="I18" s="543">
        <v>3779.18</v>
      </c>
    </row>
    <row r="19" spans="1:20" s="579" customFormat="1" ht="16.5" customHeight="1">
      <c r="A19" s="432">
        <v>2016</v>
      </c>
      <c r="B19" s="742"/>
      <c r="C19" s="543">
        <v>1220.45</v>
      </c>
      <c r="D19" s="543">
        <v>2481.7800000000002</v>
      </c>
      <c r="E19" s="543">
        <v>686.24</v>
      </c>
      <c r="F19" s="543">
        <v>1585.63</v>
      </c>
      <c r="G19" s="543">
        <v>1248.8900000000001</v>
      </c>
      <c r="H19" s="543">
        <v>524.33000000000004</v>
      </c>
      <c r="I19" s="543">
        <v>3237.54</v>
      </c>
    </row>
    <row r="20" spans="1:20" s="579" customFormat="1" ht="16.5" customHeight="1">
      <c r="A20" s="432">
        <v>2017</v>
      </c>
      <c r="B20" s="742"/>
      <c r="C20" s="543">
        <v>1331.71</v>
      </c>
      <c r="D20" s="543">
        <v>2772.59</v>
      </c>
      <c r="E20" s="543">
        <v>680.22</v>
      </c>
      <c r="F20" s="543">
        <v>1645.81</v>
      </c>
      <c r="G20" s="543">
        <v>1078.6300000000001</v>
      </c>
      <c r="H20" s="543">
        <v>986.54</v>
      </c>
      <c r="I20" s="543">
        <v>2940.32</v>
      </c>
      <c r="J20" s="877"/>
    </row>
    <row r="21" spans="1:20" s="579" customFormat="1" ht="16.5" customHeight="1">
      <c r="A21" s="432">
        <v>2018</v>
      </c>
      <c r="B21" s="744"/>
      <c r="C21" s="543">
        <v>1337.26</v>
      </c>
      <c r="D21" s="543">
        <v>2769.81</v>
      </c>
      <c r="E21" s="543">
        <v>669.88</v>
      </c>
      <c r="F21" s="543">
        <v>1619.89</v>
      </c>
      <c r="G21" s="543">
        <v>1216.27</v>
      </c>
      <c r="H21" s="543">
        <v>960.84</v>
      </c>
      <c r="I21" s="543">
        <v>2677.69</v>
      </c>
      <c r="J21" s="1186"/>
      <c r="K21" s="1044"/>
      <c r="L21" s="1044"/>
      <c r="M21" s="1044"/>
      <c r="N21" s="1044"/>
    </row>
    <row r="22" spans="1:20" s="579" customFormat="1" ht="16.5" customHeight="1">
      <c r="A22" s="851">
        <v>2019</v>
      </c>
      <c r="B22" s="920"/>
      <c r="C22" s="917">
        <v>1610.18</v>
      </c>
      <c r="D22" s="917">
        <v>3947.61</v>
      </c>
      <c r="E22" s="917">
        <v>703.64</v>
      </c>
      <c r="F22" s="917">
        <v>1458.28</v>
      </c>
      <c r="G22" s="917">
        <v>1439.63</v>
      </c>
      <c r="H22" s="917">
        <v>674.05</v>
      </c>
      <c r="I22" s="917">
        <v>2336.09</v>
      </c>
      <c r="J22" s="1186"/>
      <c r="K22" s="1044"/>
      <c r="L22" s="1044"/>
      <c r="M22" s="1044"/>
      <c r="N22" s="1044"/>
    </row>
    <row r="23" spans="1:20" s="579" customFormat="1" ht="21" customHeight="1">
      <c r="A23" s="432">
        <v>2018</v>
      </c>
      <c r="B23" s="744" t="s">
        <v>223</v>
      </c>
      <c r="C23" s="543">
        <v>1310.99</v>
      </c>
      <c r="D23" s="543">
        <v>2619.7199999999998</v>
      </c>
      <c r="E23" s="543">
        <v>680.3</v>
      </c>
      <c r="F23" s="543">
        <v>1733.23</v>
      </c>
      <c r="G23" s="543">
        <v>1146.0899999999999</v>
      </c>
      <c r="H23" s="543">
        <v>1017.07</v>
      </c>
      <c r="I23" s="543">
        <v>2940.32</v>
      </c>
      <c r="J23" s="1044"/>
      <c r="K23" s="1044"/>
      <c r="L23" s="1044"/>
      <c r="M23" s="1044"/>
      <c r="N23" s="1044"/>
    </row>
    <row r="24" spans="1:20" s="579" customFormat="1" ht="16.5" customHeight="1">
      <c r="A24" s="743"/>
      <c r="B24" s="744" t="s">
        <v>224</v>
      </c>
      <c r="C24" s="543">
        <v>1338.55</v>
      </c>
      <c r="D24" s="543">
        <v>2753.03</v>
      </c>
      <c r="E24" s="543">
        <v>686.62</v>
      </c>
      <c r="F24" s="543">
        <v>1659.31</v>
      </c>
      <c r="G24" s="543">
        <v>1142.9000000000001</v>
      </c>
      <c r="H24" s="543">
        <v>985.37</v>
      </c>
      <c r="I24" s="543">
        <v>2899.91</v>
      </c>
      <c r="J24" s="1186"/>
      <c r="K24" s="1044"/>
      <c r="L24" s="1044"/>
      <c r="M24" s="1044"/>
      <c r="N24" s="1044"/>
    </row>
    <row r="25" spans="1:20" s="579" customFormat="1" ht="16.5" customHeight="1">
      <c r="A25" s="743"/>
      <c r="B25" s="744" t="s">
        <v>225</v>
      </c>
      <c r="C25" s="543">
        <v>1337.26</v>
      </c>
      <c r="D25" s="543">
        <v>2769.81</v>
      </c>
      <c r="E25" s="543">
        <v>669.88</v>
      </c>
      <c r="F25" s="543">
        <v>1619.89</v>
      </c>
      <c r="G25" s="543">
        <v>1216.27</v>
      </c>
      <c r="H25" s="543">
        <v>960.84</v>
      </c>
      <c r="I25" s="543">
        <v>2677.69</v>
      </c>
      <c r="J25" s="1186"/>
      <c r="K25" s="1044"/>
      <c r="L25" s="1044"/>
      <c r="M25" s="1044"/>
      <c r="N25" s="1044"/>
    </row>
    <row r="26" spans="1:20" s="1044" customFormat="1" ht="21.2" customHeight="1">
      <c r="A26" s="432">
        <v>2019</v>
      </c>
      <c r="B26" s="744" t="s">
        <v>222</v>
      </c>
      <c r="C26" s="543">
        <v>1413.32</v>
      </c>
      <c r="D26" s="543">
        <v>3179.53</v>
      </c>
      <c r="E26" s="543">
        <v>690.58</v>
      </c>
      <c r="F26" s="543">
        <v>1624.29</v>
      </c>
      <c r="G26" s="543">
        <v>1293.06</v>
      </c>
      <c r="H26" s="543">
        <v>693.79</v>
      </c>
      <c r="I26" s="543">
        <v>2628.45</v>
      </c>
      <c r="J26" s="1186"/>
      <c r="O26" s="579"/>
      <c r="P26" s="579"/>
      <c r="Q26" s="579"/>
      <c r="R26" s="579"/>
      <c r="S26" s="579"/>
      <c r="T26" s="579"/>
    </row>
    <row r="27" spans="1:20" s="1044" customFormat="1" ht="17.25" customHeight="1">
      <c r="A27" s="432"/>
      <c r="B27" s="744" t="s">
        <v>223</v>
      </c>
      <c r="C27" s="543">
        <v>1471.04</v>
      </c>
      <c r="D27" s="543">
        <v>3380.38</v>
      </c>
      <c r="E27" s="543">
        <v>706.75</v>
      </c>
      <c r="F27" s="543">
        <v>1394.08</v>
      </c>
      <c r="G27" s="543">
        <v>1364.53</v>
      </c>
      <c r="H27" s="543">
        <v>680.4</v>
      </c>
      <c r="I27" s="543">
        <v>2491.12</v>
      </c>
      <c r="J27" s="1186"/>
      <c r="O27" s="579"/>
      <c r="P27" s="579"/>
      <c r="Q27" s="579"/>
      <c r="R27" s="579"/>
      <c r="S27" s="579"/>
      <c r="T27" s="579"/>
    </row>
    <row r="28" spans="1:20" s="1044" customFormat="1" ht="17.25" customHeight="1">
      <c r="A28" s="432"/>
      <c r="B28" s="744" t="s">
        <v>224</v>
      </c>
      <c r="C28" s="543">
        <v>1516.53</v>
      </c>
      <c r="D28" s="543">
        <v>3537.67</v>
      </c>
      <c r="E28" s="543">
        <v>702.48</v>
      </c>
      <c r="F28" s="543">
        <v>1385.94</v>
      </c>
      <c r="G28" s="543">
        <v>1425.62</v>
      </c>
      <c r="H28" s="543">
        <v>706.87</v>
      </c>
      <c r="I28" s="543">
        <v>2378.12</v>
      </c>
      <c r="J28" s="1186"/>
      <c r="O28" s="579"/>
      <c r="P28" s="579"/>
      <c r="Q28" s="579"/>
      <c r="R28" s="579"/>
      <c r="S28" s="579"/>
      <c r="T28" s="579"/>
    </row>
    <row r="29" spans="1:20" s="1044" customFormat="1" ht="17.25" customHeight="1">
      <c r="A29" s="432"/>
      <c r="B29" s="744" t="s">
        <v>225</v>
      </c>
      <c r="C29" s="543">
        <v>1610.18</v>
      </c>
      <c r="D29" s="543">
        <v>3947.61</v>
      </c>
      <c r="E29" s="543">
        <v>703.64</v>
      </c>
      <c r="F29" s="543">
        <v>1458.28</v>
      </c>
      <c r="G29" s="543">
        <v>1439.63</v>
      </c>
      <c r="H29" s="543">
        <v>674.05</v>
      </c>
      <c r="I29" s="543">
        <v>2336.09</v>
      </c>
      <c r="J29" s="1186"/>
      <c r="O29" s="579"/>
      <c r="P29" s="579"/>
      <c r="Q29" s="579"/>
      <c r="R29" s="579"/>
      <c r="S29" s="579"/>
      <c r="T29" s="579"/>
    </row>
    <row r="30" spans="1:20" s="1044" customFormat="1" ht="21" customHeight="1">
      <c r="A30" s="851">
        <v>2020</v>
      </c>
      <c r="B30" s="920" t="s">
        <v>222</v>
      </c>
      <c r="C30" s="917">
        <v>1350.62</v>
      </c>
      <c r="D30" s="917">
        <v>3103.75</v>
      </c>
      <c r="E30" s="917">
        <v>626.26</v>
      </c>
      <c r="F30" s="917">
        <v>1545.39</v>
      </c>
      <c r="G30" s="917">
        <v>1340.85</v>
      </c>
      <c r="H30" s="917">
        <v>597.01</v>
      </c>
      <c r="I30" s="917">
        <v>2188.75</v>
      </c>
      <c r="J30" s="1186"/>
      <c r="O30" s="579"/>
      <c r="P30" s="579"/>
      <c r="Q30" s="579"/>
      <c r="R30" s="579"/>
      <c r="S30" s="579"/>
      <c r="T30" s="579"/>
    </row>
    <row r="31" spans="1:20" s="1044" customFormat="1" ht="21.2" customHeight="1">
      <c r="A31" s="432">
        <v>2019</v>
      </c>
      <c r="B31" s="744" t="s">
        <v>399</v>
      </c>
      <c r="C31" s="543">
        <v>1433.92</v>
      </c>
      <c r="D31" s="543">
        <v>3255.96</v>
      </c>
      <c r="E31" s="543">
        <v>700.92</v>
      </c>
      <c r="F31" s="543">
        <v>1414.28</v>
      </c>
      <c r="G31" s="543">
        <v>1290.5899999999999</v>
      </c>
      <c r="H31" s="543">
        <v>714.96</v>
      </c>
      <c r="I31" s="543">
        <v>2418.48</v>
      </c>
      <c r="J31" s="795">
        <f>C31-'50'!H31</f>
        <v>0</v>
      </c>
    </row>
    <row r="32" spans="1:20" s="1044" customFormat="1" ht="16.5" customHeight="1">
      <c r="A32" s="432"/>
      <c r="B32" s="744" t="s">
        <v>400</v>
      </c>
      <c r="C32" s="543">
        <v>1433.52</v>
      </c>
      <c r="D32" s="543">
        <v>3251.73</v>
      </c>
      <c r="E32" s="543">
        <v>706.14</v>
      </c>
      <c r="F32" s="543">
        <v>1401.96</v>
      </c>
      <c r="G32" s="543">
        <v>1318.08</v>
      </c>
      <c r="H32" s="543">
        <v>677.26</v>
      </c>
      <c r="I32" s="543">
        <v>2426.5500000000002</v>
      </c>
      <c r="J32" s="795">
        <f>C32-'50'!H32</f>
        <v>0</v>
      </c>
    </row>
    <row r="33" spans="1:10" s="1044" customFormat="1" ht="16.5" customHeight="1">
      <c r="A33" s="432"/>
      <c r="B33" s="744" t="s">
        <v>401</v>
      </c>
      <c r="C33" s="543">
        <v>1471.04</v>
      </c>
      <c r="D33" s="543">
        <v>3380.38</v>
      </c>
      <c r="E33" s="543">
        <v>706.75</v>
      </c>
      <c r="F33" s="543">
        <v>1394.08</v>
      </c>
      <c r="G33" s="543">
        <v>1364.53</v>
      </c>
      <c r="H33" s="543">
        <v>680.4</v>
      </c>
      <c r="I33" s="543">
        <v>2491.12</v>
      </c>
      <c r="J33" s="795">
        <f>C33-'50'!H33</f>
        <v>0</v>
      </c>
    </row>
    <row r="34" spans="1:10" s="1044" customFormat="1" ht="16.5" customHeight="1">
      <c r="A34" s="432"/>
      <c r="B34" s="744" t="s">
        <v>402</v>
      </c>
      <c r="C34" s="543">
        <v>1547.68</v>
      </c>
      <c r="D34" s="543">
        <v>3654.76</v>
      </c>
      <c r="E34" s="543">
        <v>716.38</v>
      </c>
      <c r="F34" s="543">
        <v>1382.25</v>
      </c>
      <c r="G34" s="543">
        <v>1415.65</v>
      </c>
      <c r="H34" s="543">
        <v>694.54</v>
      </c>
      <c r="I34" s="543">
        <v>2398.3000000000002</v>
      </c>
      <c r="J34" s="795">
        <f>C34-'50'!H34</f>
        <v>0</v>
      </c>
    </row>
    <row r="35" spans="1:10" s="1044" customFormat="1" ht="16.5" customHeight="1">
      <c r="A35" s="432"/>
      <c r="B35" s="744" t="s">
        <v>403</v>
      </c>
      <c r="C35" s="543">
        <v>1533.09</v>
      </c>
      <c r="D35" s="543">
        <v>3610.9</v>
      </c>
      <c r="E35" s="543">
        <v>704.99</v>
      </c>
      <c r="F35" s="543">
        <v>1372.39</v>
      </c>
      <c r="G35" s="543">
        <v>1419.45</v>
      </c>
      <c r="H35" s="543">
        <v>700.82</v>
      </c>
      <c r="I35" s="543">
        <v>2402.34</v>
      </c>
      <c r="J35" s="795">
        <f>C35-'50'!H35</f>
        <v>0</v>
      </c>
    </row>
    <row r="36" spans="1:10" s="1044" customFormat="1" ht="16.5" customHeight="1">
      <c r="A36" s="432"/>
      <c r="B36" s="744" t="s">
        <v>404</v>
      </c>
      <c r="C36" s="543">
        <v>1516.53</v>
      </c>
      <c r="D36" s="543">
        <v>3537.67</v>
      </c>
      <c r="E36" s="543">
        <v>702.48</v>
      </c>
      <c r="F36" s="543">
        <v>1385.94</v>
      </c>
      <c r="G36" s="543">
        <v>1425.62</v>
      </c>
      <c r="H36" s="543">
        <v>706.87</v>
      </c>
      <c r="I36" s="543">
        <v>2378.12</v>
      </c>
      <c r="J36" s="795">
        <f>C36-'50'!H36</f>
        <v>0</v>
      </c>
    </row>
    <row r="37" spans="1:10" s="1044" customFormat="1" ht="16.5" customHeight="1">
      <c r="A37" s="432"/>
      <c r="B37" s="744" t="s">
        <v>405</v>
      </c>
      <c r="C37" s="543">
        <v>1523.27</v>
      </c>
      <c r="D37" s="543">
        <v>3571.17</v>
      </c>
      <c r="E37" s="543">
        <v>703.01</v>
      </c>
      <c r="F37" s="543">
        <v>1387.18</v>
      </c>
      <c r="G37" s="543">
        <v>1445.39</v>
      </c>
      <c r="H37" s="543">
        <v>686.27</v>
      </c>
      <c r="I37" s="543">
        <v>2255.38</v>
      </c>
      <c r="J37" s="795">
        <f>C37-'50'!H37</f>
        <v>0</v>
      </c>
    </row>
    <row r="38" spans="1:10" s="1044" customFormat="1" ht="16.5" customHeight="1">
      <c r="A38" s="432"/>
      <c r="B38" s="744" t="s">
        <v>406</v>
      </c>
      <c r="C38" s="543">
        <v>1526.95</v>
      </c>
      <c r="D38" s="543">
        <v>3588.82</v>
      </c>
      <c r="E38" s="543">
        <v>703.45</v>
      </c>
      <c r="F38" s="543">
        <v>1424.78</v>
      </c>
      <c r="G38" s="543">
        <v>1443.92</v>
      </c>
      <c r="H38" s="543">
        <v>678.42</v>
      </c>
      <c r="I38" s="543">
        <v>2267.4899999999998</v>
      </c>
      <c r="J38" s="795">
        <f>C38-'50'!H38</f>
        <v>0</v>
      </c>
    </row>
    <row r="39" spans="1:10" s="1044" customFormat="1" ht="16.5" customHeight="1">
      <c r="A39" s="432"/>
      <c r="B39" s="744" t="s">
        <v>407</v>
      </c>
      <c r="C39" s="543">
        <v>1610.18</v>
      </c>
      <c r="D39" s="543">
        <v>3947.61</v>
      </c>
      <c r="E39" s="543">
        <v>703.64</v>
      </c>
      <c r="F39" s="543">
        <v>1458.28</v>
      </c>
      <c r="G39" s="543">
        <v>1439.63</v>
      </c>
      <c r="H39" s="543">
        <v>674.05</v>
      </c>
      <c r="I39" s="543">
        <v>2336.09</v>
      </c>
      <c r="J39" s="795">
        <f>C39-'50'!H39</f>
        <v>0</v>
      </c>
    </row>
    <row r="40" spans="1:10" s="1044" customFormat="1" ht="21.2" customHeight="1">
      <c r="A40" s="432">
        <v>2020</v>
      </c>
      <c r="B40" s="744" t="s">
        <v>408</v>
      </c>
      <c r="C40" s="543">
        <v>1657.63</v>
      </c>
      <c r="D40" s="543">
        <v>4111.32</v>
      </c>
      <c r="E40" s="543">
        <v>703.61</v>
      </c>
      <c r="F40" s="543">
        <v>1483.91</v>
      </c>
      <c r="G40" s="543">
        <v>1451.02</v>
      </c>
      <c r="H40" s="543">
        <v>725.82</v>
      </c>
      <c r="I40" s="543">
        <v>2343.98</v>
      </c>
      <c r="J40" s="795">
        <f>C40-'50'!H40</f>
        <v>0</v>
      </c>
    </row>
    <row r="41" spans="1:10" s="1044" customFormat="1" ht="16.5" customHeight="1">
      <c r="A41" s="1085"/>
      <c r="B41" s="744" t="s">
        <v>409</v>
      </c>
      <c r="C41" s="543">
        <v>1660.48</v>
      </c>
      <c r="D41" s="543">
        <v>4115.62</v>
      </c>
      <c r="E41" s="543">
        <v>702.94</v>
      </c>
      <c r="F41" s="543">
        <v>1539.23</v>
      </c>
      <c r="G41" s="543">
        <v>1482.97</v>
      </c>
      <c r="H41" s="543">
        <v>713.25</v>
      </c>
      <c r="I41" s="543">
        <v>2201.0500000000002</v>
      </c>
      <c r="J41" s="795">
        <f>C41-'50'!H41</f>
        <v>0</v>
      </c>
    </row>
    <row r="42" spans="1:10" s="1044" customFormat="1" ht="16.5" customHeight="1">
      <c r="A42" s="1085"/>
      <c r="B42" s="744" t="s">
        <v>398</v>
      </c>
      <c r="C42" s="543">
        <v>1350.62</v>
      </c>
      <c r="D42" s="543">
        <v>3103.75</v>
      </c>
      <c r="E42" s="543">
        <v>626.26</v>
      </c>
      <c r="F42" s="543">
        <v>1545.39</v>
      </c>
      <c r="G42" s="543">
        <v>1340.85</v>
      </c>
      <c r="H42" s="543">
        <v>597.01</v>
      </c>
      <c r="I42" s="543">
        <v>2188.75</v>
      </c>
      <c r="J42" s="795">
        <f>C42-'50'!H42</f>
        <v>0</v>
      </c>
    </row>
    <row r="43" spans="1:10" s="1044" customFormat="1" ht="16.5" customHeight="1">
      <c r="A43" s="1085"/>
      <c r="B43" s="744" t="s">
        <v>399</v>
      </c>
      <c r="C43" s="543">
        <v>1310.73</v>
      </c>
      <c r="D43" s="543">
        <v>3015.47</v>
      </c>
      <c r="E43" s="543">
        <v>601.84</v>
      </c>
      <c r="F43" s="543">
        <v>1501.05</v>
      </c>
      <c r="G43" s="543">
        <v>1350.02</v>
      </c>
      <c r="H43" s="543">
        <v>543.6</v>
      </c>
      <c r="I43" s="543">
        <v>2188.75</v>
      </c>
      <c r="J43" s="795">
        <f>C43-'50'!H43</f>
        <v>0</v>
      </c>
    </row>
    <row r="44" spans="1:10" ht="18" customHeight="1">
      <c r="A44" s="583" t="s">
        <v>1482</v>
      </c>
      <c r="B44" s="495"/>
      <c r="C44" s="495"/>
      <c r="D44" s="495"/>
      <c r="E44" s="495"/>
      <c r="F44" s="495"/>
      <c r="G44" s="495"/>
      <c r="H44" s="495"/>
      <c r="I44" s="584" t="s">
        <v>1483</v>
      </c>
    </row>
    <row r="48" spans="1:10" ht="14.25">
      <c r="A48" s="557" t="s">
        <v>1517</v>
      </c>
      <c r="B48" s="476"/>
      <c r="C48" s="1169"/>
      <c r="D48" s="476"/>
      <c r="E48" s="476"/>
      <c r="F48" s="476"/>
      <c r="G48" s="476"/>
      <c r="H48" s="476"/>
      <c r="I48" s="476"/>
    </row>
  </sheetData>
  <printOptions horizontalCentered="1" verticalCentered="1"/>
  <pageMargins left="0" right="0" top="0.39" bottom="0" header="0.3" footer="0.3"/>
  <pageSetup scale="77" fitToWidth="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2"/>
  <dimension ref="A1:J41"/>
  <sheetViews>
    <sheetView zoomScale="70" zoomScaleNormal="70" workbookViewId="0">
      <pane ySplit="9" topLeftCell="A23" activePane="bottomLeft" state="frozen"/>
      <selection activeCell="A49" sqref="A1:XFD1048576"/>
      <selection pane="bottomLeft" activeCell="A49" sqref="A1:XFD1048576"/>
    </sheetView>
  </sheetViews>
  <sheetFormatPr defaultColWidth="9.140625" defaultRowHeight="12.75"/>
  <cols>
    <col min="1" max="2" width="9.7109375" style="477" customWidth="1"/>
    <col min="3" max="4" width="17.7109375" style="477" customWidth="1"/>
    <col min="5" max="6" width="18.85546875" style="477" customWidth="1"/>
    <col min="7" max="9" width="17.7109375" style="477" customWidth="1"/>
    <col min="10" max="10" width="18.7109375" style="477" customWidth="1"/>
    <col min="11" max="16384" width="9.140625" style="477"/>
  </cols>
  <sheetData>
    <row r="1" spans="1:10" s="1168" customFormat="1" ht="19.5" customHeight="1">
      <c r="A1" s="991" t="s">
        <v>1586</v>
      </c>
      <c r="B1" s="991"/>
      <c r="C1" s="991"/>
      <c r="D1" s="991"/>
      <c r="E1" s="991"/>
      <c r="F1" s="991"/>
      <c r="G1" s="991"/>
      <c r="H1" s="991"/>
      <c r="I1" s="991"/>
      <c r="J1" s="991"/>
    </row>
    <row r="2" spans="1:10" s="1168" customFormat="1" ht="19.5" customHeight="1">
      <c r="A2" s="991" t="s">
        <v>1518</v>
      </c>
      <c r="B2" s="991"/>
      <c r="C2" s="991"/>
      <c r="D2" s="991"/>
      <c r="E2" s="991"/>
      <c r="F2" s="991"/>
      <c r="G2" s="991"/>
      <c r="H2" s="991"/>
      <c r="I2" s="991"/>
      <c r="J2" s="1169"/>
    </row>
    <row r="3" spans="1:10" s="1168" customFormat="1" ht="19.5" customHeight="1">
      <c r="A3" s="991" t="s">
        <v>1519</v>
      </c>
      <c r="B3" s="1170"/>
      <c r="C3" s="1170"/>
      <c r="D3" s="1170"/>
      <c r="E3" s="1170"/>
      <c r="F3" s="1170"/>
      <c r="G3" s="1170"/>
      <c r="H3" s="1170"/>
      <c r="I3" s="1170"/>
      <c r="J3" s="1170"/>
    </row>
    <row r="4" spans="1:10" s="1172" customFormat="1" ht="14.85" customHeight="1">
      <c r="A4" s="992"/>
      <c r="B4" s="992"/>
      <c r="C4" s="1171"/>
      <c r="D4" s="1171"/>
      <c r="E4" s="1171"/>
      <c r="F4" s="1171"/>
      <c r="G4" s="1171"/>
      <c r="H4" s="1171"/>
      <c r="I4" s="1171"/>
      <c r="J4" s="1171"/>
    </row>
    <row r="5" spans="1:10" s="592" customFormat="1" ht="20.25" customHeight="1">
      <c r="A5" s="1173"/>
      <c r="B5" s="1174"/>
      <c r="C5" s="1175" t="s">
        <v>1520</v>
      </c>
      <c r="D5" s="1176"/>
      <c r="E5" s="1176"/>
      <c r="F5" s="1177"/>
      <c r="G5" s="1178" t="s">
        <v>1521</v>
      </c>
      <c r="H5" s="1176"/>
      <c r="I5" s="1177"/>
      <c r="J5" s="482" t="s">
        <v>1522</v>
      </c>
    </row>
    <row r="6" spans="1:10" s="592" customFormat="1" ht="20.25" customHeight="1">
      <c r="A6" s="593" t="s">
        <v>1446</v>
      </c>
      <c r="B6" s="594"/>
      <c r="C6" s="595" t="s">
        <v>1523</v>
      </c>
      <c r="D6" s="596"/>
      <c r="E6" s="596"/>
      <c r="F6" s="597"/>
      <c r="G6" s="595" t="s">
        <v>1524</v>
      </c>
      <c r="H6" s="596"/>
      <c r="I6" s="596"/>
      <c r="J6" s="1179" t="s">
        <v>1525</v>
      </c>
    </row>
    <row r="7" spans="1:10" s="592" customFormat="1" ht="20.25" customHeight="1">
      <c r="A7" s="593" t="s">
        <v>1454</v>
      </c>
      <c r="B7" s="594"/>
      <c r="C7" s="1180" t="s">
        <v>914</v>
      </c>
      <c r="D7" s="1180" t="s">
        <v>1526</v>
      </c>
      <c r="E7" s="1180" t="s">
        <v>1527</v>
      </c>
      <c r="F7" s="1180" t="s">
        <v>367</v>
      </c>
      <c r="G7" s="1180" t="s">
        <v>914</v>
      </c>
      <c r="H7" s="1180" t="s">
        <v>1526</v>
      </c>
      <c r="I7" s="1181" t="s">
        <v>1527</v>
      </c>
      <c r="J7" s="1179" t="s">
        <v>1587</v>
      </c>
    </row>
    <row r="8" spans="1:10" s="592" customFormat="1" ht="20.25" customHeight="1">
      <c r="A8" s="598"/>
      <c r="B8" s="599"/>
      <c r="C8" s="2241" t="s">
        <v>947</v>
      </c>
      <c r="D8" s="2241" t="s">
        <v>920</v>
      </c>
      <c r="E8" s="2241" t="s">
        <v>994</v>
      </c>
      <c r="F8" s="2241" t="s">
        <v>378</v>
      </c>
      <c r="G8" s="2241" t="s">
        <v>947</v>
      </c>
      <c r="H8" s="2241" t="s">
        <v>920</v>
      </c>
      <c r="I8" s="2241" t="s">
        <v>994</v>
      </c>
      <c r="J8" s="1180" t="s">
        <v>1528</v>
      </c>
    </row>
    <row r="9" spans="1:10" s="592" customFormat="1" ht="20.25" customHeight="1">
      <c r="A9" s="598"/>
      <c r="B9" s="600"/>
      <c r="C9" s="2242"/>
      <c r="D9" s="2242"/>
      <c r="E9" s="2242"/>
      <c r="F9" s="2242"/>
      <c r="G9" s="2242"/>
      <c r="H9" s="2242"/>
      <c r="I9" s="2242"/>
      <c r="J9" s="1182" t="s">
        <v>758</v>
      </c>
    </row>
    <row r="10" spans="1:10" s="550" customFormat="1" ht="20.25" customHeight="1">
      <c r="A10" s="432">
        <v>2010</v>
      </c>
      <c r="B10" s="551"/>
      <c r="C10" s="548">
        <v>150118</v>
      </c>
      <c r="D10" s="548">
        <v>38770</v>
      </c>
      <c r="E10" s="548">
        <v>27934</v>
      </c>
      <c r="F10" s="548">
        <v>216822</v>
      </c>
      <c r="G10" s="549">
        <v>54.28</v>
      </c>
      <c r="H10" s="549">
        <v>36.17</v>
      </c>
      <c r="I10" s="549">
        <v>9.5500000000000007</v>
      </c>
      <c r="J10" s="542">
        <v>26369253</v>
      </c>
    </row>
    <row r="11" spans="1:10" s="550" customFormat="1" ht="16.5" customHeight="1">
      <c r="A11" s="432">
        <v>2011</v>
      </c>
      <c r="B11" s="551"/>
      <c r="C11" s="548">
        <v>117728</v>
      </c>
      <c r="D11" s="548">
        <v>63185</v>
      </c>
      <c r="E11" s="548">
        <v>29020</v>
      </c>
      <c r="F11" s="548">
        <v>209932</v>
      </c>
      <c r="G11" s="549">
        <v>52.44</v>
      </c>
      <c r="H11" s="549">
        <v>37.409999999999997</v>
      </c>
      <c r="I11" s="549">
        <v>10.16</v>
      </c>
      <c r="J11" s="542">
        <v>26170836</v>
      </c>
    </row>
    <row r="12" spans="1:10" s="550" customFormat="1" ht="16.5" customHeight="1">
      <c r="A12" s="432">
        <v>2012</v>
      </c>
      <c r="B12" s="551"/>
      <c r="C12" s="548">
        <v>85683</v>
      </c>
      <c r="D12" s="548">
        <v>72704</v>
      </c>
      <c r="E12" s="548">
        <v>62100</v>
      </c>
      <c r="F12" s="548">
        <v>220487</v>
      </c>
      <c r="G12" s="549">
        <v>33.44</v>
      </c>
      <c r="H12" s="549">
        <v>48.89</v>
      </c>
      <c r="I12" s="549">
        <v>17.670000000000002</v>
      </c>
      <c r="J12" s="542">
        <v>26981522</v>
      </c>
    </row>
    <row r="13" spans="1:10" s="550" customFormat="1" ht="16.5" customHeight="1">
      <c r="A13" s="432">
        <v>2013</v>
      </c>
      <c r="B13" s="551"/>
      <c r="C13" s="548">
        <v>303721</v>
      </c>
      <c r="D13" s="548">
        <v>128687</v>
      </c>
      <c r="E13" s="548">
        <v>19328</v>
      </c>
      <c r="F13" s="548">
        <v>451736</v>
      </c>
      <c r="G13" s="549">
        <v>67.23</v>
      </c>
      <c r="H13" s="549">
        <v>28.49</v>
      </c>
      <c r="I13" s="549">
        <v>4.28</v>
      </c>
      <c r="J13" s="542" t="s">
        <v>606</v>
      </c>
    </row>
    <row r="14" spans="1:10" s="749" customFormat="1" ht="16.5" customHeight="1">
      <c r="A14" s="432">
        <v>2014</v>
      </c>
      <c r="B14" s="748"/>
      <c r="C14" s="548">
        <v>347180</v>
      </c>
      <c r="D14" s="548">
        <v>121701</v>
      </c>
      <c r="E14" s="548">
        <v>69792</v>
      </c>
      <c r="F14" s="548">
        <v>538674</v>
      </c>
      <c r="G14" s="549" t="s">
        <v>606</v>
      </c>
      <c r="H14" s="549" t="s">
        <v>606</v>
      </c>
      <c r="I14" s="549" t="s">
        <v>606</v>
      </c>
      <c r="J14" s="542" t="s">
        <v>606</v>
      </c>
    </row>
    <row r="15" spans="1:10" s="749" customFormat="1" ht="16.5" customHeight="1">
      <c r="A15" s="432">
        <v>2015</v>
      </c>
      <c r="B15" s="748"/>
      <c r="C15" s="548">
        <v>146411</v>
      </c>
      <c r="D15" s="548">
        <v>59530</v>
      </c>
      <c r="E15" s="548">
        <v>14009</v>
      </c>
      <c r="F15" s="548">
        <v>219949</v>
      </c>
      <c r="G15" s="549" t="s">
        <v>606</v>
      </c>
      <c r="H15" s="549" t="s">
        <v>606</v>
      </c>
      <c r="I15" s="549" t="s">
        <v>606</v>
      </c>
      <c r="J15" s="542" t="s">
        <v>606</v>
      </c>
    </row>
    <row r="16" spans="1:10" s="749" customFormat="1" ht="16.5" customHeight="1">
      <c r="A16" s="432">
        <v>2016</v>
      </c>
      <c r="B16" s="748"/>
      <c r="C16" s="548">
        <v>173464.86199999999</v>
      </c>
      <c r="D16" s="548">
        <v>45516.493999999999</v>
      </c>
      <c r="E16" s="548">
        <v>29926.627</v>
      </c>
      <c r="F16" s="548">
        <v>248907.98300000001</v>
      </c>
      <c r="G16" s="549" t="s">
        <v>606</v>
      </c>
      <c r="H16" s="549" t="s">
        <v>1529</v>
      </c>
      <c r="I16" s="549" t="s">
        <v>606</v>
      </c>
      <c r="J16" s="542" t="s">
        <v>606</v>
      </c>
    </row>
    <row r="17" spans="1:10" s="749" customFormat="1" ht="16.5" customHeight="1">
      <c r="A17" s="432">
        <v>2017</v>
      </c>
      <c r="B17" s="748"/>
      <c r="C17" s="548">
        <v>288357</v>
      </c>
      <c r="D17" s="548">
        <v>94549</v>
      </c>
      <c r="E17" s="548">
        <v>39771</v>
      </c>
      <c r="F17" s="548">
        <f>SUM(C17:E17)</f>
        <v>422677</v>
      </c>
      <c r="G17" s="549" t="s">
        <v>606</v>
      </c>
      <c r="H17" s="549" t="s">
        <v>1529</v>
      </c>
      <c r="I17" s="549" t="s">
        <v>606</v>
      </c>
      <c r="J17" s="542" t="s">
        <v>606</v>
      </c>
    </row>
    <row r="18" spans="1:10" s="749" customFormat="1" ht="16.5" customHeight="1">
      <c r="A18" s="432">
        <v>2018</v>
      </c>
      <c r="B18" s="748"/>
      <c r="C18" s="548">
        <v>357427.24830000004</v>
      </c>
      <c r="D18" s="548">
        <v>185370.85699999999</v>
      </c>
      <c r="E18" s="548">
        <v>104867.47100000001</v>
      </c>
      <c r="F18" s="548">
        <v>647665.57630000007</v>
      </c>
      <c r="G18" s="549" t="s">
        <v>606</v>
      </c>
      <c r="H18" s="549" t="s">
        <v>606</v>
      </c>
      <c r="I18" s="549" t="s">
        <v>606</v>
      </c>
      <c r="J18" s="542" t="s">
        <v>606</v>
      </c>
    </row>
    <row r="19" spans="1:10" s="749" customFormat="1" ht="16.5" customHeight="1">
      <c r="A19" s="851">
        <v>2019</v>
      </c>
      <c r="B19" s="852"/>
      <c r="C19" s="915">
        <f>SUM(C32:C35)</f>
        <v>345309</v>
      </c>
      <c r="D19" s="915">
        <f t="shared" ref="D19:E19" si="0">SUM(D32:D35)</f>
        <v>151875</v>
      </c>
      <c r="E19" s="915">
        <f t="shared" si="0"/>
        <v>75628</v>
      </c>
      <c r="F19" s="915">
        <f>SUM(C19:E19)</f>
        <v>572812</v>
      </c>
      <c r="G19" s="853" t="s">
        <v>606</v>
      </c>
      <c r="H19" s="853" t="s">
        <v>606</v>
      </c>
      <c r="I19" s="853" t="s">
        <v>606</v>
      </c>
      <c r="J19" s="914" t="s">
        <v>606</v>
      </c>
    </row>
    <row r="20" spans="1:10" s="523" customFormat="1" ht="20.25" customHeight="1">
      <c r="A20" s="432">
        <v>2016</v>
      </c>
      <c r="B20" s="553" t="s">
        <v>222</v>
      </c>
      <c r="C20" s="548">
        <v>21562</v>
      </c>
      <c r="D20" s="548">
        <v>6204</v>
      </c>
      <c r="E20" s="548">
        <v>8995</v>
      </c>
      <c r="F20" s="548">
        <v>36760</v>
      </c>
      <c r="G20" s="549" t="s">
        <v>606</v>
      </c>
      <c r="H20" s="549" t="s">
        <v>606</v>
      </c>
      <c r="I20" s="549" t="s">
        <v>606</v>
      </c>
      <c r="J20" s="542" t="s">
        <v>606</v>
      </c>
    </row>
    <row r="21" spans="1:10" s="523" customFormat="1" ht="16.5" customHeight="1">
      <c r="A21" s="432"/>
      <c r="B21" s="553" t="s">
        <v>223</v>
      </c>
      <c r="C21" s="548">
        <v>48180</v>
      </c>
      <c r="D21" s="548">
        <v>3670</v>
      </c>
      <c r="E21" s="548">
        <v>3165</v>
      </c>
      <c r="F21" s="548">
        <f>SUM(C21:E21)</f>
        <v>55015</v>
      </c>
      <c r="G21" s="549" t="s">
        <v>606</v>
      </c>
      <c r="H21" s="549" t="s">
        <v>606</v>
      </c>
      <c r="I21" s="549" t="s">
        <v>606</v>
      </c>
      <c r="J21" s="542" t="s">
        <v>606</v>
      </c>
    </row>
    <row r="22" spans="1:10" s="523" customFormat="1" ht="16.5" customHeight="1">
      <c r="A22" s="432"/>
      <c r="B22" s="553" t="s">
        <v>224</v>
      </c>
      <c r="C22" s="548">
        <v>35837</v>
      </c>
      <c r="D22" s="548">
        <v>12707</v>
      </c>
      <c r="E22" s="548">
        <v>14081</v>
      </c>
      <c r="F22" s="548">
        <f>SUM(C22:E22)</f>
        <v>62625</v>
      </c>
      <c r="G22" s="549" t="s">
        <v>606</v>
      </c>
      <c r="H22" s="549" t="s">
        <v>606</v>
      </c>
      <c r="I22" s="549" t="s">
        <v>606</v>
      </c>
      <c r="J22" s="542" t="s">
        <v>606</v>
      </c>
    </row>
    <row r="23" spans="1:10" s="523" customFormat="1" ht="16.5" customHeight="1">
      <c r="A23" s="432"/>
      <c r="B23" s="553" t="s">
        <v>225</v>
      </c>
      <c r="C23" s="548">
        <v>67886.832999999999</v>
      </c>
      <c r="D23" s="548">
        <v>22935.64</v>
      </c>
      <c r="E23" s="548">
        <v>3684.97</v>
      </c>
      <c r="F23" s="548">
        <v>94507.442999999999</v>
      </c>
      <c r="G23" s="549" t="s">
        <v>606</v>
      </c>
      <c r="H23" s="549" t="s">
        <v>606</v>
      </c>
      <c r="I23" s="549" t="s">
        <v>606</v>
      </c>
      <c r="J23" s="542" t="s">
        <v>606</v>
      </c>
    </row>
    <row r="24" spans="1:10" s="523" customFormat="1" ht="20.25" customHeight="1">
      <c r="A24" s="432">
        <v>2017</v>
      </c>
      <c r="B24" s="553" t="s">
        <v>222</v>
      </c>
      <c r="C24" s="548">
        <v>102556</v>
      </c>
      <c r="D24" s="548">
        <v>16416</v>
      </c>
      <c r="E24" s="548">
        <v>12361</v>
      </c>
      <c r="F24" s="548">
        <v>131333</v>
      </c>
      <c r="G24" s="549" t="s">
        <v>606</v>
      </c>
      <c r="H24" s="549" t="s">
        <v>606</v>
      </c>
      <c r="I24" s="549" t="s">
        <v>606</v>
      </c>
      <c r="J24" s="542" t="s">
        <v>606</v>
      </c>
    </row>
    <row r="25" spans="1:10" s="523" customFormat="1" ht="16.5" customHeight="1">
      <c r="A25" s="432"/>
      <c r="B25" s="553" t="s">
        <v>223</v>
      </c>
      <c r="C25" s="548">
        <v>69869</v>
      </c>
      <c r="D25" s="548">
        <v>13920</v>
      </c>
      <c r="E25" s="548">
        <v>11204</v>
      </c>
      <c r="F25" s="548">
        <v>94993</v>
      </c>
      <c r="G25" s="549" t="s">
        <v>606</v>
      </c>
      <c r="H25" s="549" t="s">
        <v>606</v>
      </c>
      <c r="I25" s="549" t="s">
        <v>606</v>
      </c>
      <c r="J25" s="542" t="s">
        <v>606</v>
      </c>
    </row>
    <row r="26" spans="1:10" s="523" customFormat="1" ht="16.5" customHeight="1">
      <c r="A26" s="432"/>
      <c r="B26" s="553" t="s">
        <v>224</v>
      </c>
      <c r="C26" s="548">
        <v>48715</v>
      </c>
      <c r="D26" s="548">
        <v>39463</v>
      </c>
      <c r="E26" s="548">
        <v>10160</v>
      </c>
      <c r="F26" s="548">
        <v>98338</v>
      </c>
      <c r="G26" s="549" t="s">
        <v>606</v>
      </c>
      <c r="H26" s="549" t="s">
        <v>606</v>
      </c>
      <c r="I26" s="549" t="s">
        <v>606</v>
      </c>
      <c r="J26" s="542" t="s">
        <v>606</v>
      </c>
    </row>
    <row r="27" spans="1:10" s="523" customFormat="1" ht="16.5" customHeight="1">
      <c r="A27" s="432"/>
      <c r="B27" s="553" t="s">
        <v>225</v>
      </c>
      <c r="C27" s="548">
        <v>67217</v>
      </c>
      <c r="D27" s="548">
        <v>24751</v>
      </c>
      <c r="E27" s="548">
        <v>6045</v>
      </c>
      <c r="F27" s="548">
        <f>SUM(C27:E27)</f>
        <v>98013</v>
      </c>
      <c r="G27" s="549" t="s">
        <v>606</v>
      </c>
      <c r="H27" s="549" t="s">
        <v>606</v>
      </c>
      <c r="I27" s="549" t="s">
        <v>606</v>
      </c>
      <c r="J27" s="542" t="s">
        <v>606</v>
      </c>
    </row>
    <row r="28" spans="1:10" s="523" customFormat="1" ht="20.25" customHeight="1">
      <c r="A28" s="432">
        <v>2018</v>
      </c>
      <c r="B28" s="553" t="s">
        <v>222</v>
      </c>
      <c r="C28" s="548">
        <v>106259</v>
      </c>
      <c r="D28" s="548">
        <v>39661</v>
      </c>
      <c r="E28" s="548">
        <v>14362</v>
      </c>
      <c r="F28" s="548">
        <f>SUM(C28:E28)</f>
        <v>160282</v>
      </c>
      <c r="G28" s="549" t="s">
        <v>606</v>
      </c>
      <c r="H28" s="549" t="s">
        <v>606</v>
      </c>
      <c r="I28" s="549" t="s">
        <v>606</v>
      </c>
      <c r="J28" s="542" t="s">
        <v>606</v>
      </c>
    </row>
    <row r="29" spans="1:10" s="523" customFormat="1" ht="16.5" customHeight="1">
      <c r="A29" s="432"/>
      <c r="B29" s="553" t="s">
        <v>223</v>
      </c>
      <c r="C29" s="548">
        <v>61927.682000000001</v>
      </c>
      <c r="D29" s="548">
        <v>25064.466</v>
      </c>
      <c r="E29" s="548">
        <v>8478.6380000000008</v>
      </c>
      <c r="F29" s="548">
        <v>95470.786000000007</v>
      </c>
      <c r="G29" s="549" t="s">
        <v>606</v>
      </c>
      <c r="H29" s="549" t="s">
        <v>606</v>
      </c>
      <c r="I29" s="549" t="s">
        <v>606</v>
      </c>
      <c r="J29" s="542" t="s">
        <v>606</v>
      </c>
    </row>
    <row r="30" spans="1:10" s="523" customFormat="1" ht="16.5" customHeight="1">
      <c r="A30" s="432"/>
      <c r="B30" s="553" t="s">
        <v>224</v>
      </c>
      <c r="C30" s="548">
        <v>75527</v>
      </c>
      <c r="D30" s="548">
        <v>40031</v>
      </c>
      <c r="E30" s="548">
        <v>32926</v>
      </c>
      <c r="F30" s="548">
        <v>148484</v>
      </c>
      <c r="G30" s="549" t="s">
        <v>606</v>
      </c>
      <c r="H30" s="549" t="s">
        <v>606</v>
      </c>
      <c r="I30" s="549" t="s">
        <v>606</v>
      </c>
      <c r="J30" s="542" t="s">
        <v>606</v>
      </c>
    </row>
    <row r="31" spans="1:10" s="523" customFormat="1" ht="16.5" customHeight="1">
      <c r="A31" s="432"/>
      <c r="B31" s="553" t="s">
        <v>225</v>
      </c>
      <c r="C31" s="548">
        <v>113713.393</v>
      </c>
      <c r="D31" s="548">
        <v>80614.991999999998</v>
      </c>
      <c r="E31" s="548">
        <v>49100.620999999999</v>
      </c>
      <c r="F31" s="548">
        <v>243429.00599999999</v>
      </c>
      <c r="G31" s="549" t="s">
        <v>606</v>
      </c>
      <c r="H31" s="549" t="s">
        <v>606</v>
      </c>
      <c r="I31" s="549" t="s">
        <v>606</v>
      </c>
      <c r="J31" s="542" t="s">
        <v>606</v>
      </c>
    </row>
    <row r="32" spans="1:10" s="523" customFormat="1" ht="20.25" customHeight="1">
      <c r="A32" s="432">
        <v>2019</v>
      </c>
      <c r="B32" s="553" t="s">
        <v>222</v>
      </c>
      <c r="C32" s="548">
        <v>78817</v>
      </c>
      <c r="D32" s="548">
        <v>54324</v>
      </c>
      <c r="E32" s="548">
        <v>45459</v>
      </c>
      <c r="F32" s="548">
        <v>178600</v>
      </c>
      <c r="G32" s="549" t="s">
        <v>606</v>
      </c>
      <c r="H32" s="549" t="s">
        <v>606</v>
      </c>
      <c r="I32" s="549" t="s">
        <v>606</v>
      </c>
      <c r="J32" s="542" t="s">
        <v>606</v>
      </c>
    </row>
    <row r="33" spans="1:10" s="523" customFormat="1" ht="16.5" customHeight="1">
      <c r="A33" s="432"/>
      <c r="B33" s="553" t="s">
        <v>223</v>
      </c>
      <c r="C33" s="548">
        <v>107392</v>
      </c>
      <c r="D33" s="548">
        <v>47702</v>
      </c>
      <c r="E33" s="548">
        <v>13521</v>
      </c>
      <c r="F33" s="548">
        <f>SUM(C33:E33)+0.1</f>
        <v>168615.1</v>
      </c>
      <c r="G33" s="549" t="s">
        <v>606</v>
      </c>
      <c r="H33" s="549" t="s">
        <v>606</v>
      </c>
      <c r="I33" s="549" t="s">
        <v>606</v>
      </c>
      <c r="J33" s="542" t="s">
        <v>606</v>
      </c>
    </row>
    <row r="34" spans="1:10" s="523" customFormat="1" ht="16.5" customHeight="1">
      <c r="A34" s="432"/>
      <c r="B34" s="553" t="s">
        <v>224</v>
      </c>
      <c r="C34" s="548">
        <v>76287</v>
      </c>
      <c r="D34" s="548">
        <v>26453</v>
      </c>
      <c r="E34" s="548">
        <v>9681</v>
      </c>
      <c r="F34" s="548">
        <f>SUM(C34:E34)</f>
        <v>112421</v>
      </c>
      <c r="G34" s="549" t="s">
        <v>606</v>
      </c>
      <c r="H34" s="549" t="s">
        <v>606</v>
      </c>
      <c r="I34" s="549" t="s">
        <v>606</v>
      </c>
      <c r="J34" s="542" t="s">
        <v>606</v>
      </c>
    </row>
    <row r="35" spans="1:10" s="523" customFormat="1" ht="16.5" customHeight="1">
      <c r="A35" s="432"/>
      <c r="B35" s="553" t="s">
        <v>225</v>
      </c>
      <c r="C35" s="548">
        <v>82813</v>
      </c>
      <c r="D35" s="548">
        <v>23396</v>
      </c>
      <c r="E35" s="548">
        <v>6967</v>
      </c>
      <c r="F35" s="548">
        <f>SUM(C35:E35)</f>
        <v>113176</v>
      </c>
      <c r="G35" s="549" t="s">
        <v>606</v>
      </c>
      <c r="H35" s="549" t="s">
        <v>606</v>
      </c>
      <c r="I35" s="549" t="s">
        <v>606</v>
      </c>
      <c r="J35" s="542" t="s">
        <v>606</v>
      </c>
    </row>
    <row r="36" spans="1:10" s="523" customFormat="1" ht="20.25" customHeight="1">
      <c r="A36" s="432">
        <v>2020</v>
      </c>
      <c r="B36" s="553" t="s">
        <v>222</v>
      </c>
      <c r="C36" s="548">
        <v>96524.79</v>
      </c>
      <c r="D36" s="548">
        <v>19356.217000000001</v>
      </c>
      <c r="E36" s="548">
        <v>11285.346</v>
      </c>
      <c r="F36" s="548">
        <f>SUM(C36:E36)</f>
        <v>127166.353</v>
      </c>
      <c r="G36" s="549" t="s">
        <v>606</v>
      </c>
      <c r="H36" s="549" t="s">
        <v>606</v>
      </c>
      <c r="I36" s="549" t="s">
        <v>606</v>
      </c>
      <c r="J36" s="542" t="s">
        <v>606</v>
      </c>
    </row>
    <row r="37" spans="1:10" ht="21.2" customHeight="1">
      <c r="A37" s="495" t="s">
        <v>1530</v>
      </c>
      <c r="B37" s="495"/>
      <c r="C37" s="495"/>
      <c r="D37" s="495"/>
      <c r="E37" s="495"/>
      <c r="F37" s="495"/>
      <c r="G37" s="495"/>
      <c r="H37" s="495"/>
      <c r="I37" s="495"/>
      <c r="J37" s="618" t="s">
        <v>1531</v>
      </c>
    </row>
    <row r="38" spans="1:10" ht="13.7" customHeight="1">
      <c r="A38" s="619" t="s">
        <v>1532</v>
      </c>
      <c r="J38" s="587" t="s">
        <v>1533</v>
      </c>
    </row>
    <row r="39" spans="1:10" ht="13.7" customHeight="1">
      <c r="A39" s="619" t="s">
        <v>1482</v>
      </c>
      <c r="J39" s="587" t="s">
        <v>1483</v>
      </c>
    </row>
    <row r="40" spans="1:10" ht="13.7" customHeight="1">
      <c r="A40" s="601"/>
      <c r="J40" s="1183"/>
    </row>
    <row r="41" spans="1:10" ht="14.25">
      <c r="A41" s="557" t="s">
        <v>1534</v>
      </c>
      <c r="B41" s="476"/>
      <c r="C41" s="476"/>
      <c r="D41" s="476"/>
      <c r="E41" s="476"/>
      <c r="F41" s="476"/>
      <c r="G41" s="476"/>
      <c r="H41" s="476"/>
      <c r="I41" s="476"/>
      <c r="J41" s="476"/>
    </row>
  </sheetData>
  <mergeCells count="7">
    <mergeCell ref="I8:I9"/>
    <mergeCell ref="C8:C9"/>
    <mergeCell ref="D8:D9"/>
    <mergeCell ref="E8:E9"/>
    <mergeCell ref="F8:F9"/>
    <mergeCell ref="G8:G9"/>
    <mergeCell ref="H8:H9"/>
  </mergeCells>
  <printOptions horizontalCentered="1" verticalCentered="1"/>
  <pageMargins left="0" right="0" top="0" bottom="0" header="0.3" footer="0.3"/>
  <pageSetup paperSize="9" scale="79"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3"/>
  <dimension ref="A1:F43"/>
  <sheetViews>
    <sheetView zoomScale="80" zoomScaleNormal="80" workbookViewId="0">
      <pane ySplit="7" topLeftCell="A40" activePane="bottomLeft" state="frozen"/>
      <selection activeCell="A49" sqref="A1:XFD1048576"/>
      <selection pane="bottomLeft" activeCell="A49" sqref="A1:XFD1048576"/>
    </sheetView>
  </sheetViews>
  <sheetFormatPr defaultColWidth="9.140625" defaultRowHeight="12.75"/>
  <cols>
    <col min="1" max="1" width="19.28515625" style="160" customWidth="1"/>
    <col min="2" max="2" width="25.7109375" style="160" customWidth="1"/>
    <col min="3" max="4" width="17.7109375" style="160" customWidth="1"/>
    <col min="5" max="5" width="18.140625" style="160" customWidth="1"/>
    <col min="6" max="6" width="9.7109375" style="160" customWidth="1"/>
    <col min="7" max="7" width="9.85546875" style="160" bestFit="1" customWidth="1"/>
    <col min="8" max="16384" width="9.140625" style="160"/>
  </cols>
  <sheetData>
    <row r="1" spans="1:6" ht="18" customHeight="1">
      <c r="A1" s="1154" t="s">
        <v>1535</v>
      </c>
      <c r="B1" s="297"/>
      <c r="C1" s="297"/>
      <c r="D1" s="297"/>
      <c r="E1" s="297"/>
      <c r="F1" s="2245" t="s">
        <v>1536</v>
      </c>
    </row>
    <row r="2" spans="1:6" ht="18">
      <c r="A2" s="1154" t="s">
        <v>1537</v>
      </c>
      <c r="B2" s="297"/>
      <c r="C2" s="297"/>
      <c r="D2" s="297"/>
      <c r="E2" s="297"/>
      <c r="F2" s="2245"/>
    </row>
    <row r="3" spans="1:6" ht="18">
      <c r="A3" s="1154" t="s">
        <v>1538</v>
      </c>
      <c r="B3" s="297"/>
      <c r="C3" s="297"/>
      <c r="D3" s="297"/>
      <c r="E3" s="297"/>
      <c r="F3" s="2245"/>
    </row>
    <row r="4" spans="1:6" ht="14.25" customHeight="1">
      <c r="A4" s="160" t="s">
        <v>1539</v>
      </c>
      <c r="E4" s="438" t="s">
        <v>1540</v>
      </c>
      <c r="F4" s="2245"/>
    </row>
    <row r="5" spans="1:6" ht="21.2" customHeight="1">
      <c r="A5" s="2243" t="s">
        <v>364</v>
      </c>
      <c r="B5" s="2243" t="s">
        <v>1541</v>
      </c>
      <c r="C5" s="1155" t="s">
        <v>1542</v>
      </c>
      <c r="D5" s="1156" t="s">
        <v>1543</v>
      </c>
      <c r="E5" s="1157" t="s">
        <v>1544</v>
      </c>
      <c r="F5" s="2245"/>
    </row>
    <row r="6" spans="1:6" s="604" customFormat="1" ht="28.5" customHeight="1">
      <c r="A6" s="2244"/>
      <c r="B6" s="2244"/>
      <c r="C6" s="1109" t="s">
        <v>1545</v>
      </c>
      <c r="D6" s="602" t="s">
        <v>1546</v>
      </c>
      <c r="E6" s="603" t="s">
        <v>1547</v>
      </c>
      <c r="F6" s="2245"/>
    </row>
    <row r="7" spans="1:6" s="604" customFormat="1" ht="41.25" customHeight="1">
      <c r="A7" s="1158" t="s">
        <v>372</v>
      </c>
      <c r="B7" s="1158" t="s">
        <v>1548</v>
      </c>
      <c r="C7" s="509" t="s">
        <v>1549</v>
      </c>
      <c r="D7" s="1159" t="s">
        <v>1550</v>
      </c>
      <c r="E7" s="1158" t="s">
        <v>1551</v>
      </c>
      <c r="F7" s="2245"/>
    </row>
    <row r="8" spans="1:6" ht="24.95" customHeight="1">
      <c r="A8" s="1160" t="s">
        <v>1552</v>
      </c>
      <c r="B8" s="1161" t="s">
        <v>1553</v>
      </c>
      <c r="C8" s="757">
        <v>516574.11993089202</v>
      </c>
      <c r="D8" s="757">
        <v>796426.37089746329</v>
      </c>
      <c r="E8" s="757">
        <v>1313000.4908283553</v>
      </c>
      <c r="F8" s="2245"/>
    </row>
    <row r="9" spans="1:6" ht="18.600000000000001" customHeight="1">
      <c r="A9" s="1162"/>
      <c r="B9" s="1163" t="s">
        <v>1554</v>
      </c>
      <c r="C9" s="758">
        <v>616430.94489822886</v>
      </c>
      <c r="D9" s="758">
        <v>75781.444232232447</v>
      </c>
      <c r="E9" s="758">
        <v>692212.38913046126</v>
      </c>
      <c r="F9" s="2245"/>
    </row>
    <row r="10" spans="1:6" ht="18.600000000000001" customHeight="1">
      <c r="A10" s="1162"/>
      <c r="B10" s="1164" t="s">
        <v>1555</v>
      </c>
      <c r="C10" s="758">
        <v>4119110.2410811381</v>
      </c>
      <c r="D10" s="758">
        <v>1308049.3434901363</v>
      </c>
      <c r="E10" s="759">
        <v>5427159.584571274</v>
      </c>
      <c r="F10" s="2245"/>
    </row>
    <row r="11" spans="1:6" ht="18.600000000000001" customHeight="1">
      <c r="A11" s="1165"/>
      <c r="B11" s="1166" t="s">
        <v>1556</v>
      </c>
      <c r="C11" s="1167">
        <f>SUM(C8:C10)</f>
        <v>5252115.3059102595</v>
      </c>
      <c r="D11" s="1167">
        <f>SUM(D8:D10)</f>
        <v>2180257.1586198322</v>
      </c>
      <c r="E11" s="1167">
        <f>SUM(C11:D11)</f>
        <v>7432372.4645300917</v>
      </c>
      <c r="F11" s="2245"/>
    </row>
    <row r="12" spans="1:6" ht="24.95" customHeight="1">
      <c r="A12" s="1160" t="s">
        <v>1557</v>
      </c>
      <c r="B12" s="1161" t="s">
        <v>1553</v>
      </c>
      <c r="C12" s="757">
        <v>518020.1</v>
      </c>
      <c r="D12" s="757">
        <v>840998.2</v>
      </c>
      <c r="E12" s="757">
        <v>1359018.2999999998</v>
      </c>
      <c r="F12" s="2245"/>
    </row>
    <row r="13" spans="1:6" ht="18.600000000000001" customHeight="1">
      <c r="A13" s="1162"/>
      <c r="B13" s="1163" t="s">
        <v>1554</v>
      </c>
      <c r="C13" s="758">
        <v>887967.02</v>
      </c>
      <c r="D13" s="758">
        <v>107572.2</v>
      </c>
      <c r="E13" s="758">
        <v>995539.22</v>
      </c>
      <c r="F13" s="2245"/>
    </row>
    <row r="14" spans="1:6" ht="18.600000000000001" customHeight="1">
      <c r="A14" s="1162"/>
      <c r="B14" s="1164" t="s">
        <v>1555</v>
      </c>
      <c r="C14" s="758">
        <v>4158206.3</v>
      </c>
      <c r="D14" s="758">
        <v>1301471.2</v>
      </c>
      <c r="E14" s="759">
        <v>5459677.5</v>
      </c>
      <c r="F14" s="2245"/>
    </row>
    <row r="15" spans="1:6" ht="18.600000000000001" customHeight="1">
      <c r="A15" s="1165"/>
      <c r="B15" s="1166" t="s">
        <v>1556</v>
      </c>
      <c r="C15" s="1167">
        <f>SUM(C12:C14)</f>
        <v>5564193.4199999999</v>
      </c>
      <c r="D15" s="1167">
        <f>SUM(D12:D14)</f>
        <v>2250041.5999999996</v>
      </c>
      <c r="E15" s="1167">
        <f>SUM(C15:D15)</f>
        <v>7814235.0199999996</v>
      </c>
      <c r="F15" s="2245"/>
    </row>
    <row r="16" spans="1:6" ht="24.95" customHeight="1">
      <c r="A16" s="1160" t="s">
        <v>1558</v>
      </c>
      <c r="B16" s="1161" t="s">
        <v>1553</v>
      </c>
      <c r="C16" s="757">
        <v>486113.4</v>
      </c>
      <c r="D16" s="757">
        <v>802330.4</v>
      </c>
      <c r="E16" s="757">
        <f>C16+D16</f>
        <v>1288443.8</v>
      </c>
      <c r="F16" s="2245"/>
    </row>
    <row r="17" spans="1:6" ht="18.600000000000001" customHeight="1">
      <c r="A17" s="1162"/>
      <c r="B17" s="1163" t="s">
        <v>1554</v>
      </c>
      <c r="C17" s="758">
        <v>825281.1</v>
      </c>
      <c r="D17" s="758">
        <v>118934.6</v>
      </c>
      <c r="E17" s="758">
        <f t="shared" ref="E17:E18" si="0">C17+D17</f>
        <v>944215.7</v>
      </c>
      <c r="F17" s="2245"/>
    </row>
    <row r="18" spans="1:6" ht="18.600000000000001" customHeight="1">
      <c r="A18" s="1162"/>
      <c r="B18" s="1164" t="s">
        <v>1555</v>
      </c>
      <c r="C18" s="758">
        <v>4210959.3</v>
      </c>
      <c r="D18" s="758">
        <v>1248941.5</v>
      </c>
      <c r="E18" s="759">
        <f t="shared" si="0"/>
        <v>5459900.7999999998</v>
      </c>
      <c r="F18" s="2245"/>
    </row>
    <row r="19" spans="1:6" ht="18.600000000000001" customHeight="1">
      <c r="A19" s="1165"/>
      <c r="B19" s="1166" t="s">
        <v>1556</v>
      </c>
      <c r="C19" s="1167">
        <f>SUM(C16:C18)</f>
        <v>5522353.7999999998</v>
      </c>
      <c r="D19" s="1167">
        <f>SUM(D16:D18)</f>
        <v>2170206.5</v>
      </c>
      <c r="E19" s="1167">
        <f>SUM(C19:D19)</f>
        <v>7692560.2999999998</v>
      </c>
      <c r="F19" s="2245"/>
    </row>
    <row r="20" spans="1:6" ht="24.95" customHeight="1">
      <c r="A20" s="1160" t="s">
        <v>1559</v>
      </c>
      <c r="B20" s="1161" t="s">
        <v>1553</v>
      </c>
      <c r="C20" s="757">
        <v>524570</v>
      </c>
      <c r="D20" s="757">
        <v>688654.5</v>
      </c>
      <c r="E20" s="757">
        <v>1213224.5</v>
      </c>
      <c r="F20" s="2245"/>
    </row>
    <row r="21" spans="1:6" ht="18.600000000000001" customHeight="1">
      <c r="A21" s="1162"/>
      <c r="B21" s="1163" t="s">
        <v>1554</v>
      </c>
      <c r="C21" s="758">
        <v>811406</v>
      </c>
      <c r="D21" s="758">
        <v>114391.3</v>
      </c>
      <c r="E21" s="758">
        <v>925797.3</v>
      </c>
      <c r="F21" s="2245"/>
    </row>
    <row r="22" spans="1:6" ht="18.600000000000001" customHeight="1">
      <c r="A22" s="1162"/>
      <c r="B22" s="1164" t="s">
        <v>1555</v>
      </c>
      <c r="C22" s="758">
        <v>4119422.7</v>
      </c>
      <c r="D22" s="758">
        <v>1794772.9</v>
      </c>
      <c r="E22" s="759">
        <v>5914195.5999999996</v>
      </c>
      <c r="F22" s="2245"/>
    </row>
    <row r="23" spans="1:6" ht="18.600000000000001" customHeight="1">
      <c r="A23" s="1165"/>
      <c r="B23" s="1166" t="s">
        <v>1556</v>
      </c>
      <c r="C23" s="1167">
        <f>SUM(C20:C22)</f>
        <v>5455398.7000000002</v>
      </c>
      <c r="D23" s="1167">
        <f>SUM(D20:D22)</f>
        <v>2597818.7000000002</v>
      </c>
      <c r="E23" s="1167">
        <f>SUM(C23:D23)</f>
        <v>8053217.4000000004</v>
      </c>
      <c r="F23" s="2245"/>
    </row>
    <row r="24" spans="1:6" ht="24.95" customHeight="1">
      <c r="A24" s="1160" t="s">
        <v>1560</v>
      </c>
      <c r="B24" s="1161" t="s">
        <v>1553</v>
      </c>
      <c r="C24" s="757">
        <v>482925</v>
      </c>
      <c r="D24" s="757">
        <v>663312</v>
      </c>
      <c r="E24" s="757">
        <v>1146237</v>
      </c>
      <c r="F24" s="2245"/>
    </row>
    <row r="25" spans="1:6" ht="18.600000000000001" customHeight="1">
      <c r="A25" s="1162"/>
      <c r="B25" s="1163" t="s">
        <v>1554</v>
      </c>
      <c r="C25" s="758">
        <v>766158</v>
      </c>
      <c r="D25" s="758">
        <v>173677</v>
      </c>
      <c r="E25" s="758">
        <v>939835</v>
      </c>
      <c r="F25" s="2245"/>
    </row>
    <row r="26" spans="1:6" ht="18.600000000000001" customHeight="1">
      <c r="A26" s="1162"/>
      <c r="B26" s="1164" t="s">
        <v>1555</v>
      </c>
      <c r="C26" s="758">
        <v>4039018</v>
      </c>
      <c r="D26" s="758">
        <v>1301966</v>
      </c>
      <c r="E26" s="759">
        <v>5340984</v>
      </c>
      <c r="F26" s="2245"/>
    </row>
    <row r="27" spans="1:6" ht="18.600000000000001" customHeight="1">
      <c r="A27" s="1165"/>
      <c r="B27" s="1166" t="s">
        <v>1556</v>
      </c>
      <c r="C27" s="1167">
        <f>SUM(C24:C26)</f>
        <v>5288101</v>
      </c>
      <c r="D27" s="1167">
        <f>SUM(D24:D26)</f>
        <v>2138955</v>
      </c>
      <c r="E27" s="1167">
        <f>SUM(C27:D27)</f>
        <v>7427056</v>
      </c>
      <c r="F27" s="2245"/>
    </row>
    <row r="28" spans="1:6" ht="24.95" customHeight="1">
      <c r="A28" s="1160" t="s">
        <v>1561</v>
      </c>
      <c r="B28" s="1161" t="s">
        <v>1553</v>
      </c>
      <c r="C28" s="757">
        <v>479830</v>
      </c>
      <c r="D28" s="757">
        <v>680730</v>
      </c>
      <c r="E28" s="757">
        <v>1160560</v>
      </c>
      <c r="F28" s="2245"/>
    </row>
    <row r="29" spans="1:6" ht="18.600000000000001" customHeight="1">
      <c r="A29" s="1162"/>
      <c r="B29" s="1163" t="s">
        <v>1554</v>
      </c>
      <c r="C29" s="758">
        <v>638255</v>
      </c>
      <c r="D29" s="758">
        <v>174754</v>
      </c>
      <c r="E29" s="758">
        <v>813009</v>
      </c>
      <c r="F29" s="2245"/>
    </row>
    <row r="30" spans="1:6" ht="18.600000000000001" customHeight="1">
      <c r="A30" s="1162"/>
      <c r="B30" s="1164" t="s">
        <v>1555</v>
      </c>
      <c r="C30" s="758">
        <v>4206502</v>
      </c>
      <c r="D30" s="758">
        <v>1353586</v>
      </c>
      <c r="E30" s="759">
        <v>5560088</v>
      </c>
      <c r="F30" s="2245"/>
    </row>
    <row r="31" spans="1:6" ht="18.600000000000001" customHeight="1">
      <c r="A31" s="1165"/>
      <c r="B31" s="1166" t="s">
        <v>1556</v>
      </c>
      <c r="C31" s="1167">
        <f>SUM(C28:C30)</f>
        <v>5324587</v>
      </c>
      <c r="D31" s="1167">
        <f>SUM(D28:D30)</f>
        <v>2209070</v>
      </c>
      <c r="E31" s="1167">
        <f>SUM(C31:D31)</f>
        <v>7533657</v>
      </c>
      <c r="F31" s="2245"/>
    </row>
    <row r="32" spans="1:6" ht="24.95" customHeight="1">
      <c r="A32" s="1160" t="s">
        <v>1562</v>
      </c>
      <c r="B32" s="1161" t="s">
        <v>1553</v>
      </c>
      <c r="C32" s="757">
        <v>462048</v>
      </c>
      <c r="D32" s="757">
        <v>705262</v>
      </c>
      <c r="E32" s="757">
        <v>1167310</v>
      </c>
      <c r="F32" s="2245"/>
    </row>
    <row r="33" spans="1:6" ht="18.600000000000001" customHeight="1">
      <c r="A33" s="1162"/>
      <c r="B33" s="1163" t="s">
        <v>1554</v>
      </c>
      <c r="C33" s="758">
        <v>518570</v>
      </c>
      <c r="D33" s="758">
        <v>177442</v>
      </c>
      <c r="E33" s="758">
        <v>696012</v>
      </c>
      <c r="F33" s="2245"/>
    </row>
    <row r="34" spans="1:6" ht="18.600000000000001" customHeight="1">
      <c r="A34" s="1162"/>
      <c r="B34" s="1164" t="s">
        <v>1555</v>
      </c>
      <c r="C34" s="758">
        <v>4490599</v>
      </c>
      <c r="D34" s="758">
        <v>1410531</v>
      </c>
      <c r="E34" s="759">
        <v>5901130</v>
      </c>
      <c r="F34" s="2245"/>
    </row>
    <row r="35" spans="1:6" ht="18.600000000000001" customHeight="1">
      <c r="A35" s="1165"/>
      <c r="B35" s="1166" t="s">
        <v>1556</v>
      </c>
      <c r="C35" s="1167">
        <f>SUM(C32:C34)</f>
        <v>5471217</v>
      </c>
      <c r="D35" s="1167">
        <f>SUM(D32:D34)</f>
        <v>2293235</v>
      </c>
      <c r="E35" s="1167">
        <f>SUM(C35:D35)</f>
        <v>7764452</v>
      </c>
      <c r="F35" s="2245"/>
    </row>
    <row r="36" spans="1:6" ht="24.95" customHeight="1">
      <c r="A36" s="1160" t="s">
        <v>1563</v>
      </c>
      <c r="B36" s="1161" t="s">
        <v>1553</v>
      </c>
      <c r="C36" s="757">
        <v>467261</v>
      </c>
      <c r="D36" s="757">
        <v>696431</v>
      </c>
      <c r="E36" s="757">
        <v>1163692</v>
      </c>
      <c r="F36" s="2245"/>
    </row>
    <row r="37" spans="1:6" ht="18.600000000000001" customHeight="1">
      <c r="A37" s="1162"/>
      <c r="B37" s="1163" t="s">
        <v>1554</v>
      </c>
      <c r="C37" s="758">
        <v>520774</v>
      </c>
      <c r="D37" s="758">
        <v>136406</v>
      </c>
      <c r="E37" s="758">
        <v>657180</v>
      </c>
      <c r="F37" s="2245"/>
    </row>
    <row r="38" spans="1:6" ht="18.600000000000001" customHeight="1">
      <c r="A38" s="1162"/>
      <c r="B38" s="1164" t="s">
        <v>1555</v>
      </c>
      <c r="C38" s="758">
        <v>4051355</v>
      </c>
      <c r="D38" s="758">
        <v>1445085</v>
      </c>
      <c r="E38" s="759">
        <v>5496440</v>
      </c>
      <c r="F38" s="2245"/>
    </row>
    <row r="39" spans="1:6" ht="18.600000000000001" customHeight="1">
      <c r="A39" s="1165"/>
      <c r="B39" s="1166" t="s">
        <v>1556</v>
      </c>
      <c r="C39" s="1167">
        <f>SUM(C36:C38)</f>
        <v>5039390</v>
      </c>
      <c r="D39" s="1167">
        <f>SUM(D36:D38)</f>
        <v>2277922</v>
      </c>
      <c r="E39" s="1167">
        <f>SUM(C39:D39)</f>
        <v>7317312</v>
      </c>
      <c r="F39" s="2245"/>
    </row>
    <row r="40" spans="1:6" ht="24.95" customHeight="1">
      <c r="A40" s="1160" t="s">
        <v>1564</v>
      </c>
      <c r="B40" s="1161" t="s">
        <v>1553</v>
      </c>
      <c r="C40" s="757">
        <v>412733</v>
      </c>
      <c r="D40" s="757">
        <v>766249</v>
      </c>
      <c r="E40" s="757">
        <v>1178982</v>
      </c>
      <c r="F40" s="2245"/>
    </row>
    <row r="41" spans="1:6" ht="18.600000000000001" customHeight="1">
      <c r="A41" s="1162"/>
      <c r="B41" s="1163" t="s">
        <v>1554</v>
      </c>
      <c r="C41" s="758">
        <v>88887</v>
      </c>
      <c r="D41" s="758">
        <v>26718</v>
      </c>
      <c r="E41" s="758">
        <v>115605</v>
      </c>
      <c r="F41" s="2245"/>
    </row>
    <row r="42" spans="1:6" ht="18.600000000000001" customHeight="1">
      <c r="A42" s="1162"/>
      <c r="B42" s="1164" t="s">
        <v>1555</v>
      </c>
      <c r="C42" s="758">
        <v>4387171</v>
      </c>
      <c r="D42" s="758">
        <v>1518630</v>
      </c>
      <c r="E42" s="759">
        <v>5905801</v>
      </c>
      <c r="F42" s="2245"/>
    </row>
    <row r="43" spans="1:6" ht="18.600000000000001" customHeight="1">
      <c r="A43" s="1165"/>
      <c r="B43" s="1166" t="s">
        <v>1556</v>
      </c>
      <c r="C43" s="1167">
        <f>SUM(C40:C42)</f>
        <v>4888791</v>
      </c>
      <c r="D43" s="1167">
        <f>SUM(D40:D42)</f>
        <v>2311597</v>
      </c>
      <c r="E43" s="1167">
        <f>SUM(C43:D43)</f>
        <v>7200388</v>
      </c>
      <c r="F43" s="2245"/>
    </row>
  </sheetData>
  <mergeCells count="3">
    <mergeCell ref="A5:A6"/>
    <mergeCell ref="B5:B6"/>
    <mergeCell ref="F1:F43"/>
  </mergeCells>
  <printOptions horizontalCentered="1" verticalCentered="1"/>
  <pageMargins left="0" right="0" top="0" bottom="0" header="0.3" footer="0.3"/>
  <pageSetup paperSize="9" scale="8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48"/>
  <sheetViews>
    <sheetView view="pageBreakPreview" zoomScale="60" zoomScaleNormal="80" workbookViewId="0">
      <pane ySplit="12" topLeftCell="A31" activePane="bottomLeft" state="frozen"/>
      <selection activeCell="A49" sqref="A1:XFD1048576"/>
      <selection pane="bottomLeft" activeCell="A49" sqref="A1:XFD1048576"/>
    </sheetView>
  </sheetViews>
  <sheetFormatPr defaultColWidth="7.85546875" defaultRowHeight="15"/>
  <cols>
    <col min="1" max="2" width="9.28515625" style="9" customWidth="1"/>
    <col min="3" max="9" width="19.7109375" style="9" customWidth="1"/>
    <col min="10" max="10" width="20.42578125" style="9" customWidth="1"/>
    <col min="11" max="11" width="17.5703125" style="9" customWidth="1"/>
    <col min="12" max="16384" width="7.85546875" style="9"/>
  </cols>
  <sheetData>
    <row r="1" spans="1:11" s="1691" customFormat="1" ht="18">
      <c r="A1" s="18" t="s">
        <v>1634</v>
      </c>
      <c r="B1" s="1924"/>
      <c r="C1" s="1924"/>
      <c r="D1" s="1924"/>
      <c r="E1" s="1924"/>
      <c r="F1" s="1924"/>
      <c r="G1" s="1924"/>
      <c r="H1" s="1924"/>
      <c r="I1" s="1924"/>
      <c r="J1" s="1924"/>
      <c r="K1" s="1924"/>
    </row>
    <row r="2" spans="1:11" s="1691" customFormat="1" ht="18">
      <c r="A2" s="1732" t="s">
        <v>9</v>
      </c>
      <c r="B2" s="1924"/>
      <c r="C2" s="1924"/>
      <c r="D2" s="1924"/>
      <c r="E2" s="1924"/>
      <c r="F2" s="1924"/>
      <c r="G2" s="1924"/>
      <c r="H2" s="1924"/>
      <c r="I2" s="1924"/>
      <c r="J2" s="1924"/>
      <c r="K2" s="1924"/>
    </row>
    <row r="3" spans="1:11" s="1691" customFormat="1" ht="14.85" customHeight="1">
      <c r="A3" s="18" t="s">
        <v>8</v>
      </c>
      <c r="B3" s="1924"/>
      <c r="C3" s="1924"/>
      <c r="D3" s="8"/>
      <c r="E3" s="1924"/>
      <c r="F3" s="1924"/>
      <c r="G3" s="1924"/>
      <c r="H3" s="1924"/>
      <c r="I3" s="1924"/>
      <c r="J3" s="1924"/>
      <c r="K3" s="1924"/>
    </row>
    <row r="4" spans="1:11" s="1691" customFormat="1" ht="0.6" customHeight="1">
      <c r="A4" s="1925"/>
      <c r="D4" s="6"/>
    </row>
    <row r="5" spans="1:11" s="30" customFormat="1" ht="0.6" customHeight="1">
      <c r="A5" s="39"/>
    </row>
    <row r="6" spans="1:11" s="30" customFormat="1" ht="16.5" customHeight="1">
      <c r="A6" s="21" t="s">
        <v>354</v>
      </c>
      <c r="B6" s="1697"/>
      <c r="C6" s="1698"/>
      <c r="D6" s="1699"/>
      <c r="E6" s="38"/>
      <c r="F6" s="1926"/>
      <c r="G6" s="1926"/>
      <c r="H6" s="1926"/>
      <c r="I6" s="24"/>
      <c r="J6" s="24"/>
      <c r="K6" s="24" t="s">
        <v>355</v>
      </c>
    </row>
    <row r="7" spans="1:11" s="44" customFormat="1" ht="17.45" customHeight="1">
      <c r="A7" s="1927"/>
      <c r="B7" s="1928"/>
      <c r="C7" s="1929"/>
      <c r="D7" s="1930" t="s">
        <v>439</v>
      </c>
      <c r="E7" s="1931"/>
      <c r="F7" s="1932" t="s">
        <v>440</v>
      </c>
      <c r="G7" s="101"/>
      <c r="H7" s="78"/>
      <c r="I7" s="78"/>
      <c r="J7" s="78" t="s">
        <v>441</v>
      </c>
      <c r="K7" s="78"/>
    </row>
    <row r="8" spans="1:11" s="44" customFormat="1" ht="17.45" customHeight="1">
      <c r="A8" s="27"/>
      <c r="B8" s="80"/>
      <c r="C8" s="86" t="s">
        <v>412</v>
      </c>
      <c r="D8" s="133" t="s">
        <v>442</v>
      </c>
      <c r="E8" s="1933" t="s">
        <v>443</v>
      </c>
      <c r="F8" s="1934"/>
      <c r="G8" s="103" t="s">
        <v>9</v>
      </c>
      <c r="H8" s="86" t="s">
        <v>9</v>
      </c>
      <c r="I8" s="86" t="s">
        <v>9</v>
      </c>
      <c r="J8" s="86" t="s">
        <v>444</v>
      </c>
      <c r="K8" s="86" t="s">
        <v>445</v>
      </c>
    </row>
    <row r="9" spans="1:11" s="44" customFormat="1" ht="17.45" customHeight="1">
      <c r="A9" s="27" t="s">
        <v>364</v>
      </c>
      <c r="B9" s="80"/>
      <c r="C9" s="86" t="s">
        <v>419</v>
      </c>
      <c r="D9" s="86" t="s">
        <v>446</v>
      </c>
      <c r="E9" s="102" t="s">
        <v>447</v>
      </c>
      <c r="F9" s="1358" t="s">
        <v>376</v>
      </c>
      <c r="G9" s="103" t="s">
        <v>448</v>
      </c>
      <c r="H9" s="103" t="s">
        <v>449</v>
      </c>
      <c r="I9" s="103" t="s">
        <v>450</v>
      </c>
      <c r="J9" s="70" t="s">
        <v>451</v>
      </c>
      <c r="K9" s="103" t="s">
        <v>452</v>
      </c>
    </row>
    <row r="10" spans="1:11" s="44" customFormat="1" ht="17.45" customHeight="1">
      <c r="A10" s="105" t="s">
        <v>372</v>
      </c>
      <c r="B10" s="80"/>
      <c r="C10" s="70" t="s">
        <v>6</v>
      </c>
      <c r="D10" s="70" t="s">
        <v>453</v>
      </c>
      <c r="E10" s="70" t="s">
        <v>454</v>
      </c>
      <c r="F10" s="153" t="s">
        <v>455</v>
      </c>
      <c r="G10" s="69" t="s">
        <v>232</v>
      </c>
      <c r="H10" s="70" t="s">
        <v>235</v>
      </c>
      <c r="I10" s="70" t="s">
        <v>239</v>
      </c>
      <c r="J10" s="70" t="s">
        <v>456</v>
      </c>
      <c r="K10" s="70" t="s">
        <v>457</v>
      </c>
    </row>
    <row r="11" spans="1:11" s="39" customFormat="1" ht="17.45" customHeight="1">
      <c r="A11" s="68"/>
      <c r="B11" s="80"/>
      <c r="C11" s="69" t="s">
        <v>458</v>
      </c>
      <c r="D11" s="70"/>
      <c r="E11" s="69" t="s">
        <v>459</v>
      </c>
      <c r="F11" s="70" t="s">
        <v>460</v>
      </c>
      <c r="G11" s="1935" t="s">
        <v>461</v>
      </c>
      <c r="H11" s="1935" t="s">
        <v>462</v>
      </c>
      <c r="I11" s="1935" t="s">
        <v>463</v>
      </c>
      <c r="J11" s="1935" t="s">
        <v>464</v>
      </c>
      <c r="K11" s="1935" t="s">
        <v>465</v>
      </c>
    </row>
    <row r="12" spans="1:11" s="39" customFormat="1" ht="17.45" customHeight="1">
      <c r="A12" s="71"/>
      <c r="B12" s="106"/>
      <c r="C12" s="1936">
        <v>1</v>
      </c>
      <c r="D12" s="1936">
        <v>2</v>
      </c>
      <c r="E12" s="1936">
        <v>3</v>
      </c>
      <c r="F12" s="1936">
        <v>4</v>
      </c>
      <c r="G12" s="1937"/>
      <c r="H12" s="1937"/>
      <c r="I12" s="1937"/>
      <c r="J12" s="1936">
        <v>8</v>
      </c>
      <c r="K12" s="1937"/>
    </row>
    <row r="13" spans="1:11" s="1077" customFormat="1" ht="20.25" customHeight="1">
      <c r="A13" s="1938">
        <v>2010</v>
      </c>
      <c r="B13" s="1939"/>
      <c r="C13" s="810">
        <v>349.62628316076922</v>
      </c>
      <c r="D13" s="810">
        <v>1954.3218998574444</v>
      </c>
      <c r="E13" s="809">
        <v>5563.5619091175768</v>
      </c>
      <c r="F13" s="784">
        <v>1628.2170850115203</v>
      </c>
      <c r="G13" s="784">
        <v>2303.9481830182135</v>
      </c>
      <c r="H13" s="785">
        <v>7867.5100921357898</v>
      </c>
      <c r="I13" s="802">
        <v>9495.7271771473097</v>
      </c>
      <c r="J13" s="802">
        <f>'1'!K13</f>
        <v>1289.4000000000001</v>
      </c>
      <c r="K13" s="802">
        <f t="shared" ref="K13:K34" si="0">C13+J13</f>
        <v>1639.0262831607693</v>
      </c>
    </row>
    <row r="14" spans="1:11" s="1945" customFormat="1" ht="14.25" customHeight="1">
      <c r="A14" s="1940">
        <v>2011</v>
      </c>
      <c r="B14" s="1941"/>
      <c r="C14" s="1942">
        <v>402.21056796028495</v>
      </c>
      <c r="D14" s="1942">
        <v>2234.656257658648</v>
      </c>
      <c r="E14" s="1943">
        <v>5498.2246031116838</v>
      </c>
      <c r="F14" s="1944">
        <v>1858.9403855084101</v>
      </c>
      <c r="G14" s="1944">
        <v>2636.866825618933</v>
      </c>
      <c r="H14" s="988">
        <v>8135.0914287306168</v>
      </c>
      <c r="I14" s="988">
        <v>9994.0318142390279</v>
      </c>
      <c r="J14" s="988">
        <f>'1'!K14</f>
        <v>1037.5999999999999</v>
      </c>
      <c r="K14" s="988">
        <f t="shared" si="0"/>
        <v>1439.810567960285</v>
      </c>
    </row>
    <row r="15" spans="1:11" s="1945" customFormat="1" ht="14.25" customHeight="1">
      <c r="A15" s="1940">
        <v>2012</v>
      </c>
      <c r="B15" s="1941"/>
      <c r="C15" s="1942">
        <v>421.44686299169319</v>
      </c>
      <c r="D15" s="1942">
        <v>2189.7234145638395</v>
      </c>
      <c r="E15" s="1943">
        <v>5853.7218711365658</v>
      </c>
      <c r="F15" s="1944">
        <v>1970.3408787865569</v>
      </c>
      <c r="G15" s="1944">
        <v>2611.1202775555325</v>
      </c>
      <c r="H15" s="988">
        <v>8464.8421486920979</v>
      </c>
      <c r="I15" s="988">
        <v>10435.133027478656</v>
      </c>
      <c r="J15" s="988">
        <f>'1'!K15</f>
        <v>1339.5</v>
      </c>
      <c r="K15" s="988">
        <f t="shared" si="0"/>
        <v>1760.9468629916933</v>
      </c>
    </row>
    <row r="16" spans="1:11" s="1945" customFormat="1" ht="14.25" customHeight="1">
      <c r="A16" s="1940">
        <v>2013</v>
      </c>
      <c r="B16" s="1941"/>
      <c r="C16" s="1942">
        <v>461.12892584899998</v>
      </c>
      <c r="D16" s="1942">
        <v>2334.7226505356975</v>
      </c>
      <c r="E16" s="1943">
        <v>6363.2543823810001</v>
      </c>
      <c r="F16" s="1944">
        <v>2060.551183435</v>
      </c>
      <c r="G16" s="1944">
        <v>2795.8015763846975</v>
      </c>
      <c r="H16" s="988">
        <v>9159.0559587656971</v>
      </c>
      <c r="I16" s="988">
        <v>11219.657142200696</v>
      </c>
      <c r="J16" s="988">
        <f>'1'!K16</f>
        <v>1259.4000000000001</v>
      </c>
      <c r="K16" s="988">
        <f t="shared" si="0"/>
        <v>1720.5289258490002</v>
      </c>
    </row>
    <row r="17" spans="1:25" s="1945" customFormat="1" ht="14.25" customHeight="1">
      <c r="A17" s="1940">
        <v>2014</v>
      </c>
      <c r="B17" s="1941"/>
      <c r="C17" s="1942">
        <v>493.242993098</v>
      </c>
      <c r="D17" s="1942">
        <v>2601.8622378521209</v>
      </c>
      <c r="E17" s="1943">
        <v>6660.391470425584</v>
      </c>
      <c r="F17" s="1944">
        <v>1879.7276842264198</v>
      </c>
      <c r="G17" s="1944">
        <v>3095.105230950121</v>
      </c>
      <c r="H17" s="988">
        <v>9755.496701375705</v>
      </c>
      <c r="I17" s="988">
        <v>11635.224385602125</v>
      </c>
      <c r="J17" s="988">
        <f>'1'!K17</f>
        <v>1546.2</v>
      </c>
      <c r="K17" s="988">
        <f t="shared" si="0"/>
        <v>2039.442993098</v>
      </c>
    </row>
    <row r="18" spans="1:25" s="1945" customFormat="1" ht="14.25" customHeight="1">
      <c r="A18" s="1940">
        <v>2015</v>
      </c>
      <c r="B18" s="1941"/>
      <c r="C18" s="1942">
        <v>525.16340813830004</v>
      </c>
      <c r="D18" s="1942">
        <v>2769.1610188193258</v>
      </c>
      <c r="E18" s="1943">
        <v>6748.5117831749758</v>
      </c>
      <c r="F18" s="1944">
        <v>1852.2954112319999</v>
      </c>
      <c r="G18" s="1944">
        <v>3294.3744269576259</v>
      </c>
      <c r="H18" s="988">
        <v>10042.886210132601</v>
      </c>
      <c r="I18" s="988">
        <v>11895.181621364602</v>
      </c>
      <c r="J18" s="988">
        <f>'1'!K18</f>
        <v>1267.5999999999999</v>
      </c>
      <c r="K18" s="988">
        <f t="shared" si="0"/>
        <v>1792.7634081382998</v>
      </c>
    </row>
    <row r="19" spans="1:25" s="1945" customFormat="1" ht="14.25" customHeight="1">
      <c r="A19" s="1940">
        <v>2016</v>
      </c>
      <c r="B19" s="1941"/>
      <c r="C19" s="1942">
        <v>535.29926641691372</v>
      </c>
      <c r="D19" s="1942">
        <v>2780.6138909925535</v>
      </c>
      <c r="E19" s="1943">
        <v>6852.0000513171935</v>
      </c>
      <c r="F19" s="1944">
        <v>1853.9136968069997</v>
      </c>
      <c r="G19" s="1944">
        <v>3315.9131574094672</v>
      </c>
      <c r="H19" s="988">
        <v>10167.913208726661</v>
      </c>
      <c r="I19" s="988">
        <v>12021.82690553366</v>
      </c>
      <c r="J19" s="988">
        <f>'1'!K19</f>
        <v>1086.8</v>
      </c>
      <c r="K19" s="988">
        <f t="shared" si="0"/>
        <v>1622.0992664169137</v>
      </c>
    </row>
    <row r="20" spans="1:25" s="1945" customFormat="1" ht="14.25" customHeight="1">
      <c r="A20" s="1940">
        <v>2017</v>
      </c>
      <c r="B20" s="1941"/>
      <c r="C20" s="1942">
        <v>526.82989131050897</v>
      </c>
      <c r="D20" s="1942">
        <v>2828.1151420127198</v>
      </c>
      <c r="E20" s="1943">
        <v>7239.5851099663323</v>
      </c>
      <c r="F20" s="1944">
        <v>1926.8382043640001</v>
      </c>
      <c r="G20" s="1944">
        <v>3354.9450333232289</v>
      </c>
      <c r="H20" s="988">
        <v>10594.530143289561</v>
      </c>
      <c r="I20" s="988">
        <v>12521.33834765356</v>
      </c>
      <c r="J20" s="988">
        <v>1218.8</v>
      </c>
      <c r="K20" s="988">
        <v>1745.6298913105088</v>
      </c>
    </row>
    <row r="21" spans="1:25" s="411" customFormat="1" ht="14.25" customHeight="1">
      <c r="A21" s="905">
        <v>2018</v>
      </c>
      <c r="B21" s="1388"/>
      <c r="C21" s="1946">
        <f t="shared" ref="C21:I21" si="1">C25</f>
        <v>528.08598133328803</v>
      </c>
      <c r="D21" s="1946">
        <f t="shared" si="1"/>
        <v>2893.9324876640717</v>
      </c>
      <c r="E21" s="1947">
        <f t="shared" si="1"/>
        <v>7423.2561430199476</v>
      </c>
      <c r="F21" s="1948">
        <f t="shared" si="1"/>
        <v>1776.8011451689999</v>
      </c>
      <c r="G21" s="1948">
        <f t="shared" si="1"/>
        <v>3422.0184689973598</v>
      </c>
      <c r="H21" s="1949">
        <f t="shared" si="1"/>
        <v>10845.274612017307</v>
      </c>
      <c r="I21" s="1950">
        <f t="shared" si="1"/>
        <v>12622.075757186307</v>
      </c>
      <c r="J21" s="802">
        <f>'1'!K21</f>
        <v>1028.7</v>
      </c>
      <c r="K21" s="802">
        <f t="shared" si="0"/>
        <v>1556.785981333288</v>
      </c>
      <c r="L21" s="1682"/>
    </row>
    <row r="22" spans="1:25" s="411" customFormat="1" ht="14.25" customHeight="1">
      <c r="A22" s="1193">
        <v>2019</v>
      </c>
      <c r="B22" s="1683"/>
      <c r="C22" s="1951">
        <f t="shared" ref="C22:I22" si="2">C29</f>
        <v>535.08184891560677</v>
      </c>
      <c r="D22" s="1951">
        <f t="shared" si="2"/>
        <v>2978.5011440642097</v>
      </c>
      <c r="E22" s="1952">
        <f t="shared" si="2"/>
        <v>8538.5591558794513</v>
      </c>
      <c r="F22" s="1953">
        <f t="shared" si="2"/>
        <v>1619.7222359805014</v>
      </c>
      <c r="G22" s="1953">
        <f t="shared" si="2"/>
        <v>3513.5829929798165</v>
      </c>
      <c r="H22" s="1954">
        <f t="shared" si="2"/>
        <v>12052.162148859268</v>
      </c>
      <c r="I22" s="1955">
        <f t="shared" si="2"/>
        <v>13671.88438483977</v>
      </c>
      <c r="J22" s="989">
        <f>'1'!K22</f>
        <v>1603.1</v>
      </c>
      <c r="K22" s="989">
        <f t="shared" ref="K22" si="3">C22+J22</f>
        <v>2138.1818489156067</v>
      </c>
      <c r="L22" s="1682"/>
    </row>
    <row r="23" spans="1:25" s="411" customFormat="1" ht="20.25" customHeight="1">
      <c r="A23" s="905">
        <v>2018</v>
      </c>
      <c r="B23" s="1388" t="s">
        <v>223</v>
      </c>
      <c r="C23" s="1946">
        <v>585.26774224983217</v>
      </c>
      <c r="D23" s="1946">
        <v>2797.7331130821476</v>
      </c>
      <c r="E23" s="1947">
        <v>7245.8150738837667</v>
      </c>
      <c r="F23" s="1948">
        <v>1773.5382639199997</v>
      </c>
      <c r="G23" s="1948">
        <v>3383.0008553319799</v>
      </c>
      <c r="H23" s="1949">
        <v>10628.815929215747</v>
      </c>
      <c r="I23" s="1950">
        <v>12402.344193135747</v>
      </c>
      <c r="J23" s="802">
        <f>'1'!K23</f>
        <v>1225.3</v>
      </c>
      <c r="K23" s="802">
        <f t="shared" si="0"/>
        <v>1810.567742249832</v>
      </c>
    </row>
    <row r="24" spans="1:25" s="411" customFormat="1" ht="14.25" customHeight="1">
      <c r="A24" s="905"/>
      <c r="B24" s="1388" t="s">
        <v>224</v>
      </c>
      <c r="C24" s="1946">
        <v>524.53820503399174</v>
      </c>
      <c r="D24" s="1946">
        <v>2849.4186022102695</v>
      </c>
      <c r="E24" s="1947">
        <v>7329.4708089872129</v>
      </c>
      <c r="F24" s="1948">
        <v>1711.0848423339999</v>
      </c>
      <c r="G24" s="1948">
        <v>3373.9368072442612</v>
      </c>
      <c r="H24" s="1949">
        <v>10703.407616231474</v>
      </c>
      <c r="I24" s="1950">
        <v>12414.492458565473</v>
      </c>
      <c r="J24" s="802">
        <v>956.4</v>
      </c>
      <c r="K24" s="802">
        <v>1480.9382050339918</v>
      </c>
      <c r="L24" s="1682"/>
    </row>
    <row r="25" spans="1:25" s="411" customFormat="1" ht="14.25" customHeight="1">
      <c r="A25" s="905"/>
      <c r="B25" s="1388" t="s">
        <v>225</v>
      </c>
      <c r="C25" s="1946">
        <v>528.08598133328803</v>
      </c>
      <c r="D25" s="1946">
        <v>2893.9324876640717</v>
      </c>
      <c r="E25" s="1947">
        <v>7423.2561430199476</v>
      </c>
      <c r="F25" s="1948">
        <v>1776.8011451689999</v>
      </c>
      <c r="G25" s="1948">
        <v>3422.0184689973598</v>
      </c>
      <c r="H25" s="1949">
        <v>10845.274612017307</v>
      </c>
      <c r="I25" s="1950">
        <v>12622.075757186307</v>
      </c>
      <c r="J25" s="802">
        <v>1028.7</v>
      </c>
      <c r="K25" s="802">
        <v>1556.785981333288</v>
      </c>
      <c r="L25" s="1682"/>
    </row>
    <row r="26" spans="1:25" s="411" customFormat="1" ht="20.25" customHeight="1">
      <c r="A26" s="905">
        <v>2019</v>
      </c>
      <c r="B26" s="1388" t="s">
        <v>222</v>
      </c>
      <c r="C26" s="1946">
        <v>544.14919970404787</v>
      </c>
      <c r="D26" s="1946">
        <v>2966.1847069212472</v>
      </c>
      <c r="E26" s="1947">
        <v>7803.7460597050904</v>
      </c>
      <c r="F26" s="1948">
        <v>1837.175143807</v>
      </c>
      <c r="G26" s="1948">
        <v>3510.3339066252952</v>
      </c>
      <c r="H26" s="1949">
        <v>11314.039966330385</v>
      </c>
      <c r="I26" s="1950">
        <v>13151.215110137386</v>
      </c>
      <c r="J26" s="802">
        <v>1607.8</v>
      </c>
      <c r="K26" s="802">
        <v>2151.9491997040477</v>
      </c>
      <c r="L26" s="1682"/>
    </row>
    <row r="27" spans="1:25" s="411" customFormat="1" ht="14.25" customHeight="1">
      <c r="A27" s="905"/>
      <c r="B27" s="1388" t="s">
        <v>223</v>
      </c>
      <c r="C27" s="1946">
        <f t="shared" ref="C27:I27" si="4">C33</f>
        <v>565.25221987708483</v>
      </c>
      <c r="D27" s="1946">
        <f t="shared" si="4"/>
        <v>3013.5946616993647</v>
      </c>
      <c r="E27" s="1947">
        <f t="shared" si="4"/>
        <v>8253.3393367056378</v>
      </c>
      <c r="F27" s="1948">
        <f t="shared" si="4"/>
        <v>1714.0542016589998</v>
      </c>
      <c r="G27" s="1948">
        <f t="shared" si="4"/>
        <v>3578.8568815764497</v>
      </c>
      <c r="H27" s="1949">
        <f t="shared" si="4"/>
        <v>11832.196218282088</v>
      </c>
      <c r="I27" s="1950">
        <f t="shared" si="4"/>
        <v>13546.250419941087</v>
      </c>
      <c r="J27" s="802">
        <f>'1'!K27</f>
        <v>1402.6</v>
      </c>
      <c r="K27" s="802">
        <f t="shared" si="0"/>
        <v>1967.8522198770847</v>
      </c>
      <c r="L27" s="1682"/>
    </row>
    <row r="28" spans="1:25" s="411" customFormat="1" ht="14.25" customHeight="1">
      <c r="A28" s="905"/>
      <c r="B28" s="1388" t="s">
        <v>224</v>
      </c>
      <c r="C28" s="1946">
        <f t="shared" ref="C28:I28" si="5">C36</f>
        <v>532.53406868047614</v>
      </c>
      <c r="D28" s="1946">
        <f t="shared" si="5"/>
        <v>2863.8951600313458</v>
      </c>
      <c r="E28" s="1947">
        <f t="shared" si="5"/>
        <v>8362.4827007500717</v>
      </c>
      <c r="F28" s="1948">
        <f t="shared" si="5"/>
        <v>1702.3122678459999</v>
      </c>
      <c r="G28" s="1948">
        <f t="shared" si="5"/>
        <v>3396.4292287118219</v>
      </c>
      <c r="H28" s="1949">
        <f t="shared" si="5"/>
        <v>11758.911929461894</v>
      </c>
      <c r="I28" s="1950">
        <f t="shared" si="5"/>
        <v>13461.224197307894</v>
      </c>
      <c r="J28" s="802">
        <f>'1'!K28</f>
        <v>1354</v>
      </c>
      <c r="K28" s="802">
        <f t="shared" ref="K28" si="6">C28+J28</f>
        <v>1886.5340686804761</v>
      </c>
      <c r="L28" s="1682"/>
    </row>
    <row r="29" spans="1:25" s="411" customFormat="1" ht="14.25" customHeight="1">
      <c r="A29" s="905"/>
      <c r="B29" s="1388" t="s">
        <v>225</v>
      </c>
      <c r="C29" s="1946">
        <f t="shared" ref="C29:K29" si="7">C39</f>
        <v>535.08184891560677</v>
      </c>
      <c r="D29" s="1946">
        <f t="shared" si="7"/>
        <v>2978.5011440642097</v>
      </c>
      <c r="E29" s="1947">
        <f t="shared" si="7"/>
        <v>8538.5591558794513</v>
      </c>
      <c r="F29" s="1948">
        <f t="shared" si="7"/>
        <v>1619.7222359805014</v>
      </c>
      <c r="G29" s="1948">
        <f t="shared" si="7"/>
        <v>3513.5829929798165</v>
      </c>
      <c r="H29" s="1949">
        <f t="shared" si="7"/>
        <v>12052.162148859268</v>
      </c>
      <c r="I29" s="1950">
        <f t="shared" si="7"/>
        <v>13671.88438483977</v>
      </c>
      <c r="J29" s="802">
        <f t="shared" si="7"/>
        <v>1603.1</v>
      </c>
      <c r="K29" s="802">
        <f t="shared" si="7"/>
        <v>2138.1818489156067</v>
      </c>
      <c r="L29" s="1682"/>
    </row>
    <row r="30" spans="1:25" s="411" customFormat="1" ht="21" customHeight="1">
      <c r="A30" s="1193">
        <v>2020</v>
      </c>
      <c r="B30" s="1683" t="s">
        <v>222</v>
      </c>
      <c r="C30" s="1951">
        <f t="shared" ref="C30:K30" si="8">C42</f>
        <v>573.23559985685995</v>
      </c>
      <c r="D30" s="1951">
        <f t="shared" si="8"/>
        <v>3152.1455607119105</v>
      </c>
      <c r="E30" s="1952">
        <f t="shared" si="8"/>
        <v>8603.9715424211208</v>
      </c>
      <c r="F30" s="1953">
        <f t="shared" si="8"/>
        <v>1642.6009845069998</v>
      </c>
      <c r="G30" s="1953">
        <f t="shared" si="8"/>
        <v>3725.3411605687706</v>
      </c>
      <c r="H30" s="1954">
        <f t="shared" si="8"/>
        <v>12329.312702989891</v>
      </c>
      <c r="I30" s="1955">
        <f t="shared" si="8"/>
        <v>13971.913687496892</v>
      </c>
      <c r="J30" s="989">
        <f t="shared" si="8"/>
        <v>1708.5</v>
      </c>
      <c r="K30" s="989">
        <f t="shared" si="8"/>
        <v>2281.7355998568601</v>
      </c>
      <c r="L30" s="1682"/>
    </row>
    <row r="31" spans="1:25" s="1077" customFormat="1" ht="20.25" customHeight="1">
      <c r="A31" s="1938">
        <v>2019</v>
      </c>
      <c r="B31" s="433" t="s">
        <v>399</v>
      </c>
      <c r="C31" s="810">
        <f>'2'!L31</f>
        <v>549.21769459133259</v>
      </c>
      <c r="D31" s="810">
        <f>'18'!E31+'18'!F31</f>
        <v>3013.8598570510217</v>
      </c>
      <c r="E31" s="809">
        <f>'1'!M31+'18'!G31+'18'!H31+'18'!I31+'18'!J31</f>
        <v>7949.6801881582733</v>
      </c>
      <c r="F31" s="784">
        <f>'1'!L31+'18'!C31+'18'!D31-0.03</f>
        <v>1897.3279965939998</v>
      </c>
      <c r="G31" s="784">
        <f t="shared" ref="G31" si="9">C31+D31</f>
        <v>3563.0775516423541</v>
      </c>
      <c r="H31" s="785">
        <f t="shared" ref="H31:H36" si="10">E31+G31</f>
        <v>11512.757739800627</v>
      </c>
      <c r="I31" s="802">
        <f t="shared" ref="I31:I32" si="11">F31+H31</f>
        <v>13410.085736394627</v>
      </c>
      <c r="J31" s="802">
        <f>'1'!K31</f>
        <v>1445</v>
      </c>
      <c r="K31" s="802">
        <f t="shared" si="0"/>
        <v>1994.2176945913325</v>
      </c>
      <c r="L31" s="381"/>
      <c r="M31" s="381"/>
      <c r="N31" s="381"/>
      <c r="O31" s="381"/>
      <c r="P31" s="381"/>
      <c r="Q31" s="381"/>
      <c r="R31" s="381"/>
      <c r="S31" s="381"/>
      <c r="T31" s="381"/>
      <c r="U31" s="381"/>
      <c r="V31" s="381"/>
      <c r="W31" s="381"/>
      <c r="X31" s="381"/>
      <c r="Y31" s="381"/>
    </row>
    <row r="32" spans="1:25" s="1077" customFormat="1" ht="14.25" customHeight="1">
      <c r="A32" s="1938"/>
      <c r="B32" s="433" t="s">
        <v>400</v>
      </c>
      <c r="C32" s="810">
        <f>'2'!L32</f>
        <v>579.55797459466476</v>
      </c>
      <c r="D32" s="810">
        <f>'18'!E32+'18'!F32-0.03</f>
        <v>2893.6257570640619</v>
      </c>
      <c r="E32" s="809">
        <f>'1'!M32+'18'!G32+'18'!H32+'18'!I32+'18'!J32</f>
        <v>8047.6209386424061</v>
      </c>
      <c r="F32" s="784">
        <f>'1'!L32+'18'!C32+'18'!D32+0.05</f>
        <v>1922.256135716</v>
      </c>
      <c r="G32" s="784">
        <f t="shared" ref="G32" si="12">C32+D32</f>
        <v>3473.1837316587266</v>
      </c>
      <c r="H32" s="785">
        <f t="shared" si="10"/>
        <v>11520.804670301133</v>
      </c>
      <c r="I32" s="802">
        <f t="shared" si="11"/>
        <v>13443.060806017133</v>
      </c>
      <c r="J32" s="802">
        <f>'1'!K32</f>
        <v>1585.9</v>
      </c>
      <c r="K32" s="802">
        <f t="shared" si="0"/>
        <v>2165.4579745946648</v>
      </c>
      <c r="L32" s="381"/>
      <c r="M32" s="381"/>
      <c r="N32" s="381"/>
      <c r="O32" s="381"/>
      <c r="P32" s="381"/>
      <c r="Q32" s="381"/>
      <c r="R32" s="381"/>
      <c r="S32" s="381"/>
      <c r="T32" s="381"/>
      <c r="U32" s="381"/>
      <c r="V32" s="381"/>
      <c r="W32" s="381"/>
      <c r="X32" s="381"/>
      <c r="Y32" s="381"/>
    </row>
    <row r="33" spans="1:25" s="1077" customFormat="1" ht="14.25" customHeight="1">
      <c r="A33" s="1938"/>
      <c r="B33" s="433" t="s">
        <v>401</v>
      </c>
      <c r="C33" s="810">
        <f>'2'!L33</f>
        <v>565.25221987708483</v>
      </c>
      <c r="D33" s="810">
        <f>'18'!E33+'18'!F33</f>
        <v>3013.5946616993647</v>
      </c>
      <c r="E33" s="809">
        <f>'1'!M33+'18'!G33+'18'!H33+'18'!I33+'18'!J33-0.03</f>
        <v>8253.3393367056378</v>
      </c>
      <c r="F33" s="784">
        <f>'1'!L33+'18'!C33+'18'!D33</f>
        <v>1714.0542016589998</v>
      </c>
      <c r="G33" s="784">
        <f>C33+D33+0.01</f>
        <v>3578.8568815764497</v>
      </c>
      <c r="H33" s="785">
        <f t="shared" si="10"/>
        <v>11832.196218282088</v>
      </c>
      <c r="I33" s="802">
        <f t="shared" ref="I33" si="13">F33+H33</f>
        <v>13546.250419941087</v>
      </c>
      <c r="J33" s="802">
        <f>'1'!K33</f>
        <v>1402.6</v>
      </c>
      <c r="K33" s="802">
        <f t="shared" si="0"/>
        <v>1967.8522198770847</v>
      </c>
      <c r="L33" s="381"/>
      <c r="M33" s="381"/>
      <c r="N33" s="381"/>
      <c r="O33" s="381"/>
      <c r="P33" s="381"/>
      <c r="Q33" s="381"/>
      <c r="R33" s="381"/>
      <c r="S33" s="381"/>
      <c r="T33" s="381"/>
      <c r="U33" s="381"/>
      <c r="V33" s="381"/>
      <c r="W33" s="381"/>
      <c r="X33" s="381"/>
      <c r="Y33" s="381"/>
    </row>
    <row r="34" spans="1:25" s="1077" customFormat="1" ht="14.25" customHeight="1">
      <c r="A34" s="1938"/>
      <c r="B34" s="433" t="s">
        <v>402</v>
      </c>
      <c r="C34" s="810">
        <f>'2'!L34</f>
        <v>545.48054608946882</v>
      </c>
      <c r="D34" s="810">
        <f>'18'!E34+'18'!F34</f>
        <v>2942.3367019837569</v>
      </c>
      <c r="E34" s="809">
        <f>'1'!M34+'18'!G34+'18'!H34+'18'!I34+'18'!J34</f>
        <v>8127.5147629994899</v>
      </c>
      <c r="F34" s="784">
        <f>'1'!L34+'18'!C34+'18'!D34</f>
        <v>1747.9647587320001</v>
      </c>
      <c r="G34" s="784">
        <f t="shared" ref="G34" si="14">C34+D34</f>
        <v>3487.8172480732255</v>
      </c>
      <c r="H34" s="785">
        <f t="shared" si="10"/>
        <v>11615.332011072715</v>
      </c>
      <c r="I34" s="802">
        <f t="shared" ref="I34" si="15">F34+H34</f>
        <v>13363.296769804714</v>
      </c>
      <c r="J34" s="802">
        <f>'1'!K34</f>
        <v>1444.5</v>
      </c>
      <c r="K34" s="802">
        <f t="shared" si="0"/>
        <v>1989.9805460894688</v>
      </c>
      <c r="L34" s="381"/>
      <c r="M34" s="381"/>
      <c r="N34" s="381"/>
      <c r="O34" s="381"/>
      <c r="P34" s="381"/>
      <c r="Q34" s="381"/>
      <c r="R34" s="381"/>
      <c r="S34" s="381"/>
      <c r="T34" s="381"/>
      <c r="U34" s="381"/>
      <c r="V34" s="381"/>
      <c r="W34" s="381"/>
      <c r="X34" s="381"/>
      <c r="Y34" s="381"/>
    </row>
    <row r="35" spans="1:25" s="1077" customFormat="1" ht="14.25" customHeight="1">
      <c r="A35" s="1938"/>
      <c r="B35" s="433" t="s">
        <v>403</v>
      </c>
      <c r="C35" s="810">
        <f>'2'!L35</f>
        <v>542.89630352271524</v>
      </c>
      <c r="D35" s="810">
        <f>'18'!E35+'18'!F35</f>
        <v>2843.1074112215169</v>
      </c>
      <c r="E35" s="809">
        <f>'1'!M35+'18'!G35+'18'!H35+'18'!I35+'18'!J35</f>
        <v>8396.9056237432287</v>
      </c>
      <c r="F35" s="784">
        <f>'1'!L35+'18'!C35+'18'!D35</f>
        <v>1748.6108516039999</v>
      </c>
      <c r="G35" s="784">
        <f t="shared" ref="G35" si="16">C35+D35</f>
        <v>3386.0037147442322</v>
      </c>
      <c r="H35" s="785">
        <f t="shared" si="10"/>
        <v>11782.909338487461</v>
      </c>
      <c r="I35" s="802">
        <f t="shared" ref="I35" si="17">F35+H35</f>
        <v>13531.520190091462</v>
      </c>
      <c r="J35" s="802">
        <f>'1'!K35</f>
        <v>1449.7</v>
      </c>
      <c r="K35" s="802">
        <f t="shared" ref="K35" si="18">C35+J35</f>
        <v>1992.5963035227153</v>
      </c>
      <c r="L35" s="381"/>
      <c r="M35" s="381"/>
      <c r="N35" s="381"/>
      <c r="O35" s="381"/>
      <c r="P35" s="381"/>
      <c r="Q35" s="381"/>
      <c r="R35" s="381"/>
      <c r="S35" s="381"/>
      <c r="T35" s="381"/>
      <c r="U35" s="381"/>
      <c r="V35" s="381"/>
      <c r="W35" s="381"/>
      <c r="X35" s="381"/>
      <c r="Y35" s="381"/>
    </row>
    <row r="36" spans="1:25" s="1077" customFormat="1" ht="14.25" customHeight="1">
      <c r="A36" s="1938"/>
      <c r="B36" s="433" t="s">
        <v>404</v>
      </c>
      <c r="C36" s="810">
        <f>'2'!L36</f>
        <v>532.53406868047614</v>
      </c>
      <c r="D36" s="810">
        <f>'18'!E36+'18'!F36</f>
        <v>2863.8951600313458</v>
      </c>
      <c r="E36" s="809">
        <f>'1'!M36+'18'!G36+'18'!H36+'18'!I36+'18'!J36</f>
        <v>8362.4827007500717</v>
      </c>
      <c r="F36" s="784">
        <f>'1'!L36+'18'!C36+'18'!D36</f>
        <v>1702.3122678459999</v>
      </c>
      <c r="G36" s="784">
        <f t="shared" ref="G36" si="19">C36+D36</f>
        <v>3396.4292287118219</v>
      </c>
      <c r="H36" s="785">
        <f t="shared" si="10"/>
        <v>11758.911929461894</v>
      </c>
      <c r="I36" s="802">
        <f t="shared" ref="I36" si="20">F36+H36</f>
        <v>13461.224197307894</v>
      </c>
      <c r="J36" s="802">
        <f>'1'!K36</f>
        <v>1354</v>
      </c>
      <c r="K36" s="802">
        <f t="shared" ref="K36" si="21">C36+J36</f>
        <v>1886.5340686804761</v>
      </c>
      <c r="L36" s="381"/>
      <c r="M36" s="381"/>
      <c r="N36" s="381"/>
      <c r="O36" s="381"/>
      <c r="P36" s="381"/>
      <c r="Q36" s="381"/>
      <c r="R36" s="381"/>
      <c r="S36" s="381"/>
      <c r="T36" s="381"/>
      <c r="U36" s="381"/>
      <c r="V36" s="381"/>
      <c r="W36" s="381"/>
      <c r="X36" s="381"/>
      <c r="Y36" s="381"/>
    </row>
    <row r="37" spans="1:25" s="1077" customFormat="1" ht="14.25" customHeight="1">
      <c r="A37" s="1938"/>
      <c r="B37" s="433" t="s">
        <v>405</v>
      </c>
      <c r="C37" s="810">
        <f>'2'!L37</f>
        <v>536.66946904456495</v>
      </c>
      <c r="D37" s="810">
        <f>'18'!E37+'18'!F37</f>
        <v>2883.0935145973649</v>
      </c>
      <c r="E37" s="809">
        <f>'1'!M37+'18'!G37+'18'!H37+'18'!I37+'18'!J37</f>
        <v>8520.5293121694303</v>
      </c>
      <c r="F37" s="784">
        <f>'1'!L37+'18'!C37+'18'!D37</f>
        <v>1690.9893969760001</v>
      </c>
      <c r="G37" s="784">
        <f t="shared" ref="G37" si="22">C37+D37</f>
        <v>3419.7629836419301</v>
      </c>
      <c r="H37" s="785">
        <f t="shared" ref="H37" si="23">E37+G37</f>
        <v>11940.29229581136</v>
      </c>
      <c r="I37" s="802">
        <f t="shared" ref="I37" si="24">F37+H37</f>
        <v>13631.281692787359</v>
      </c>
      <c r="J37" s="802">
        <f>'1'!K37</f>
        <v>1484.4</v>
      </c>
      <c r="K37" s="802">
        <f t="shared" ref="K37" si="25">C37+J37</f>
        <v>2021.069469044565</v>
      </c>
      <c r="L37" s="381"/>
      <c r="M37" s="381"/>
      <c r="N37" s="381"/>
      <c r="O37" s="381"/>
      <c r="P37" s="381"/>
      <c r="Q37" s="381"/>
      <c r="R37" s="381"/>
      <c r="S37" s="381"/>
      <c r="T37" s="381"/>
      <c r="U37" s="381"/>
      <c r="V37" s="381"/>
      <c r="W37" s="381"/>
      <c r="X37" s="381"/>
      <c r="Y37" s="381"/>
    </row>
    <row r="38" spans="1:25" s="1077" customFormat="1" ht="14.25" customHeight="1">
      <c r="A38" s="1938"/>
      <c r="B38" s="433" t="s">
        <v>406</v>
      </c>
      <c r="C38" s="810">
        <f>'2'!L38</f>
        <v>549.69021495723905</v>
      </c>
      <c r="D38" s="810">
        <f>'18'!E38+'18'!F38+0.01</f>
        <v>2974.157032385051</v>
      </c>
      <c r="E38" s="809">
        <f>'1'!M38+'18'!G38+'18'!H38+'18'!I38+'18'!J38-0.05</f>
        <v>8456.5320239867469</v>
      </c>
      <c r="F38" s="784">
        <f>'1'!L38+'18'!C38+'18'!D38+0.03</f>
        <v>1653.6558215890002</v>
      </c>
      <c r="G38" s="784">
        <f>C38+D38+0.01</f>
        <v>3523.8572473422901</v>
      </c>
      <c r="H38" s="785">
        <f t="shared" ref="H38" si="26">E38+G38</f>
        <v>11980.389271329037</v>
      </c>
      <c r="I38" s="802">
        <f>F38+H38+0.01</f>
        <v>13634.055092918037</v>
      </c>
      <c r="J38" s="802">
        <f>'1'!K38</f>
        <v>1569.5</v>
      </c>
      <c r="K38" s="802">
        <f t="shared" ref="K38" si="27">C38+J38</f>
        <v>2119.1902149572388</v>
      </c>
      <c r="L38" s="381"/>
      <c r="M38" s="381"/>
      <c r="N38" s="381"/>
      <c r="O38" s="381"/>
      <c r="P38" s="381"/>
      <c r="Q38" s="381"/>
      <c r="R38" s="381"/>
      <c r="S38" s="381"/>
      <c r="T38" s="381"/>
      <c r="U38" s="381"/>
      <c r="V38" s="381"/>
      <c r="W38" s="381"/>
      <c r="X38" s="381"/>
      <c r="Y38" s="381"/>
    </row>
    <row r="39" spans="1:25" s="1077" customFormat="1" ht="14.25" customHeight="1">
      <c r="A39" s="1938"/>
      <c r="B39" s="433" t="s">
        <v>407</v>
      </c>
      <c r="C39" s="810">
        <f>'2'!L39</f>
        <v>535.08184891560677</v>
      </c>
      <c r="D39" s="810">
        <f>'18'!E39+'18'!F39</f>
        <v>2978.5011440642097</v>
      </c>
      <c r="E39" s="809">
        <f>'1'!M39+'18'!G39+'18'!H39+'18'!I39+'18'!J39</f>
        <v>8538.5591558794513</v>
      </c>
      <c r="F39" s="784">
        <f>'1'!L39+'18'!C39+'18'!D39</f>
        <v>1619.7222359805014</v>
      </c>
      <c r="G39" s="784">
        <f>C39+D39</f>
        <v>3513.5829929798165</v>
      </c>
      <c r="H39" s="785">
        <f>E39+G39+0.02</f>
        <v>12052.162148859268</v>
      </c>
      <c r="I39" s="802">
        <f>F39+H39</f>
        <v>13671.88438483977</v>
      </c>
      <c r="J39" s="802">
        <f>'1'!K39</f>
        <v>1603.1</v>
      </c>
      <c r="K39" s="802">
        <f t="shared" ref="K39" si="28">C39+J39</f>
        <v>2138.1818489156067</v>
      </c>
      <c r="L39" s="381"/>
      <c r="M39" s="381"/>
      <c r="N39" s="381"/>
      <c r="O39" s="381"/>
      <c r="P39" s="381"/>
      <c r="Q39" s="381"/>
      <c r="R39" s="381"/>
      <c r="S39" s="381"/>
      <c r="T39" s="381"/>
      <c r="U39" s="381"/>
      <c r="V39" s="381"/>
      <c r="W39" s="381"/>
      <c r="X39" s="381"/>
      <c r="Y39" s="381"/>
    </row>
    <row r="40" spans="1:25" s="1077" customFormat="1" ht="20.25" customHeight="1">
      <c r="A40" s="1938">
        <v>2020</v>
      </c>
      <c r="B40" s="433" t="s">
        <v>408</v>
      </c>
      <c r="C40" s="810">
        <f>'2'!L40</f>
        <v>550.02990037882114</v>
      </c>
      <c r="D40" s="810">
        <f>'18'!E40+'18'!F40</f>
        <v>2980.7121012273828</v>
      </c>
      <c r="E40" s="809">
        <f>'1'!M40+'18'!G40+'18'!H40+'18'!I40+'18'!J40</f>
        <v>8747.1593486685852</v>
      </c>
      <c r="F40" s="784">
        <f>'1'!L40+'18'!C40+'18'!D40</f>
        <v>1751.4476861039923</v>
      </c>
      <c r="G40" s="784">
        <f>C40+D40</f>
        <v>3530.7420016062042</v>
      </c>
      <c r="H40" s="785">
        <f>E40+G40</f>
        <v>12277.901350274789</v>
      </c>
      <c r="I40" s="802">
        <f>F40+H40</f>
        <v>14029.349036378782</v>
      </c>
      <c r="J40" s="802">
        <f>'1'!K40</f>
        <v>1751.6</v>
      </c>
      <c r="K40" s="802">
        <f t="shared" ref="K40" si="29">C40+J40</f>
        <v>2301.6299003788208</v>
      </c>
      <c r="L40" s="381"/>
      <c r="M40" s="381"/>
      <c r="N40" s="381"/>
      <c r="O40" s="381"/>
      <c r="P40" s="381"/>
      <c r="Q40" s="381"/>
      <c r="R40" s="381"/>
      <c r="S40" s="381"/>
      <c r="T40" s="381"/>
      <c r="U40" s="381"/>
      <c r="V40" s="381"/>
      <c r="W40" s="381"/>
      <c r="X40" s="381"/>
      <c r="Y40" s="381"/>
    </row>
    <row r="41" spans="1:25" s="1077" customFormat="1" ht="14.25" customHeight="1">
      <c r="A41" s="1956"/>
      <c r="B41" s="1659" t="s">
        <v>409</v>
      </c>
      <c r="C41" s="810">
        <f>'2'!L41</f>
        <v>558.54027070547488</v>
      </c>
      <c r="D41" s="810">
        <f>'18'!E41+'18'!F41</f>
        <v>2964.5658581398902</v>
      </c>
      <c r="E41" s="809">
        <f>'1'!M41+'18'!G41+'18'!H41+'18'!I41+'18'!J41+0.03</f>
        <v>8703.6629843578048</v>
      </c>
      <c r="F41" s="784">
        <f>'1'!L41+'18'!C41+'18'!D41</f>
        <v>1564.9479344140002</v>
      </c>
      <c r="G41" s="784">
        <f>C41+D41</f>
        <v>3523.1061288453652</v>
      </c>
      <c r="H41" s="785">
        <f>E41+G41</f>
        <v>12226.76911320317</v>
      </c>
      <c r="I41" s="802">
        <f>F41+H41</f>
        <v>13791.71704761717</v>
      </c>
      <c r="J41" s="802">
        <f>'1'!K41</f>
        <v>1692.1</v>
      </c>
      <c r="K41" s="802">
        <f t="shared" ref="K41" si="30">C41+J41</f>
        <v>2250.6402707054749</v>
      </c>
      <c r="L41" s="381"/>
      <c r="M41" s="381"/>
      <c r="N41" s="381"/>
      <c r="O41" s="381"/>
      <c r="P41" s="381"/>
      <c r="Q41" s="381"/>
      <c r="R41" s="381"/>
      <c r="S41" s="381"/>
      <c r="T41" s="381"/>
      <c r="U41" s="381"/>
      <c r="V41" s="381"/>
      <c r="W41" s="381"/>
      <c r="X41" s="381"/>
      <c r="Y41" s="381"/>
    </row>
    <row r="42" spans="1:25" s="1077" customFormat="1" ht="14.25" customHeight="1">
      <c r="A42" s="1956"/>
      <c r="B42" s="1659" t="s">
        <v>398</v>
      </c>
      <c r="C42" s="810">
        <f>'2'!L42</f>
        <v>573.23559985685995</v>
      </c>
      <c r="D42" s="810">
        <f>'18'!E42+'18'!F42</f>
        <v>3152.1455607119105</v>
      </c>
      <c r="E42" s="809">
        <f>'1'!M42+'18'!G42+'18'!H42+'18'!I42+'18'!J42+0.05</f>
        <v>8603.9715424211208</v>
      </c>
      <c r="F42" s="784">
        <f>'1'!L42+'18'!C42+'18'!D42</f>
        <v>1642.6009845069998</v>
      </c>
      <c r="G42" s="784">
        <f>C42+D42-0.04</f>
        <v>3725.3411605687706</v>
      </c>
      <c r="H42" s="785">
        <f>E42+G42</f>
        <v>12329.312702989891</v>
      </c>
      <c r="I42" s="802">
        <f>F42+H42</f>
        <v>13971.913687496892</v>
      </c>
      <c r="J42" s="802">
        <f>'1'!K42</f>
        <v>1708.5</v>
      </c>
      <c r="K42" s="802">
        <f t="shared" ref="K42" si="31">C42+J42</f>
        <v>2281.7355998568601</v>
      </c>
      <c r="L42" s="381"/>
      <c r="M42" s="381"/>
      <c r="N42" s="381"/>
      <c r="O42" s="381"/>
      <c r="P42" s="381"/>
      <c r="Q42" s="381"/>
      <c r="R42" s="381"/>
      <c r="S42" s="381"/>
      <c r="T42" s="381"/>
      <c r="U42" s="381"/>
      <c r="V42" s="381"/>
      <c r="W42" s="381"/>
      <c r="X42" s="381"/>
      <c r="Y42" s="381"/>
    </row>
    <row r="43" spans="1:25" s="1077" customFormat="1" ht="14.25" customHeight="1">
      <c r="A43" s="1956"/>
      <c r="B43" s="1659" t="s">
        <v>399</v>
      </c>
      <c r="C43" s="810">
        <f>'2'!L43</f>
        <v>610.23138305322414</v>
      </c>
      <c r="D43" s="810">
        <f>'18'!E43+'18'!F43</f>
        <v>3122.8766052903666</v>
      </c>
      <c r="E43" s="809">
        <f>'1'!M43+'18'!G43+'18'!H43+'18'!I43+'18'!J43</f>
        <v>8844.1247182005918</v>
      </c>
      <c r="F43" s="784">
        <f>'1'!L43+'18'!C43+'18'!D43-0.01</f>
        <v>1481.7416430990002</v>
      </c>
      <c r="G43" s="784">
        <f>C43+D43</f>
        <v>3733.1079883435905</v>
      </c>
      <c r="H43" s="785">
        <f>E43+G43</f>
        <v>12577.232706544182</v>
      </c>
      <c r="I43" s="802">
        <f>F43+H43-0.03</f>
        <v>14058.944349643181</v>
      </c>
      <c r="J43" s="802">
        <f>'1'!K43</f>
        <v>1621.5</v>
      </c>
      <c r="K43" s="802">
        <f t="shared" ref="K43" si="32">C43+J43</f>
        <v>2231.7313830532239</v>
      </c>
      <c r="L43" s="381"/>
      <c r="M43" s="381"/>
      <c r="N43" s="381"/>
      <c r="O43" s="381"/>
      <c r="P43" s="381"/>
      <c r="Q43" s="381"/>
      <c r="R43" s="381"/>
      <c r="S43" s="381"/>
      <c r="T43" s="381"/>
      <c r="U43" s="381"/>
      <c r="V43" s="381"/>
      <c r="W43" s="381"/>
      <c r="X43" s="381"/>
      <c r="Y43" s="381"/>
    </row>
    <row r="44" spans="1:25" s="1959" customFormat="1" ht="19.5" customHeight="1">
      <c r="A44" s="237" t="s">
        <v>466</v>
      </c>
      <c r="B44" s="237"/>
      <c r="C44" s="237"/>
      <c r="D44" s="237"/>
      <c r="E44" s="237"/>
      <c r="F44" s="236"/>
      <c r="G44" s="1957"/>
      <c r="H44" s="237"/>
      <c r="I44" s="1958"/>
      <c r="J44" s="1958"/>
      <c r="K44" s="1958" t="s">
        <v>467</v>
      </c>
    </row>
    <row r="45" spans="1:25" s="1959" customFormat="1" ht="13.7" customHeight="1">
      <c r="A45" s="1959" t="s">
        <v>468</v>
      </c>
      <c r="E45" s="1960"/>
      <c r="F45" s="28"/>
      <c r="I45" s="1961"/>
      <c r="J45" s="1961"/>
      <c r="K45" s="1961" t="s">
        <v>469</v>
      </c>
    </row>
    <row r="46" spans="1:25">
      <c r="A46" s="1962"/>
      <c r="E46" s="31"/>
      <c r="F46" s="31"/>
      <c r="I46" s="254"/>
      <c r="J46" s="254"/>
      <c r="K46" s="254"/>
    </row>
    <row r="47" spans="1:25">
      <c r="C47" s="687"/>
      <c r="D47" s="687"/>
      <c r="E47" s="687"/>
      <c r="F47" s="687"/>
      <c r="G47" s="687"/>
      <c r="H47" s="687"/>
      <c r="I47" s="687"/>
      <c r="J47" s="687"/>
      <c r="K47" s="687"/>
    </row>
    <row r="48" spans="1:25">
      <c r="A48" s="339" t="s">
        <v>470</v>
      </c>
      <c r="B48" s="1337"/>
      <c r="C48" s="1337"/>
      <c r="D48" s="1337"/>
      <c r="E48" s="1337"/>
      <c r="F48" s="1337"/>
      <c r="G48" s="1337"/>
      <c r="H48" s="1337"/>
      <c r="I48" s="1337"/>
      <c r="J48" s="1337"/>
      <c r="K48" s="1337"/>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47"/>
  <sheetViews>
    <sheetView zoomScale="90" zoomScaleNormal="90" workbookViewId="0">
      <pane ySplit="12" topLeftCell="A38" activePane="bottomLeft" state="frozen"/>
      <selection activeCell="A49" sqref="A1:XFD1048576"/>
      <selection pane="bottomLeft" activeCell="A49" sqref="A1:XFD1048576"/>
    </sheetView>
  </sheetViews>
  <sheetFormatPr defaultColWidth="7.85546875" defaultRowHeight="15"/>
  <cols>
    <col min="1" max="2" width="9.28515625" style="29" customWidth="1"/>
    <col min="3" max="10" width="16.85546875" style="14" customWidth="1"/>
    <col min="11" max="16384" width="7.85546875" style="14"/>
  </cols>
  <sheetData>
    <row r="1" spans="1:10" s="30" customFormat="1" ht="18" customHeight="1">
      <c r="A1" s="1911" t="s">
        <v>1633</v>
      </c>
      <c r="B1" s="1470"/>
      <c r="C1" s="1470"/>
      <c r="D1" s="1470"/>
      <c r="E1" s="1470"/>
      <c r="F1" s="1470"/>
      <c r="G1" s="1470"/>
      <c r="H1" s="1470"/>
      <c r="I1" s="1470"/>
      <c r="J1" s="1470"/>
    </row>
    <row r="2" spans="1:10" s="30" customFormat="1" ht="18" customHeight="1">
      <c r="A2" s="1912" t="s">
        <v>11</v>
      </c>
      <c r="B2" s="1470"/>
      <c r="C2" s="1470"/>
      <c r="D2" s="1470"/>
      <c r="E2" s="1470"/>
      <c r="F2" s="1470"/>
      <c r="G2" s="1470"/>
      <c r="H2" s="1470"/>
      <c r="I2" s="1470"/>
      <c r="J2" s="1470"/>
    </row>
    <row r="3" spans="1:10" s="30" customFormat="1" ht="18" customHeight="1">
      <c r="A3" s="1911" t="s">
        <v>10</v>
      </c>
      <c r="B3" s="1470"/>
      <c r="C3" s="1337"/>
      <c r="D3" s="1470"/>
      <c r="E3" s="1470"/>
      <c r="F3" s="1470"/>
      <c r="G3" s="1470"/>
      <c r="H3" s="1470"/>
      <c r="I3" s="1470"/>
      <c r="J3" s="1470"/>
    </row>
    <row r="4" spans="1:10" s="16" customFormat="1" ht="2.25" customHeight="1">
      <c r="A4" s="19"/>
      <c r="B4" s="19"/>
      <c r="C4" s="13"/>
      <c r="D4" s="13"/>
      <c r="E4" s="13"/>
      <c r="F4" s="13"/>
      <c r="G4" s="13"/>
      <c r="H4" s="13"/>
      <c r="I4" s="13"/>
      <c r="J4" s="29"/>
    </row>
    <row r="5" spans="1:10" s="16" customFormat="1" ht="14.25" customHeight="1">
      <c r="A5" s="40" t="s">
        <v>354</v>
      </c>
      <c r="B5" s="19"/>
      <c r="C5" s="34"/>
      <c r="D5" s="34"/>
      <c r="E5" s="34"/>
      <c r="F5" s="34"/>
      <c r="G5" s="34"/>
      <c r="H5" s="34"/>
      <c r="I5" s="34"/>
      <c r="J5" s="41" t="s">
        <v>355</v>
      </c>
    </row>
    <row r="6" spans="1:10" s="52" customFormat="1" ht="18.600000000000001" customHeight="1">
      <c r="A6" s="32"/>
      <c r="B6" s="51"/>
      <c r="C6" s="107" t="s">
        <v>471</v>
      </c>
      <c r="D6" s="108"/>
      <c r="E6" s="88"/>
      <c r="F6" s="107" t="s">
        <v>472</v>
      </c>
      <c r="G6" s="108"/>
      <c r="H6" s="108"/>
      <c r="I6" s="88"/>
      <c r="J6" s="109"/>
    </row>
    <row r="7" spans="1:10" s="52" customFormat="1" ht="18.600000000000001" customHeight="1">
      <c r="A7" s="33"/>
      <c r="B7" s="88"/>
      <c r="C7" s="110" t="s">
        <v>473</v>
      </c>
      <c r="D7" s="110"/>
      <c r="E7" s="111"/>
      <c r="F7" s="110" t="s">
        <v>474</v>
      </c>
      <c r="G7" s="110"/>
      <c r="H7" s="110"/>
      <c r="I7" s="111"/>
      <c r="J7" s="112"/>
    </row>
    <row r="8" spans="1:10" s="44" customFormat="1" ht="18.600000000000001" customHeight="1">
      <c r="A8" s="27" t="s">
        <v>364</v>
      </c>
      <c r="B8" s="80"/>
      <c r="C8" s="102" t="s">
        <v>475</v>
      </c>
      <c r="D8" s="103" t="s">
        <v>476</v>
      </c>
      <c r="E8" s="70"/>
      <c r="F8" s="102" t="s">
        <v>477</v>
      </c>
      <c r="G8" s="103" t="s">
        <v>477</v>
      </c>
      <c r="H8" s="103" t="s">
        <v>478</v>
      </c>
      <c r="I8" s="70"/>
      <c r="J8" s="86" t="s">
        <v>9</v>
      </c>
    </row>
    <row r="9" spans="1:10" s="52" customFormat="1" ht="18.600000000000001" customHeight="1">
      <c r="A9" s="89" t="s">
        <v>372</v>
      </c>
      <c r="B9" s="88"/>
      <c r="C9" s="116" t="s">
        <v>479</v>
      </c>
      <c r="D9" s="114" t="s">
        <v>480</v>
      </c>
      <c r="E9" s="114" t="s">
        <v>367</v>
      </c>
      <c r="F9" s="113" t="s">
        <v>376</v>
      </c>
      <c r="G9" s="114" t="s">
        <v>481</v>
      </c>
      <c r="H9" s="114" t="s">
        <v>482</v>
      </c>
      <c r="I9" s="79" t="s">
        <v>367</v>
      </c>
      <c r="J9" s="79" t="s">
        <v>450</v>
      </c>
    </row>
    <row r="10" spans="1:10" s="56" customFormat="1" ht="14.25" customHeight="1">
      <c r="A10" s="89"/>
      <c r="B10" s="90"/>
      <c r="C10" s="104" t="s">
        <v>483</v>
      </c>
      <c r="D10" s="91" t="s">
        <v>484</v>
      </c>
      <c r="E10" s="91"/>
      <c r="F10" s="117" t="s">
        <v>384</v>
      </c>
      <c r="G10" s="91" t="s">
        <v>384</v>
      </c>
      <c r="H10" s="91" t="s">
        <v>385</v>
      </c>
      <c r="I10" s="118"/>
      <c r="J10" s="79"/>
    </row>
    <row r="11" spans="1:10" s="56" customFormat="1" ht="14.25" customHeight="1">
      <c r="A11" s="89"/>
      <c r="B11" s="90"/>
      <c r="C11" s="70" t="s">
        <v>485</v>
      </c>
      <c r="D11" s="118" t="s">
        <v>391</v>
      </c>
      <c r="E11" s="118" t="s">
        <v>378</v>
      </c>
      <c r="F11" s="118" t="s">
        <v>486</v>
      </c>
      <c r="G11" s="118" t="s">
        <v>487</v>
      </c>
      <c r="H11" s="118" t="s">
        <v>488</v>
      </c>
      <c r="I11" s="118" t="s">
        <v>378</v>
      </c>
      <c r="J11" s="91" t="s">
        <v>239</v>
      </c>
    </row>
    <row r="12" spans="1:10" s="56" customFormat="1" ht="14.25" customHeight="1">
      <c r="A12" s="119"/>
      <c r="B12" s="120"/>
      <c r="C12" s="96"/>
      <c r="D12" s="97"/>
      <c r="E12" s="97"/>
      <c r="F12" s="97"/>
      <c r="G12" s="97"/>
      <c r="H12" s="97"/>
      <c r="I12" s="97"/>
      <c r="J12" s="96"/>
    </row>
    <row r="13" spans="1:10" s="327" customFormat="1" ht="20.25" customHeight="1">
      <c r="A13" s="432">
        <v>2010</v>
      </c>
      <c r="B13" s="433"/>
      <c r="C13" s="1915">
        <v>1800.6</v>
      </c>
      <c r="D13" s="783">
        <v>218.19021765005891</v>
      </c>
      <c r="E13" s="786">
        <v>2018.7902176500588</v>
      </c>
      <c r="F13" s="783">
        <v>1645.10543470374</v>
      </c>
      <c r="G13" s="786">
        <v>6545.1482942286202</v>
      </c>
      <c r="H13" s="783">
        <v>-713.31462818380419</v>
      </c>
      <c r="I13" s="786">
        <v>7476.9391007485556</v>
      </c>
      <c r="J13" s="1916">
        <v>9495.7271771473097</v>
      </c>
    </row>
    <row r="14" spans="1:10" s="435" customFormat="1" ht="14.25" customHeight="1">
      <c r="A14" s="380">
        <v>2011</v>
      </c>
      <c r="B14" s="434"/>
      <c r="C14" s="1917">
        <v>1596.2</v>
      </c>
      <c r="D14" s="1918">
        <v>1.8917392337014463</v>
      </c>
      <c r="E14" s="1919">
        <v>1598.0917392337014</v>
      </c>
      <c r="F14" s="1918">
        <v>2114.2251627403198</v>
      </c>
      <c r="G14" s="1919">
        <v>7525.5599388408973</v>
      </c>
      <c r="H14" s="1918">
        <v>-1243.923055309742</v>
      </c>
      <c r="I14" s="1919">
        <v>8395.8620462714753</v>
      </c>
      <c r="J14" s="1919">
        <v>9994.0318142390279</v>
      </c>
    </row>
    <row r="15" spans="1:10" s="435" customFormat="1" ht="14.25" customHeight="1">
      <c r="A15" s="380">
        <v>2012</v>
      </c>
      <c r="B15" s="434"/>
      <c r="C15" s="1917">
        <v>1844</v>
      </c>
      <c r="D15" s="1918">
        <v>-181.90937350276363</v>
      </c>
      <c r="E15" s="1919">
        <v>1662.0906264972364</v>
      </c>
      <c r="F15" s="1918">
        <v>2360.7943088608799</v>
      </c>
      <c r="G15" s="1919">
        <v>7994.23251742104</v>
      </c>
      <c r="H15" s="1918">
        <v>-1582.0057202845887</v>
      </c>
      <c r="I15" s="1919">
        <v>8773.0211059973299</v>
      </c>
      <c r="J15" s="1919">
        <v>10435.133027478656</v>
      </c>
    </row>
    <row r="16" spans="1:10" s="435" customFormat="1" ht="14.25" customHeight="1">
      <c r="A16" s="380">
        <v>2013</v>
      </c>
      <c r="B16" s="434"/>
      <c r="C16" s="1917">
        <v>1896.7</v>
      </c>
      <c r="D16" s="1918">
        <v>-354.62180860155604</v>
      </c>
      <c r="E16" s="1919">
        <v>1542.078191398444</v>
      </c>
      <c r="F16" s="1918">
        <v>3189.4740440544997</v>
      </c>
      <c r="G16" s="1919">
        <v>8519.2450403764451</v>
      </c>
      <c r="H16" s="1918">
        <v>-2031.1042622627767</v>
      </c>
      <c r="I16" s="1919">
        <v>9677.6148221681669</v>
      </c>
      <c r="J16" s="1919">
        <v>11219.657142200696</v>
      </c>
    </row>
    <row r="17" spans="1:23" s="435" customFormat="1" ht="14.25" customHeight="1">
      <c r="A17" s="380">
        <v>2014</v>
      </c>
      <c r="B17" s="434"/>
      <c r="C17" s="1917">
        <v>2167.3000000000002</v>
      </c>
      <c r="D17" s="1918">
        <v>122.41177370941296</v>
      </c>
      <c r="E17" s="1919">
        <v>2289.7117737094131</v>
      </c>
      <c r="F17" s="1918">
        <v>3465.7845422490727</v>
      </c>
      <c r="G17" s="1919">
        <v>8019.2158201434704</v>
      </c>
      <c r="H17" s="1918">
        <v>-2139.5032120377728</v>
      </c>
      <c r="I17" s="1919">
        <v>9345.4971503547713</v>
      </c>
      <c r="J17" s="1919">
        <v>11635.224385602125</v>
      </c>
    </row>
    <row r="18" spans="1:23" s="435" customFormat="1" ht="14.25" customHeight="1">
      <c r="A18" s="380">
        <v>2015</v>
      </c>
      <c r="B18" s="434"/>
      <c r="C18" s="1917">
        <v>1171.4000000000001</v>
      </c>
      <c r="D18" s="1918">
        <v>-371.47685041592558</v>
      </c>
      <c r="E18" s="1919">
        <v>799.92314958407451</v>
      </c>
      <c r="F18" s="1918">
        <v>4398.6006798342505</v>
      </c>
      <c r="G18" s="1919">
        <v>8627.4141532148751</v>
      </c>
      <c r="H18" s="1918">
        <v>-1930.746319067639</v>
      </c>
      <c r="I18" s="1919">
        <v>11095.268513981486</v>
      </c>
      <c r="J18" s="1919">
        <v>11895.181621364602</v>
      </c>
    </row>
    <row r="19" spans="1:23" s="435" customFormat="1" ht="14.25" customHeight="1">
      <c r="A19" s="380">
        <v>2016</v>
      </c>
      <c r="B19" s="434"/>
      <c r="C19" s="1917">
        <v>818.4</v>
      </c>
      <c r="D19" s="1918">
        <v>-588.26338214329007</v>
      </c>
      <c r="E19" s="1919">
        <v>230.1366178567099</v>
      </c>
      <c r="F19" s="1918">
        <v>5626.8132624427144</v>
      </c>
      <c r="G19" s="1919">
        <v>8755.5592465315076</v>
      </c>
      <c r="H19" s="1918">
        <v>-2590.6833779628132</v>
      </c>
      <c r="I19" s="1919">
        <v>11791.689131011408</v>
      </c>
      <c r="J19" s="1919">
        <v>12021.82690553366</v>
      </c>
    </row>
    <row r="20" spans="1:23" s="435" customFormat="1" ht="14.25" customHeight="1">
      <c r="A20" s="380">
        <v>2017</v>
      </c>
      <c r="B20" s="434"/>
      <c r="C20" s="1917">
        <v>883.1</v>
      </c>
      <c r="D20" s="1918">
        <v>-921.46110953044877</v>
      </c>
      <c r="E20" s="1919">
        <v>-38.361109530448743</v>
      </c>
      <c r="F20" s="1918">
        <v>6094.3643282399189</v>
      </c>
      <c r="G20" s="1919">
        <v>8970.1976701133171</v>
      </c>
      <c r="H20" s="1918">
        <v>-2504.8704568670537</v>
      </c>
      <c r="I20" s="1919">
        <v>12559.691541486183</v>
      </c>
      <c r="J20" s="1919">
        <v>12521.33834765356</v>
      </c>
    </row>
    <row r="21" spans="1:23" s="411" customFormat="1" ht="14.25" customHeight="1">
      <c r="A21" s="905">
        <v>2018</v>
      </c>
      <c r="B21" s="1388"/>
      <c r="C21" s="1920">
        <f t="shared" ref="C21:J21" si="0">C25</f>
        <v>702.3</v>
      </c>
      <c r="D21" s="1920">
        <f t="shared" si="0"/>
        <v>-1106.9416969982703</v>
      </c>
      <c r="E21" s="814">
        <f t="shared" si="0"/>
        <v>-404.64169699827039</v>
      </c>
      <c r="F21" s="1920">
        <f t="shared" si="0"/>
        <v>6057.6131674958597</v>
      </c>
      <c r="G21" s="814">
        <f t="shared" si="0"/>
        <v>9860.5224357719762</v>
      </c>
      <c r="H21" s="1920">
        <f t="shared" si="0"/>
        <v>-2891.4280632143264</v>
      </c>
      <c r="I21" s="814">
        <f t="shared" si="0"/>
        <v>13026.70754005351</v>
      </c>
      <c r="J21" s="814">
        <f t="shared" si="0"/>
        <v>12622.075757186307</v>
      </c>
      <c r="K21" s="1682"/>
    </row>
    <row r="22" spans="1:23" s="411" customFormat="1" ht="14.25" customHeight="1">
      <c r="A22" s="1193">
        <v>2019</v>
      </c>
      <c r="B22" s="1683"/>
      <c r="C22" s="1921">
        <f t="shared" ref="C22:J22" si="1">C29</f>
        <v>1278.5999999999999</v>
      </c>
      <c r="D22" s="1921">
        <f t="shared" si="1"/>
        <v>-978.95207411742194</v>
      </c>
      <c r="E22" s="1922">
        <f t="shared" si="1"/>
        <v>299.64792588257797</v>
      </c>
      <c r="F22" s="1921">
        <f t="shared" si="1"/>
        <v>6622.4570046662348</v>
      </c>
      <c r="G22" s="1922">
        <f t="shared" si="1"/>
        <v>9966.7851993423283</v>
      </c>
      <c r="H22" s="1921">
        <f t="shared" si="1"/>
        <v>-3217.0007851050414</v>
      </c>
      <c r="I22" s="1922">
        <f t="shared" si="1"/>
        <v>13372.261418903521</v>
      </c>
      <c r="J22" s="1922">
        <f t="shared" si="1"/>
        <v>13671.88438483977</v>
      </c>
      <c r="K22" s="1682"/>
    </row>
    <row r="23" spans="1:23" s="411" customFormat="1" ht="20.25" customHeight="1">
      <c r="A23" s="905">
        <v>2018</v>
      </c>
      <c r="B23" s="1388" t="s">
        <v>223</v>
      </c>
      <c r="C23" s="1920">
        <v>820.6</v>
      </c>
      <c r="D23" s="1920">
        <v>-1258.9510774491318</v>
      </c>
      <c r="E23" s="814">
        <v>-438.35107744913182</v>
      </c>
      <c r="F23" s="1920">
        <v>6271.635230949576</v>
      </c>
      <c r="G23" s="814">
        <v>9443.9803541446527</v>
      </c>
      <c r="H23" s="1920">
        <v>-2874.8650595809095</v>
      </c>
      <c r="I23" s="814">
        <v>12840.740525513318</v>
      </c>
      <c r="J23" s="814">
        <v>12402.344193135747</v>
      </c>
    </row>
    <row r="24" spans="1:23" s="411" customFormat="1" ht="14.25" customHeight="1">
      <c r="A24" s="905"/>
      <c r="B24" s="1388" t="s">
        <v>224</v>
      </c>
      <c r="C24" s="1920">
        <v>561.4</v>
      </c>
      <c r="D24" s="1920">
        <v>-1029.6999147901024</v>
      </c>
      <c r="E24" s="814">
        <v>-468.29991479010243</v>
      </c>
      <c r="F24" s="1920">
        <v>5908.0585815222476</v>
      </c>
      <c r="G24" s="814">
        <v>9600.3368141435567</v>
      </c>
      <c r="H24" s="1920">
        <v>-2625.5578342094</v>
      </c>
      <c r="I24" s="814">
        <v>12882.837561456405</v>
      </c>
      <c r="J24" s="814">
        <v>12414.492458565473</v>
      </c>
      <c r="K24" s="1682"/>
    </row>
    <row r="25" spans="1:23" s="411" customFormat="1" ht="14.25" customHeight="1">
      <c r="A25" s="905"/>
      <c r="B25" s="1388" t="s">
        <v>225</v>
      </c>
      <c r="C25" s="1920">
        <v>702.3</v>
      </c>
      <c r="D25" s="1920">
        <v>-1106.9416969982703</v>
      </c>
      <c r="E25" s="814">
        <v>-404.64169699827039</v>
      </c>
      <c r="F25" s="1920">
        <v>6057.6131674958597</v>
      </c>
      <c r="G25" s="814">
        <v>9860.5224357719762</v>
      </c>
      <c r="H25" s="1920">
        <v>-2891.4280632143264</v>
      </c>
      <c r="I25" s="814">
        <v>13026.70754005351</v>
      </c>
      <c r="J25" s="814">
        <v>12622.075757186307</v>
      </c>
      <c r="K25" s="1682"/>
    </row>
    <row r="26" spans="1:23" s="411" customFormat="1" ht="20.25" customHeight="1">
      <c r="A26" s="905">
        <v>2019</v>
      </c>
      <c r="B26" s="1388" t="s">
        <v>222</v>
      </c>
      <c r="C26" s="1920">
        <v>1108.4000000000001</v>
      </c>
      <c r="D26" s="1920">
        <v>-1245.1242000871698</v>
      </c>
      <c r="E26" s="814">
        <v>-136.72420008716972</v>
      </c>
      <c r="F26" s="1920">
        <v>6990.1556622695289</v>
      </c>
      <c r="G26" s="814">
        <v>9856.4386118360235</v>
      </c>
      <c r="H26" s="1920">
        <v>-3558.682014452208</v>
      </c>
      <c r="I26" s="814">
        <v>13287.912259653343</v>
      </c>
      <c r="J26" s="814">
        <v>13151.215110137386</v>
      </c>
      <c r="K26" s="1682"/>
    </row>
    <row r="27" spans="1:23" s="411" customFormat="1" ht="14.25" customHeight="1">
      <c r="A27" s="905"/>
      <c r="B27" s="1388" t="s">
        <v>223</v>
      </c>
      <c r="C27" s="1920">
        <f t="shared" ref="C27:J27" si="2">C33</f>
        <v>1275.5</v>
      </c>
      <c r="D27" s="1920">
        <f t="shared" si="2"/>
        <v>-1175.8827831291205</v>
      </c>
      <c r="E27" s="814">
        <f t="shared" si="2"/>
        <v>99.617216870879474</v>
      </c>
      <c r="F27" s="1920">
        <f t="shared" si="2"/>
        <v>6737.5903522619792</v>
      </c>
      <c r="G27" s="814">
        <f t="shared" si="2"/>
        <v>10076.38490777323</v>
      </c>
      <c r="H27" s="1920">
        <f t="shared" si="2"/>
        <v>-3367.3117543777903</v>
      </c>
      <c r="I27" s="814">
        <f t="shared" si="2"/>
        <v>13446.663505657418</v>
      </c>
      <c r="J27" s="814">
        <f t="shared" si="2"/>
        <v>13546.250419941087</v>
      </c>
      <c r="K27" s="1682"/>
    </row>
    <row r="28" spans="1:23" s="411" customFormat="1" ht="14.25" customHeight="1">
      <c r="A28" s="905"/>
      <c r="B28" s="1388" t="s">
        <v>224</v>
      </c>
      <c r="C28" s="1920">
        <f t="shared" ref="C28:J28" si="3">C36</f>
        <v>1371.4</v>
      </c>
      <c r="D28" s="1920">
        <f t="shared" si="3"/>
        <v>-1124.1925632794209</v>
      </c>
      <c r="E28" s="814">
        <f t="shared" si="3"/>
        <v>247.20743672057915</v>
      </c>
      <c r="F28" s="1920">
        <f t="shared" si="3"/>
        <v>6568.4363580098243</v>
      </c>
      <c r="G28" s="814">
        <f t="shared" si="3"/>
        <v>10064.772981701784</v>
      </c>
      <c r="H28" s="1920">
        <f t="shared" si="3"/>
        <v>-3419.1534853301237</v>
      </c>
      <c r="I28" s="814">
        <f t="shared" si="3"/>
        <v>13214.035854381484</v>
      </c>
      <c r="J28" s="814">
        <f t="shared" si="3"/>
        <v>13461.224197307894</v>
      </c>
      <c r="K28" s="1682"/>
    </row>
    <row r="29" spans="1:23" s="411" customFormat="1" ht="14.25" customHeight="1">
      <c r="A29" s="905"/>
      <c r="B29" s="1388" t="s">
        <v>225</v>
      </c>
      <c r="C29" s="1920">
        <f t="shared" ref="C29:J29" si="4">C39</f>
        <v>1278.5999999999999</v>
      </c>
      <c r="D29" s="1920">
        <f t="shared" si="4"/>
        <v>-978.95207411742194</v>
      </c>
      <c r="E29" s="814">
        <f t="shared" si="4"/>
        <v>299.64792588257797</v>
      </c>
      <c r="F29" s="1920">
        <f t="shared" si="4"/>
        <v>6622.4570046662348</v>
      </c>
      <c r="G29" s="814">
        <f t="shared" si="4"/>
        <v>9966.7851993423283</v>
      </c>
      <c r="H29" s="1920">
        <f t="shared" si="4"/>
        <v>-3217.0007851050414</v>
      </c>
      <c r="I29" s="814">
        <f t="shared" si="4"/>
        <v>13372.261418903521</v>
      </c>
      <c r="J29" s="814">
        <f t="shared" si="4"/>
        <v>13671.88438483977</v>
      </c>
      <c r="K29" s="1682"/>
    </row>
    <row r="30" spans="1:23" s="411" customFormat="1" ht="21" customHeight="1">
      <c r="A30" s="1193">
        <v>2020</v>
      </c>
      <c r="B30" s="1683" t="s">
        <v>222</v>
      </c>
      <c r="C30" s="1921">
        <f t="shared" ref="C30:J30" si="5">C42</f>
        <v>617.1</v>
      </c>
      <c r="D30" s="1921">
        <f t="shared" si="5"/>
        <v>-1568.0728771419781</v>
      </c>
      <c r="E30" s="1922">
        <f t="shared" si="5"/>
        <v>-950.97287714197807</v>
      </c>
      <c r="F30" s="1921">
        <f t="shared" si="5"/>
        <v>7445.788449232844</v>
      </c>
      <c r="G30" s="1922">
        <f t="shared" si="5"/>
        <v>10301.09155770878</v>
      </c>
      <c r="H30" s="1921">
        <f t="shared" si="5"/>
        <v>-2824.0297812059198</v>
      </c>
      <c r="I30" s="1922">
        <f t="shared" si="5"/>
        <v>14922.850225735705</v>
      </c>
      <c r="J30" s="1922">
        <f t="shared" si="5"/>
        <v>13971.913687496892</v>
      </c>
      <c r="K30" s="1682"/>
    </row>
    <row r="31" spans="1:23" s="327" customFormat="1" ht="20.25" customHeight="1">
      <c r="A31" s="432">
        <v>2019</v>
      </c>
      <c r="B31" s="433" t="s">
        <v>399</v>
      </c>
      <c r="C31" s="783">
        <f>'1'!C31+'1'!D31-'1'!I31</f>
        <v>920.8</v>
      </c>
      <c r="D31" s="783">
        <f>'15'!J31</f>
        <v>-1349.0997196976441</v>
      </c>
      <c r="E31" s="786">
        <f t="shared" ref="E31" si="6">SUM(C31:D31)</f>
        <v>-428.29971969764415</v>
      </c>
      <c r="F31" s="783">
        <f>'1'!F31+'13'!G31+'13'!H31</f>
        <v>7206.5973853642545</v>
      </c>
      <c r="G31" s="786">
        <f>'13'!F31</f>
        <v>9949.7896165233615</v>
      </c>
      <c r="H31" s="783">
        <f>('1'!E31+'1'!G31+'13'!D31+'13'!E31+'13'!I31)-('1'!K31+'1'!N31+'1'!O31+'14'!C31+'14'!D31+'14'!G31+'14'!H31+'[5]2'!$I$20+'[5]2'!$I$21+'[5]2'!$I$28+'[5]2'!$I$29)-0.02</f>
        <v>-3317.9564412976265</v>
      </c>
      <c r="I31" s="786">
        <f t="shared" ref="I31" si="7">SUM(F31:H31)</f>
        <v>13838.430560589988</v>
      </c>
      <c r="J31" s="786">
        <f>'3'!I31</f>
        <v>13410.085736394627</v>
      </c>
      <c r="K31" s="381"/>
      <c r="L31" s="381"/>
      <c r="M31" s="381"/>
      <c r="N31" s="381"/>
      <c r="O31" s="381"/>
      <c r="P31" s="381"/>
      <c r="Q31" s="381"/>
      <c r="R31" s="381"/>
      <c r="S31" s="381"/>
      <c r="T31" s="381"/>
      <c r="U31" s="381"/>
      <c r="V31" s="381"/>
      <c r="W31" s="381"/>
    </row>
    <row r="32" spans="1:23" s="327" customFormat="1" ht="14.25" customHeight="1">
      <c r="A32" s="432"/>
      <c r="B32" s="433" t="s">
        <v>400</v>
      </c>
      <c r="C32" s="783">
        <f>'1'!C32+'1'!D32-'1'!I32</f>
        <v>1451.1</v>
      </c>
      <c r="D32" s="783">
        <f>'15'!J32</f>
        <v>-1229.2119437358651</v>
      </c>
      <c r="E32" s="786">
        <f t="shared" ref="E32" si="8">SUM(C32:D32)</f>
        <v>221.88805626413478</v>
      </c>
      <c r="F32" s="783">
        <f>'1'!F32+'13'!G32+'13'!H32</f>
        <v>6749.1882266256162</v>
      </c>
      <c r="G32" s="786">
        <f>'13'!F32</f>
        <v>10004.65877269601</v>
      </c>
      <c r="H32" s="783">
        <f>('1'!E32+'1'!G32+'13'!D32+'13'!E32+'13'!I32)-('1'!K32+'1'!N32+'1'!O32+'14'!C32+'14'!D32+'14'!G32+'14'!H32+'[6]2'!$I$20+'[6]2'!$I$21+'[6]2'!$I$28+'[6]2'!$I$29)+0.1</f>
        <v>-3532.7159394004161</v>
      </c>
      <c r="I32" s="786">
        <f>SUM(F32:H32)+0.05</f>
        <v>13221.181059921211</v>
      </c>
      <c r="J32" s="786">
        <f>'3'!I32</f>
        <v>13443.060806017133</v>
      </c>
      <c r="K32" s="381"/>
      <c r="L32" s="381"/>
      <c r="M32" s="381"/>
      <c r="N32" s="381"/>
      <c r="O32" s="381"/>
      <c r="P32" s="381"/>
      <c r="Q32" s="381"/>
      <c r="R32" s="381"/>
      <c r="S32" s="381"/>
      <c r="T32" s="381"/>
      <c r="U32" s="381"/>
      <c r="V32" s="381"/>
      <c r="W32" s="381"/>
    </row>
    <row r="33" spans="1:23" s="327" customFormat="1" ht="14.25" customHeight="1">
      <c r="A33" s="432"/>
      <c r="B33" s="433" t="s">
        <v>401</v>
      </c>
      <c r="C33" s="783">
        <f>'1'!C33+'1'!D33-'1'!I33</f>
        <v>1275.5</v>
      </c>
      <c r="D33" s="783">
        <f>'15'!J33</f>
        <v>-1175.8827831291205</v>
      </c>
      <c r="E33" s="786">
        <f t="shared" ref="E33" si="9">SUM(C33:D33)</f>
        <v>99.617216870879474</v>
      </c>
      <c r="F33" s="783">
        <f>'1'!F33+'13'!G33+'13'!H33</f>
        <v>6737.5903522619792</v>
      </c>
      <c r="G33" s="786">
        <f>'13'!F33</f>
        <v>10076.38490777323</v>
      </c>
      <c r="H33" s="783">
        <f>('1'!E33+'1'!G33+'13'!D33+'13'!E33+'13'!I33)-('1'!K33+'1'!N33+'1'!O33+'14'!C33+'14'!D33+'14'!G33+'14'!H33+'[7]2'!$I$20+'[7]2'!$I$21+'[7]2'!$I$28+'[7]2'!$I$29)+0.1</f>
        <v>-3367.3117543777903</v>
      </c>
      <c r="I33" s="786">
        <f>SUM(F33:H33)</f>
        <v>13446.663505657418</v>
      </c>
      <c r="J33" s="786">
        <f>'3'!I33</f>
        <v>13546.250419941087</v>
      </c>
      <c r="K33" s="381"/>
      <c r="L33" s="381"/>
      <c r="M33" s="381"/>
      <c r="N33" s="381"/>
      <c r="O33" s="381"/>
      <c r="P33" s="381"/>
      <c r="Q33" s="381"/>
      <c r="R33" s="381"/>
      <c r="S33" s="381"/>
      <c r="T33" s="381"/>
      <c r="U33" s="381"/>
      <c r="V33" s="381"/>
      <c r="W33" s="381"/>
    </row>
    <row r="34" spans="1:23" s="327" customFormat="1" ht="14.25" customHeight="1">
      <c r="A34" s="432"/>
      <c r="B34" s="433" t="s">
        <v>402</v>
      </c>
      <c r="C34" s="783">
        <f>'1'!C34+'1'!D34-'1'!I34</f>
        <v>1104.3</v>
      </c>
      <c r="D34" s="783">
        <f>'15'!J34</f>
        <v>-1187.0047792041642</v>
      </c>
      <c r="E34" s="786">
        <f t="shared" ref="E34" si="10">SUM(C34:D34)</f>
        <v>-82.704779204164197</v>
      </c>
      <c r="F34" s="783">
        <f>'1'!F34+'13'!G34+'13'!H34</f>
        <v>6979.1057403652067</v>
      </c>
      <c r="G34" s="786">
        <f>'13'!F34</f>
        <v>10052.555414236502</v>
      </c>
      <c r="H34" s="783">
        <f>('1'!E34+'1'!G34+'13'!D34+'13'!E34+'13'!I34)-('1'!K34+'1'!N34+'1'!O34+'14'!C34+'14'!D34+'14'!G34+'14'!H34+'[8]2'!$I$20+'[8]2'!$I$21+'[8]2'!$I$28+'[8]2'!$I$29)</f>
        <v>-3585.7060040107954</v>
      </c>
      <c r="I34" s="786">
        <f>SUM(F34:H34)</f>
        <v>13445.955150590913</v>
      </c>
      <c r="J34" s="786">
        <f>'3'!I34</f>
        <v>13363.296769804714</v>
      </c>
      <c r="K34" s="381"/>
      <c r="L34" s="381"/>
      <c r="M34" s="381"/>
      <c r="N34" s="381"/>
      <c r="O34" s="381"/>
      <c r="P34" s="381"/>
      <c r="Q34" s="381"/>
      <c r="R34" s="381"/>
      <c r="S34" s="381"/>
      <c r="T34" s="381"/>
      <c r="U34" s="381"/>
      <c r="V34" s="381"/>
      <c r="W34" s="381"/>
    </row>
    <row r="35" spans="1:23" s="327" customFormat="1" ht="14.25" customHeight="1">
      <c r="A35" s="432"/>
      <c r="B35" s="433" t="s">
        <v>403</v>
      </c>
      <c r="C35" s="783">
        <f>'1'!C35+'1'!D35-'1'!I35</f>
        <v>1046.5999999999999</v>
      </c>
      <c r="D35" s="783">
        <f>'15'!J35</f>
        <v>-1115.6529335939886</v>
      </c>
      <c r="E35" s="786">
        <f t="shared" ref="E35" si="11">SUM(C35:D35)</f>
        <v>-69.052933593988655</v>
      </c>
      <c r="F35" s="783">
        <f>'1'!F35+'13'!G35+'13'!H35</f>
        <v>6979.3912924868109</v>
      </c>
      <c r="G35" s="786">
        <f>'13'!F35</f>
        <v>10093.475467860737</v>
      </c>
      <c r="H35" s="783">
        <f>('1'!E35+'1'!G35+'13'!D35+'13'!E35+'13'!I35)-('1'!K35+'1'!N35+'1'!O35+'14'!C35+'14'!D35+'14'!G35+'14'!H35+'[9]2'!$I$20+'[9]2'!$I$21+'[9]2'!$I$28+'[9]2'!$I$29)</f>
        <v>-3472.2886833853372</v>
      </c>
      <c r="I35" s="786">
        <f>SUM(F35:H35)</f>
        <v>13600.578076962211</v>
      </c>
      <c r="J35" s="786">
        <f>'3'!I35</f>
        <v>13531.520190091462</v>
      </c>
      <c r="K35" s="381"/>
      <c r="L35" s="381"/>
      <c r="M35" s="381"/>
      <c r="N35" s="381"/>
      <c r="O35" s="381"/>
      <c r="P35" s="381"/>
      <c r="Q35" s="381"/>
      <c r="R35" s="381"/>
      <c r="S35" s="381"/>
      <c r="T35" s="381"/>
      <c r="U35" s="381"/>
      <c r="V35" s="381"/>
      <c r="W35" s="381"/>
    </row>
    <row r="36" spans="1:23" s="327" customFormat="1" ht="14.25" customHeight="1">
      <c r="A36" s="432"/>
      <c r="B36" s="433" t="s">
        <v>404</v>
      </c>
      <c r="C36" s="783">
        <f>'1'!C36+'1'!D36-'1'!I36</f>
        <v>1371.4</v>
      </c>
      <c r="D36" s="783">
        <f>'15'!J36</f>
        <v>-1124.1925632794209</v>
      </c>
      <c r="E36" s="786">
        <f t="shared" ref="E36" si="12">SUM(C36:D36)</f>
        <v>247.20743672057915</v>
      </c>
      <c r="F36" s="783">
        <f>'1'!F36+'13'!G36+'13'!H36-0.03</f>
        <v>6568.4363580098243</v>
      </c>
      <c r="G36" s="786">
        <f>'13'!F36</f>
        <v>10064.772981701784</v>
      </c>
      <c r="H36" s="783">
        <f>('1'!E36+'1'!G36+'13'!D36+'13'!E36+'13'!I36)-('1'!K36+'1'!N36+'1'!O36+'14'!C36+'14'!D36+'14'!G36+'14'!H36+'[10]2'!$I$20+'[10]2'!$I$21+'[10]2'!$I$28+'[10]2'!$I$29)</f>
        <v>-3419.1534853301237</v>
      </c>
      <c r="I36" s="786">
        <f>SUM(F36:H36)-0.02</f>
        <v>13214.035854381484</v>
      </c>
      <c r="J36" s="786">
        <f>'3'!I36</f>
        <v>13461.224197307894</v>
      </c>
      <c r="K36" s="381"/>
      <c r="L36" s="381"/>
      <c r="M36" s="381"/>
      <c r="N36" s="381"/>
      <c r="O36" s="381"/>
      <c r="P36" s="381"/>
      <c r="Q36" s="381"/>
      <c r="R36" s="381"/>
      <c r="S36" s="381"/>
      <c r="T36" s="381"/>
      <c r="U36" s="381"/>
      <c r="V36" s="381"/>
      <c r="W36" s="381"/>
    </row>
    <row r="37" spans="1:23" s="327" customFormat="1" ht="14.25" customHeight="1">
      <c r="A37" s="432"/>
      <c r="B37" s="433" t="s">
        <v>405</v>
      </c>
      <c r="C37" s="783">
        <f>'1'!C37+'1'!D37-'1'!I37</f>
        <v>1359.9</v>
      </c>
      <c r="D37" s="783">
        <f>'15'!J37</f>
        <v>-1097.1442983414036</v>
      </c>
      <c r="E37" s="786">
        <f t="shared" ref="E37" si="13">SUM(C37:D37)</f>
        <v>262.75570165859654</v>
      </c>
      <c r="F37" s="783">
        <f>'1'!F37+'13'!G37+'13'!H37</f>
        <v>6714.9913304458541</v>
      </c>
      <c r="G37" s="786">
        <f>'13'!F37</f>
        <v>10068.448617352189</v>
      </c>
      <c r="H37" s="783">
        <f>('1'!E37+'1'!G37+'13'!D37+'13'!E37+'13'!I37)-('1'!K37+'1'!N37+'1'!O37+'14'!C37+'14'!D37+'14'!G37+'14'!H37+'[11]2'!$I$20+'[11]2'!$I$21+'[11]2'!$I$28+'[11]2'!$I$29)-0.06</f>
        <v>-3414.8964902383309</v>
      </c>
      <c r="I37" s="786">
        <f>SUM(F37:H37)</f>
        <v>13368.543457559714</v>
      </c>
      <c r="J37" s="786">
        <f>'3'!I37</f>
        <v>13631.281692787359</v>
      </c>
      <c r="K37" s="381"/>
      <c r="L37" s="381"/>
      <c r="M37" s="381"/>
      <c r="N37" s="381"/>
      <c r="O37" s="381"/>
      <c r="P37" s="381"/>
      <c r="Q37" s="381"/>
      <c r="R37" s="381"/>
      <c r="S37" s="381"/>
      <c r="T37" s="381"/>
      <c r="U37" s="381"/>
      <c r="V37" s="381"/>
      <c r="W37" s="381"/>
    </row>
    <row r="38" spans="1:23" s="327" customFormat="1" ht="14.25" customHeight="1">
      <c r="A38" s="432"/>
      <c r="B38" s="433" t="s">
        <v>406</v>
      </c>
      <c r="C38" s="783">
        <f>'1'!C38+'1'!D38-'1'!I38</f>
        <v>1315.1</v>
      </c>
      <c r="D38" s="783">
        <f>'15'!J38</f>
        <v>-1046.4575998075063</v>
      </c>
      <c r="E38" s="786">
        <f t="shared" ref="E38" si="14">SUM(C38:D38)</f>
        <v>268.6424001924936</v>
      </c>
      <c r="F38" s="783">
        <f>'1'!F38+'13'!G38+'13'!H38+0.02</f>
        <v>6696.8603009878861</v>
      </c>
      <c r="G38" s="786">
        <f>'13'!F38</f>
        <v>10043.302424133482</v>
      </c>
      <c r="H38" s="783">
        <f>('1'!E38+'1'!G38+'13'!D38+'13'!E38+'13'!I38)-('1'!K38+'1'!N38+'1'!O38+'14'!C38+'14'!D38+'14'!G38+'14'!H38+'[12]2'!$I$20+'[12]2'!$I$21+'[12]2'!$I$28+'[12]2'!$I$29)</f>
        <v>-3374.6769842560279</v>
      </c>
      <c r="I38" s="786">
        <f>SUM(F38:H38)</f>
        <v>13365.485740865341</v>
      </c>
      <c r="J38" s="786">
        <f>'3'!I38</f>
        <v>13634.055092918037</v>
      </c>
      <c r="K38" s="381"/>
      <c r="L38" s="381"/>
      <c r="M38" s="381"/>
      <c r="N38" s="381"/>
      <c r="O38" s="381"/>
      <c r="P38" s="381"/>
      <c r="Q38" s="381"/>
      <c r="R38" s="381"/>
      <c r="S38" s="381"/>
      <c r="T38" s="381"/>
      <c r="U38" s="381"/>
      <c r="V38" s="381"/>
      <c r="W38" s="381"/>
    </row>
    <row r="39" spans="1:23" s="327" customFormat="1" ht="14.25" customHeight="1">
      <c r="A39" s="432"/>
      <c r="B39" s="433" t="s">
        <v>407</v>
      </c>
      <c r="C39" s="783">
        <f>'1'!C39+'1'!D39-'1'!I39</f>
        <v>1278.5999999999999</v>
      </c>
      <c r="D39" s="783">
        <f>'15'!J39</f>
        <v>-978.95207411742194</v>
      </c>
      <c r="E39" s="786">
        <f t="shared" ref="E39" si="15">SUM(C39:D39)</f>
        <v>299.64792588257797</v>
      </c>
      <c r="F39" s="783">
        <f>'1'!F39+'13'!G39+'13'!H39</f>
        <v>6622.4570046662348</v>
      </c>
      <c r="G39" s="786">
        <f>'13'!F39</f>
        <v>9966.7851993423283</v>
      </c>
      <c r="H39" s="783">
        <f>('1'!E39+'1'!G39+'13'!D39+'13'!E39+'13'!I39)-('1'!K39+'1'!N39+'1'!O39+'14'!C39+'14'!D39+'14'!G39+'14'!H39+'[13]2'!$I$20+'[13]2'!$I$21+'[13]2'!$I$28+'[13]2'!$I$29)+0.2</f>
        <v>-3217.0007851050414</v>
      </c>
      <c r="I39" s="786">
        <f>SUM(F39:H39)+0.02</f>
        <v>13372.261418903521</v>
      </c>
      <c r="J39" s="786">
        <f>'3'!I39</f>
        <v>13671.88438483977</v>
      </c>
      <c r="K39" s="381"/>
      <c r="L39" s="381"/>
      <c r="M39" s="381"/>
      <c r="N39" s="381"/>
      <c r="O39" s="381"/>
      <c r="P39" s="381"/>
      <c r="Q39" s="381"/>
      <c r="R39" s="381"/>
      <c r="S39" s="381"/>
      <c r="T39" s="381"/>
      <c r="U39" s="381"/>
      <c r="V39" s="381"/>
      <c r="W39" s="381"/>
    </row>
    <row r="40" spans="1:23" s="327" customFormat="1" ht="20.25" customHeight="1">
      <c r="A40" s="432">
        <v>2020</v>
      </c>
      <c r="B40" s="433" t="s">
        <v>408</v>
      </c>
      <c r="C40" s="783">
        <f>'1'!C40+'1'!D40-'1'!I40</f>
        <v>1246</v>
      </c>
      <c r="D40" s="783">
        <f>'15'!J40</f>
        <v>-604.0282515308736</v>
      </c>
      <c r="E40" s="786">
        <f t="shared" ref="E40" si="16">SUM(C40:D40)</f>
        <v>641.9717484691264</v>
      </c>
      <c r="F40" s="783">
        <f>'1'!F40+'13'!G40+'13'!H40</f>
        <v>6808.299990708967</v>
      </c>
      <c r="G40" s="786">
        <f>'13'!F40</f>
        <v>10013.105728379634</v>
      </c>
      <c r="H40" s="783">
        <f>('1'!E40+'1'!G40+'13'!D40+'13'!E40+'13'!I40)-('1'!K40+'1'!N40+'1'!O40+'14'!C40+'14'!D40+'14'!G40+'14'!H40+'[14]2'!$I$20+'[14]2'!$I$21+'[14]2'!$I$28+'[14]2'!$I$29)</f>
        <v>-3434.0529920196113</v>
      </c>
      <c r="I40" s="786">
        <f>SUM(F40:H40)-0.01</f>
        <v>13387.34272706899</v>
      </c>
      <c r="J40" s="786">
        <f>'3'!I40</f>
        <v>14029.349036378782</v>
      </c>
      <c r="K40" s="381"/>
      <c r="L40" s="381"/>
      <c r="M40" s="381"/>
      <c r="N40" s="381"/>
      <c r="O40" s="381"/>
      <c r="P40" s="381"/>
      <c r="Q40" s="381"/>
      <c r="R40" s="381"/>
      <c r="S40" s="381"/>
      <c r="T40" s="381"/>
      <c r="U40" s="381"/>
      <c r="V40" s="381"/>
      <c r="W40" s="381"/>
    </row>
    <row r="41" spans="1:23" s="327" customFormat="1" ht="14.25" customHeight="1">
      <c r="A41" s="1085"/>
      <c r="B41" s="1659" t="s">
        <v>409</v>
      </c>
      <c r="C41" s="783">
        <f>'1'!C41+'1'!D41-'1'!I41</f>
        <v>1293.5999999999999</v>
      </c>
      <c r="D41" s="783">
        <f>'15'!J41</f>
        <v>-1210.5648479805459</v>
      </c>
      <c r="E41" s="786">
        <f t="shared" ref="E41" si="17">SUM(C41:D41)</f>
        <v>83.035152019454017</v>
      </c>
      <c r="F41" s="783">
        <f>'1'!F41+'13'!G41+'13'!H41</f>
        <v>7026.9945545892078</v>
      </c>
      <c r="G41" s="786">
        <f>'13'!F41</f>
        <v>10063.118869633099</v>
      </c>
      <c r="H41" s="783">
        <f>('1'!E41+'1'!G41+'13'!D41+'13'!E41+'13'!I41)-('1'!K41+'1'!N41+'1'!O41+'14'!C41+'14'!D41+'14'!G41+'14'!H41+'[15]2'!$I$20+'[15]2'!$I$21+'[15]2'!$I$28+'[15]2'!$I$29)+0.05</f>
        <v>-3381.4224931230992</v>
      </c>
      <c r="I41" s="786">
        <f>SUM(F41:H41)</f>
        <v>13708.690931099205</v>
      </c>
      <c r="J41" s="786">
        <f>'3'!I41</f>
        <v>13791.71704761717</v>
      </c>
      <c r="K41" s="381"/>
      <c r="L41" s="381"/>
      <c r="M41" s="381"/>
      <c r="N41" s="381"/>
      <c r="O41" s="381"/>
      <c r="P41" s="381"/>
      <c r="Q41" s="381"/>
      <c r="R41" s="381"/>
      <c r="S41" s="381"/>
      <c r="T41" s="381"/>
      <c r="U41" s="381"/>
      <c r="V41" s="381"/>
      <c r="W41" s="381"/>
    </row>
    <row r="42" spans="1:23" s="327" customFormat="1" ht="14.25" customHeight="1">
      <c r="A42" s="1085"/>
      <c r="B42" s="1659" t="s">
        <v>398</v>
      </c>
      <c r="C42" s="783">
        <f>'1'!C42+'1'!D42-'1'!I42</f>
        <v>617.1</v>
      </c>
      <c r="D42" s="783">
        <f>'15'!J42</f>
        <v>-1568.0728771419781</v>
      </c>
      <c r="E42" s="786">
        <f t="shared" ref="E42" si="18">SUM(C42:D42)</f>
        <v>-950.97287714197807</v>
      </c>
      <c r="F42" s="783">
        <f>'1'!F42+'13'!G42+'13'!H42+0.05</f>
        <v>7445.788449232844</v>
      </c>
      <c r="G42" s="786">
        <f>'13'!F42</f>
        <v>10301.09155770878</v>
      </c>
      <c r="H42" s="783">
        <f>('1'!E42+'1'!G42+'13'!D42+'13'!E42+'13'!I42)-('1'!K42+'1'!N42+'1'!O42+'14'!C42+'14'!D42+'14'!G42+'14'!H42+'[16]2'!$I$20+'[16]2'!$I$21+'[16]2'!$I$28+'[16]2'!$I$29)</f>
        <v>-2824.0297812059198</v>
      </c>
      <c r="I42" s="786">
        <f>SUM(F42:H42)</f>
        <v>14922.850225735705</v>
      </c>
      <c r="J42" s="786">
        <f>'3'!I42</f>
        <v>13971.913687496892</v>
      </c>
      <c r="K42" s="381"/>
      <c r="L42" s="381"/>
      <c r="M42" s="381"/>
      <c r="N42" s="381"/>
      <c r="O42" s="381"/>
      <c r="P42" s="381"/>
      <c r="Q42" s="381"/>
      <c r="R42" s="381"/>
      <c r="S42" s="381"/>
      <c r="T42" s="381"/>
      <c r="U42" s="381"/>
      <c r="V42" s="381"/>
      <c r="W42" s="381"/>
    </row>
    <row r="43" spans="1:23" s="327" customFormat="1" ht="14.25" customHeight="1">
      <c r="A43" s="1085"/>
      <c r="B43" s="1659" t="s">
        <v>399</v>
      </c>
      <c r="C43" s="783">
        <f>'1'!C43+'1'!D43-'1'!I43</f>
        <v>292.8</v>
      </c>
      <c r="D43" s="783">
        <f>'15'!J43</f>
        <v>-1515.4212553539255</v>
      </c>
      <c r="E43" s="786">
        <f t="shared" ref="E43" si="19">SUM(C43:D43)</f>
        <v>-1222.6212553539256</v>
      </c>
      <c r="F43" s="783">
        <f>'1'!F43+'13'!G43+'13'!H43-0.01</f>
        <v>7578.8434044814858</v>
      </c>
      <c r="G43" s="786">
        <f>'13'!F43</f>
        <v>10383.701003848984</v>
      </c>
      <c r="H43" s="783">
        <f>('1'!E43+'1'!G43+'13'!D43+'13'!E43+'13'!I43)-('1'!K43+'1'!N43+'1'!O43+'14'!C43+'14'!D43+'14'!G43+'14'!H43+'[17]2'!$I$20+'[17]2'!$I$21+'[17]2'!$I$28+'[17]2'!$I$29)-0.18</f>
        <v>-2681.0152351379134</v>
      </c>
      <c r="I43" s="786">
        <f>SUM(F43:H43)</f>
        <v>15281.529173192555</v>
      </c>
      <c r="J43" s="786">
        <f>'3'!I43</f>
        <v>14058.944349643181</v>
      </c>
      <c r="K43" s="381"/>
      <c r="L43" s="381"/>
      <c r="M43" s="381"/>
      <c r="N43" s="381"/>
      <c r="O43" s="381"/>
      <c r="P43" s="381"/>
      <c r="Q43" s="381"/>
      <c r="R43" s="381"/>
      <c r="S43" s="381"/>
      <c r="T43" s="381"/>
      <c r="U43" s="381"/>
      <c r="V43" s="381"/>
      <c r="W43" s="381"/>
    </row>
    <row r="44" spans="1:23" s="6" customFormat="1" ht="20.25" customHeight="1">
      <c r="A44" s="231"/>
      <c r="B44" s="231"/>
      <c r="C44" s="751"/>
      <c r="D44" s="751"/>
      <c r="E44" s="751"/>
      <c r="F44" s="751"/>
      <c r="G44" s="751"/>
      <c r="H44" s="752"/>
      <c r="I44" s="751"/>
      <c r="J44" s="753"/>
    </row>
    <row r="45" spans="1:23">
      <c r="A45" s="14"/>
      <c r="B45" s="14"/>
      <c r="C45" s="683"/>
      <c r="D45" s="683"/>
      <c r="E45" s="683"/>
      <c r="F45" s="683"/>
      <c r="G45" s="683"/>
      <c r="H45" s="1923"/>
      <c r="I45" s="1923"/>
      <c r="J45" s="1923"/>
    </row>
    <row r="47" spans="1:23">
      <c r="A47" s="340" t="s">
        <v>489</v>
      </c>
      <c r="B47" s="3"/>
      <c r="C47" s="12"/>
      <c r="D47" s="12"/>
      <c r="E47" s="12"/>
      <c r="F47" s="12"/>
      <c r="G47" s="12"/>
      <c r="H47" s="12"/>
      <c r="I47" s="12"/>
      <c r="J47" s="12"/>
    </row>
  </sheetData>
  <phoneticPr fontId="0" type="noConversion"/>
  <printOptions horizontalCentered="1" verticalCentered="1"/>
  <pageMargins left="0" right="0" top="0" bottom="0" header="0.511811023622047" footer="0.511811023622047"/>
  <pageSetup paperSize="9" scale="7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51"/>
  <sheetViews>
    <sheetView zoomScale="90" zoomScaleNormal="90" workbookViewId="0">
      <pane ySplit="12" topLeftCell="A37" activePane="bottomLeft" state="frozen"/>
      <selection activeCell="A49" sqref="A1:XFD1048576"/>
      <selection pane="bottomLeft" activeCell="A49" sqref="A1:XFD1048576"/>
    </sheetView>
  </sheetViews>
  <sheetFormatPr defaultColWidth="7.85546875" defaultRowHeight="15"/>
  <cols>
    <col min="1" max="2" width="9.28515625" style="9" customWidth="1"/>
    <col min="3" max="11" width="16.85546875" style="9" customWidth="1"/>
    <col min="12" max="16384" width="7.85546875" style="9"/>
  </cols>
  <sheetData>
    <row r="1" spans="1:11" s="30" customFormat="1" ht="18">
      <c r="A1" s="1911" t="s">
        <v>1632</v>
      </c>
      <c r="B1" s="1470"/>
      <c r="C1" s="1470"/>
      <c r="D1" s="1470"/>
      <c r="E1" s="1470"/>
      <c r="F1" s="1470"/>
      <c r="G1" s="1470"/>
      <c r="H1" s="1470"/>
      <c r="I1" s="1470"/>
      <c r="J1" s="1470"/>
      <c r="K1" s="1470"/>
    </row>
    <row r="2" spans="1:11" s="30" customFormat="1" ht="18">
      <c r="A2" s="1912" t="s">
        <v>490</v>
      </c>
      <c r="B2" s="1913"/>
      <c r="C2" s="1470"/>
      <c r="D2" s="1470"/>
      <c r="E2" s="1470"/>
      <c r="F2" s="1470"/>
      <c r="G2" s="1470"/>
      <c r="H2" s="1470"/>
      <c r="I2" s="1470"/>
      <c r="J2" s="1470"/>
      <c r="K2" s="1470"/>
    </row>
    <row r="3" spans="1:11" s="30" customFormat="1" ht="18">
      <c r="A3" s="1911" t="s">
        <v>12</v>
      </c>
      <c r="B3" s="1913"/>
      <c r="C3" s="1470"/>
      <c r="D3" s="1470"/>
      <c r="E3" s="1470"/>
      <c r="F3" s="1470"/>
      <c r="G3" s="1470"/>
      <c r="H3" s="1470"/>
      <c r="I3" s="1470"/>
      <c r="J3" s="1470"/>
      <c r="K3" s="1470"/>
    </row>
    <row r="4" spans="1:11" s="30" customFormat="1" ht="18" customHeight="1">
      <c r="A4" s="21" t="s">
        <v>354</v>
      </c>
      <c r="B4" s="11"/>
      <c r="C4" s="38"/>
      <c r="E4" s="38"/>
      <c r="F4" s="38"/>
      <c r="G4" s="38"/>
      <c r="H4" s="38"/>
      <c r="I4" s="38"/>
      <c r="J4" s="38"/>
      <c r="K4" s="41" t="s">
        <v>355</v>
      </c>
    </row>
    <row r="5" spans="1:11" s="39" customFormat="1" ht="15.75">
      <c r="A5" s="35"/>
      <c r="B5" s="121"/>
      <c r="C5" s="122"/>
      <c r="D5" s="121"/>
      <c r="E5" s="25" t="s">
        <v>13</v>
      </c>
      <c r="F5" s="123"/>
      <c r="G5" s="123"/>
      <c r="H5" s="123"/>
      <c r="I5" s="123"/>
      <c r="J5" s="123"/>
      <c r="K5" s="124"/>
    </row>
    <row r="6" spans="1:11" s="39" customFormat="1" ht="15.75">
      <c r="A6" s="36"/>
      <c r="B6" s="80"/>
      <c r="C6" s="122" t="s">
        <v>9</v>
      </c>
      <c r="D6" s="80"/>
      <c r="E6" s="72" t="s">
        <v>491</v>
      </c>
      <c r="F6" s="72"/>
      <c r="G6" s="72"/>
      <c r="H6" s="72"/>
      <c r="I6" s="72"/>
      <c r="J6" s="72"/>
      <c r="K6" s="106"/>
    </row>
    <row r="7" spans="1:11" s="39" customFormat="1" ht="15.75">
      <c r="A7" s="36"/>
      <c r="B7" s="80"/>
      <c r="C7" s="66" t="s">
        <v>239</v>
      </c>
      <c r="D7" s="80"/>
      <c r="E7" s="122" t="s">
        <v>492</v>
      </c>
      <c r="F7" s="66"/>
      <c r="G7" s="80"/>
      <c r="H7" s="122" t="s">
        <v>493</v>
      </c>
      <c r="I7" s="66"/>
      <c r="J7" s="66"/>
      <c r="K7" s="80"/>
    </row>
    <row r="8" spans="1:11" s="39" customFormat="1" ht="15.75">
      <c r="A8" s="27" t="s">
        <v>364</v>
      </c>
      <c r="B8" s="80"/>
      <c r="C8" s="125"/>
      <c r="D8" s="126"/>
      <c r="E8" s="72" t="s">
        <v>494</v>
      </c>
      <c r="F8" s="72"/>
      <c r="G8" s="106"/>
      <c r="H8" s="72" t="s">
        <v>495</v>
      </c>
      <c r="I8" s="72"/>
      <c r="J8" s="72"/>
      <c r="K8" s="106"/>
    </row>
    <row r="9" spans="1:11" s="39" customFormat="1" ht="15.75">
      <c r="A9" s="127" t="s">
        <v>372</v>
      </c>
      <c r="B9" s="80"/>
      <c r="C9" s="77"/>
      <c r="D9" s="77"/>
      <c r="E9" s="102" t="s">
        <v>475</v>
      </c>
      <c r="F9" s="103" t="s">
        <v>476</v>
      </c>
      <c r="G9" s="69"/>
      <c r="H9" s="113"/>
      <c r="I9" s="114"/>
      <c r="J9" s="69"/>
      <c r="K9" s="70"/>
    </row>
    <row r="10" spans="1:11" s="39" customFormat="1" ht="15.75">
      <c r="A10" s="36"/>
      <c r="B10" s="80"/>
      <c r="C10" s="86" t="s">
        <v>367</v>
      </c>
      <c r="D10" s="86" t="s">
        <v>496</v>
      </c>
      <c r="E10" s="102" t="s">
        <v>479</v>
      </c>
      <c r="F10" s="114" t="s">
        <v>480</v>
      </c>
      <c r="G10" s="103" t="s">
        <v>367</v>
      </c>
      <c r="H10" s="114" t="s">
        <v>376</v>
      </c>
      <c r="I10" s="114" t="s">
        <v>481</v>
      </c>
      <c r="J10" s="103" t="s">
        <v>497</v>
      </c>
      <c r="K10" s="86" t="s">
        <v>367</v>
      </c>
    </row>
    <row r="11" spans="1:11" s="39" customFormat="1" ht="15.75">
      <c r="A11" s="36"/>
      <c r="B11" s="80"/>
      <c r="C11" s="70" t="s">
        <v>378</v>
      </c>
      <c r="D11" s="70" t="s">
        <v>498</v>
      </c>
      <c r="E11" s="104" t="s">
        <v>483</v>
      </c>
      <c r="F11" s="91" t="s">
        <v>484</v>
      </c>
      <c r="G11" s="69" t="s">
        <v>378</v>
      </c>
      <c r="H11" s="70" t="s">
        <v>455</v>
      </c>
      <c r="I11" s="104" t="s">
        <v>487</v>
      </c>
      <c r="J11" s="69" t="s">
        <v>499</v>
      </c>
      <c r="K11" s="70" t="s">
        <v>378</v>
      </c>
    </row>
    <row r="12" spans="1:11" s="39" customFormat="1" ht="15.75">
      <c r="A12" s="37"/>
      <c r="B12" s="106"/>
      <c r="C12" s="126"/>
      <c r="D12" s="126"/>
      <c r="E12" s="100" t="s">
        <v>485</v>
      </c>
      <c r="F12" s="118" t="s">
        <v>391</v>
      </c>
      <c r="G12" s="55"/>
      <c r="H12" s="129" t="s">
        <v>486</v>
      </c>
      <c r="I12" s="55"/>
      <c r="J12" s="55"/>
      <c r="K12" s="100"/>
    </row>
    <row r="13" spans="1:11" s="411" customFormat="1" ht="20.25" customHeight="1">
      <c r="A13" s="607">
        <v>2010</v>
      </c>
      <c r="B13" s="608"/>
      <c r="C13" s="609">
        <v>9495.7271771473097</v>
      </c>
      <c r="D13" s="610">
        <v>1091.4991988522197</v>
      </c>
      <c r="E13" s="610">
        <v>469.5</v>
      </c>
      <c r="F13" s="610">
        <v>-538.68670463737544</v>
      </c>
      <c r="G13" s="610">
        <v>-69.186704637375442</v>
      </c>
      <c r="H13" s="610">
        <v>334.19905157924018</v>
      </c>
      <c r="I13" s="610">
        <v>383.82712746223677</v>
      </c>
      <c r="J13" s="610">
        <v>442.71119177579703</v>
      </c>
      <c r="K13" s="610">
        <v>1160.7373708172738</v>
      </c>
    </row>
    <row r="14" spans="1:11" s="614" customFormat="1" ht="14.25" customHeight="1">
      <c r="A14" s="380">
        <v>2011</v>
      </c>
      <c r="B14" s="611"/>
      <c r="C14" s="612">
        <v>9994.0318142390279</v>
      </c>
      <c r="D14" s="606">
        <v>498.30463709171818</v>
      </c>
      <c r="E14" s="613">
        <v>-204.39999999999986</v>
      </c>
      <c r="F14" s="613">
        <v>-216.29847841635745</v>
      </c>
      <c r="G14" s="613">
        <v>-420.69847841635737</v>
      </c>
      <c r="H14" s="613">
        <v>469.11972803657977</v>
      </c>
      <c r="I14" s="613">
        <v>980.46164461227704</v>
      </c>
      <c r="J14" s="613">
        <v>-530.60842712593785</v>
      </c>
      <c r="K14" s="613">
        <v>918.97294552291964</v>
      </c>
    </row>
    <row r="15" spans="1:11" s="614" customFormat="1" ht="14.25" customHeight="1">
      <c r="A15" s="380">
        <v>2012</v>
      </c>
      <c r="B15" s="611"/>
      <c r="C15" s="612">
        <v>10435.133027478656</v>
      </c>
      <c r="D15" s="606">
        <v>441.10121323962812</v>
      </c>
      <c r="E15" s="613">
        <v>247.79999999999995</v>
      </c>
      <c r="F15" s="613">
        <v>-183.80111273646509</v>
      </c>
      <c r="G15" s="613">
        <v>63.998887263534925</v>
      </c>
      <c r="H15" s="613">
        <v>246.56914612056016</v>
      </c>
      <c r="I15" s="613">
        <v>468.67257858014273</v>
      </c>
      <c r="J15" s="613">
        <v>-338.08266497484669</v>
      </c>
      <c r="K15" s="613">
        <v>377.1590597258546</v>
      </c>
    </row>
    <row r="16" spans="1:11" s="614" customFormat="1" ht="14.25" customHeight="1">
      <c r="A16" s="380">
        <v>2013</v>
      </c>
      <c r="B16" s="611"/>
      <c r="C16" s="612">
        <v>11219.657142200696</v>
      </c>
      <c r="D16" s="606">
        <v>784.57411472204035</v>
      </c>
      <c r="E16" s="613">
        <v>52.700000000000045</v>
      </c>
      <c r="F16" s="613">
        <v>-172.71243509879241</v>
      </c>
      <c r="G16" s="613">
        <v>-120.01243509879237</v>
      </c>
      <c r="H16" s="613">
        <v>828.67973519361976</v>
      </c>
      <c r="I16" s="613">
        <v>525.01252295540507</v>
      </c>
      <c r="J16" s="613">
        <v>-449.098541978188</v>
      </c>
      <c r="K16" s="613">
        <v>904.59371617083707</v>
      </c>
    </row>
    <row r="17" spans="1:22" s="614" customFormat="1" ht="14.25" customHeight="1">
      <c r="A17" s="380">
        <v>2014</v>
      </c>
      <c r="B17" s="611"/>
      <c r="C17" s="612">
        <v>11635.224385602125</v>
      </c>
      <c r="D17" s="606">
        <v>415.56724340142864</v>
      </c>
      <c r="E17" s="613">
        <v>270.60000000000014</v>
      </c>
      <c r="F17" s="613">
        <v>477.033582310969</v>
      </c>
      <c r="G17" s="613">
        <v>747.63358231096913</v>
      </c>
      <c r="H17" s="613">
        <v>276.31049819457303</v>
      </c>
      <c r="I17" s="613">
        <v>-500.02922023297469</v>
      </c>
      <c r="J17" s="613">
        <v>-108.39894977499603</v>
      </c>
      <c r="K17" s="613">
        <v>-332.11767181339565</v>
      </c>
    </row>
    <row r="18" spans="1:22" s="614" customFormat="1" ht="14.25" customHeight="1">
      <c r="A18" s="380">
        <v>2015</v>
      </c>
      <c r="B18" s="611"/>
      <c r="C18" s="612">
        <v>11895.181621364602</v>
      </c>
      <c r="D18" s="606">
        <v>259.95723576247656</v>
      </c>
      <c r="E18" s="613">
        <v>-995.90000000000009</v>
      </c>
      <c r="F18" s="613">
        <v>-493.88862412533854</v>
      </c>
      <c r="G18" s="613">
        <v>-1489.7886241253386</v>
      </c>
      <c r="H18" s="613">
        <v>932.81613758517778</v>
      </c>
      <c r="I18" s="613">
        <v>608.1983330714047</v>
      </c>
      <c r="J18" s="613">
        <v>208.75689297013378</v>
      </c>
      <c r="K18" s="613">
        <v>1749.7713636267144</v>
      </c>
    </row>
    <row r="19" spans="1:22" s="614" customFormat="1" ht="14.25" customHeight="1">
      <c r="A19" s="380">
        <v>2016</v>
      </c>
      <c r="B19" s="611"/>
      <c r="C19" s="612">
        <v>12021.82690553366</v>
      </c>
      <c r="D19" s="606">
        <v>126.64528416905887</v>
      </c>
      <c r="E19" s="613">
        <v>-353.00000000000011</v>
      </c>
      <c r="F19" s="613">
        <v>-216.78653172736449</v>
      </c>
      <c r="G19" s="613">
        <v>-569.7865317273646</v>
      </c>
      <c r="H19" s="613">
        <v>1228.2125826084639</v>
      </c>
      <c r="I19" s="613">
        <v>128.15509331663247</v>
      </c>
      <c r="J19" s="613">
        <v>-659.95705889517421</v>
      </c>
      <c r="K19" s="613">
        <v>696.42061702992214</v>
      </c>
    </row>
    <row r="20" spans="1:22" s="614" customFormat="1" ht="14.25" customHeight="1">
      <c r="A20" s="380">
        <v>2017</v>
      </c>
      <c r="B20" s="611"/>
      <c r="C20" s="612">
        <v>12521.33834765356</v>
      </c>
      <c r="D20" s="606">
        <v>499.51144211989958</v>
      </c>
      <c r="E20" s="613">
        <v>64.700000000000045</v>
      </c>
      <c r="F20" s="613">
        <v>-333.19772738715869</v>
      </c>
      <c r="G20" s="613">
        <v>-268.49772738715865</v>
      </c>
      <c r="H20" s="613">
        <v>467.5510657972045</v>
      </c>
      <c r="I20" s="613">
        <v>214.63842358180955</v>
      </c>
      <c r="J20" s="613">
        <v>85.812921095759521</v>
      </c>
      <c r="K20" s="613">
        <v>768.00241047477539</v>
      </c>
    </row>
    <row r="21" spans="1:22" s="411" customFormat="1" ht="14.25" customHeight="1">
      <c r="A21" s="905">
        <v>2018</v>
      </c>
      <c r="B21" s="906"/>
      <c r="C21" s="1076">
        <f>C25</f>
        <v>12622.075757186307</v>
      </c>
      <c r="D21" s="606">
        <f>C21-C20+0.02</f>
        <v>100.75740953274682</v>
      </c>
      <c r="E21" s="606">
        <f>'4'!C21-'4'!C20</f>
        <v>-180.80000000000007</v>
      </c>
      <c r="F21" s="606">
        <f>'4'!D21-'4'!D20+0.05</f>
        <v>-185.43058746782157</v>
      </c>
      <c r="G21" s="606">
        <f>'4'!E21-'4'!E20+0.05</f>
        <v>-366.23058746782164</v>
      </c>
      <c r="H21" s="606">
        <f>'4'!F21-'4'!F20</f>
        <v>-36.751160744059234</v>
      </c>
      <c r="I21" s="606">
        <f>'4'!G21-'4'!G20</f>
        <v>890.32476565865909</v>
      </c>
      <c r="J21" s="606">
        <f>'4'!H21-'4'!H20+0.02</f>
        <v>-386.53760634727269</v>
      </c>
      <c r="K21" s="606">
        <f>'4'!I21-'4'!I20</f>
        <v>467.01599856732719</v>
      </c>
      <c r="L21" s="1682"/>
    </row>
    <row r="22" spans="1:22" s="411" customFormat="1" ht="14.25" customHeight="1">
      <c r="A22" s="1193">
        <v>2019</v>
      </c>
      <c r="B22" s="1483"/>
      <c r="C22" s="1914">
        <f>C29</f>
        <v>13671.88438483977</v>
      </c>
      <c r="D22" s="937">
        <f>C22-C21</f>
        <v>1049.8086276534632</v>
      </c>
      <c r="E22" s="937">
        <f>'4'!C22-'4'!C21</f>
        <v>576.29999999999995</v>
      </c>
      <c r="F22" s="937">
        <f>'4'!D22-'4'!D21-0.05</f>
        <v>127.9396228808484</v>
      </c>
      <c r="G22" s="937">
        <f>'4'!E22-'4'!E21-0.05</f>
        <v>704.2396228808484</v>
      </c>
      <c r="H22" s="937">
        <f>'4'!F22-'4'!F21+0.02</f>
        <v>564.86383717037506</v>
      </c>
      <c r="I22" s="937">
        <f>'4'!G22-'4'!G21</f>
        <v>106.26276357035204</v>
      </c>
      <c r="J22" s="937">
        <f>'4'!H22-'4'!H21</f>
        <v>-325.572721890715</v>
      </c>
      <c r="K22" s="937">
        <f>'4'!I22-'4'!I21</f>
        <v>345.55387885001073</v>
      </c>
      <c r="L22" s="1682"/>
    </row>
    <row r="23" spans="1:22" s="411" customFormat="1" ht="20.25" customHeight="1">
      <c r="A23" s="905">
        <v>2018</v>
      </c>
      <c r="B23" s="906" t="s">
        <v>223</v>
      </c>
      <c r="C23" s="1076">
        <v>12402.344193135747</v>
      </c>
      <c r="D23" s="606">
        <v>-26.763807958883991</v>
      </c>
      <c r="E23" s="606">
        <v>287.39999999999998</v>
      </c>
      <c r="F23" s="606">
        <v>-342.08923307722944</v>
      </c>
      <c r="G23" s="606">
        <v>-54.68923307722946</v>
      </c>
      <c r="H23" s="606">
        <v>-441.36194029382045</v>
      </c>
      <c r="I23" s="606">
        <v>168.16301198996851</v>
      </c>
      <c r="J23" s="606">
        <v>301.09976484356321</v>
      </c>
      <c r="K23" s="606">
        <v>27.890836539711017</v>
      </c>
    </row>
    <row r="24" spans="1:22" s="411" customFormat="1" ht="14.25" customHeight="1">
      <c r="A24" s="905"/>
      <c r="B24" s="906" t="s">
        <v>224</v>
      </c>
      <c r="C24" s="1076">
        <v>12414.492458565473</v>
      </c>
      <c r="D24" s="606">
        <v>12.158265429726962</v>
      </c>
      <c r="E24" s="606">
        <v>-259.20000000000005</v>
      </c>
      <c r="F24" s="606">
        <v>229.25116265902943</v>
      </c>
      <c r="G24" s="606">
        <v>-29.948837340970613</v>
      </c>
      <c r="H24" s="606">
        <v>-363.52664942732844</v>
      </c>
      <c r="I24" s="606">
        <v>156.33645999890402</v>
      </c>
      <c r="J24" s="606">
        <v>249.3072253715095</v>
      </c>
      <c r="K24" s="606">
        <v>42.097035943086667</v>
      </c>
      <c r="L24" s="1682"/>
    </row>
    <row r="25" spans="1:22" s="411" customFormat="1" ht="14.25" customHeight="1">
      <c r="A25" s="905"/>
      <c r="B25" s="906" t="s">
        <v>225</v>
      </c>
      <c r="C25" s="1076">
        <v>12622.075757186307</v>
      </c>
      <c r="D25" s="606">
        <v>207.58329862083338</v>
      </c>
      <c r="E25" s="606">
        <v>140.89999999999998</v>
      </c>
      <c r="F25" s="606">
        <v>-77.241782208167933</v>
      </c>
      <c r="G25" s="606">
        <v>63.658217791832044</v>
      </c>
      <c r="H25" s="606">
        <v>149.54458597361213</v>
      </c>
      <c r="I25" s="606">
        <v>260.18562162841954</v>
      </c>
      <c r="J25" s="606">
        <v>-265.84022900492641</v>
      </c>
      <c r="K25" s="606">
        <v>143.86997859710573</v>
      </c>
      <c r="L25" s="1682"/>
    </row>
    <row r="26" spans="1:22" s="411" customFormat="1" ht="20.25" customHeight="1">
      <c r="A26" s="905">
        <v>2019</v>
      </c>
      <c r="B26" s="906" t="s">
        <v>222</v>
      </c>
      <c r="C26" s="1076">
        <v>13151.215110137386</v>
      </c>
      <c r="D26" s="606">
        <v>529.13935295107876</v>
      </c>
      <c r="E26" s="606">
        <v>406.10000000000014</v>
      </c>
      <c r="F26" s="606">
        <v>-138.18250308889947</v>
      </c>
      <c r="G26" s="606">
        <v>267.91749691110067</v>
      </c>
      <c r="H26" s="606">
        <v>932.56249477366919</v>
      </c>
      <c r="I26" s="606">
        <v>-4.0838239359527506</v>
      </c>
      <c r="J26" s="606">
        <v>-667.25395123788167</v>
      </c>
      <c r="K26" s="606">
        <v>261.20471959983297</v>
      </c>
      <c r="L26" s="1682"/>
    </row>
    <row r="27" spans="1:22" s="411" customFormat="1" ht="14.25" customHeight="1">
      <c r="A27" s="905"/>
      <c r="B27" s="906" t="s">
        <v>223</v>
      </c>
      <c r="C27" s="1076">
        <f>C33</f>
        <v>13546.250419941087</v>
      </c>
      <c r="D27" s="606">
        <f>C27-C26+0.02</f>
        <v>395.05530980370122</v>
      </c>
      <c r="E27" s="606">
        <f>'4'!C27-'4'!C26</f>
        <v>167.09999999999991</v>
      </c>
      <c r="F27" s="606">
        <f>'4'!D27-'4'!D26</f>
        <v>69.241416958049285</v>
      </c>
      <c r="G27" s="606">
        <f>'4'!E27-'4'!E26</f>
        <v>236.34141695804919</v>
      </c>
      <c r="H27" s="606">
        <f>'4'!F27-'4'!F26</f>
        <v>-252.56531000754967</v>
      </c>
      <c r="I27" s="606">
        <f>'4'!G27-'4'!G26+0.01</f>
        <v>219.95629593720673</v>
      </c>
      <c r="J27" s="606">
        <f>'4'!H27-'4'!H26</f>
        <v>191.37026007441773</v>
      </c>
      <c r="K27" s="606">
        <f>'4'!I27-'4'!I26</f>
        <v>158.75124600407435</v>
      </c>
      <c r="L27" s="1682"/>
    </row>
    <row r="28" spans="1:22" s="411" customFormat="1" ht="14.25" customHeight="1">
      <c r="A28" s="905"/>
      <c r="B28" s="906" t="s">
        <v>224</v>
      </c>
      <c r="C28" s="1076">
        <f>C36</f>
        <v>13461.224197307894</v>
      </c>
      <c r="D28" s="606">
        <f>C28-C27-0.05</f>
        <v>-85.076222633192444</v>
      </c>
      <c r="E28" s="606">
        <f>'4'!C28-'4'!C27</f>
        <v>95.900000000000091</v>
      </c>
      <c r="F28" s="606">
        <f>'4'!D28-'4'!D27</f>
        <v>51.690219849699588</v>
      </c>
      <c r="G28" s="606">
        <f>'4'!E28-'4'!E27</f>
        <v>147.59021984969968</v>
      </c>
      <c r="H28" s="606">
        <f>'4'!F28-'4'!F27</f>
        <v>-169.15399425215492</v>
      </c>
      <c r="I28" s="606">
        <f>'4'!G28-'4'!G27</f>
        <v>-11.611926071445851</v>
      </c>
      <c r="J28" s="606">
        <f>'4'!H28-'4'!H27-0.02</f>
        <v>-51.861730952333367</v>
      </c>
      <c r="K28" s="606">
        <f>'4'!I28-'4'!I27-0.03</f>
        <v>-232.65765127593411</v>
      </c>
      <c r="L28" s="1682"/>
    </row>
    <row r="29" spans="1:22" s="411" customFormat="1" ht="14.25" customHeight="1">
      <c r="A29" s="905"/>
      <c r="B29" s="906" t="s">
        <v>225</v>
      </c>
      <c r="C29" s="1076">
        <f>C39</f>
        <v>13671.88438483977</v>
      </c>
      <c r="D29" s="606">
        <f>C29-C28</f>
        <v>210.66018753187564</v>
      </c>
      <c r="E29" s="606">
        <f>'4'!C29-'4'!C28</f>
        <v>-92.800000000000182</v>
      </c>
      <c r="F29" s="606">
        <f>'4'!D29-'4'!D28</f>
        <v>145.24048916199899</v>
      </c>
      <c r="G29" s="606">
        <f>'4'!E29-'4'!E28</f>
        <v>52.440489161998812</v>
      </c>
      <c r="H29" s="606">
        <f>'4'!F29-'4'!F28</f>
        <v>54.020646656410463</v>
      </c>
      <c r="I29" s="606">
        <f>'4'!G29-'4'!G28</f>
        <v>-97.987782359456105</v>
      </c>
      <c r="J29" s="606">
        <f>'4'!H29-'4'!H28</f>
        <v>202.1527002250823</v>
      </c>
      <c r="K29" s="606">
        <f>'4'!I29-'4'!I28</f>
        <v>158.22556452203753</v>
      </c>
      <c r="L29" s="1682"/>
    </row>
    <row r="30" spans="1:22" s="411" customFormat="1" ht="21" customHeight="1">
      <c r="A30" s="1193">
        <v>2020</v>
      </c>
      <c r="B30" s="1483" t="s">
        <v>222</v>
      </c>
      <c r="C30" s="1914">
        <f>C42</f>
        <v>13971.913687496892</v>
      </c>
      <c r="D30" s="937">
        <f>C30-C29</f>
        <v>300.02930265712166</v>
      </c>
      <c r="E30" s="937">
        <f>'4'!C30-'4'!C29</f>
        <v>-661.49999999999989</v>
      </c>
      <c r="F30" s="937">
        <f>'4'!D30-'4'!D29</f>
        <v>-589.12080302455615</v>
      </c>
      <c r="G30" s="937">
        <f>'4'!E30-'4'!E29</f>
        <v>-1250.6208030245562</v>
      </c>
      <c r="H30" s="937">
        <f>'4'!F30-'4'!F29</f>
        <v>823.33144456660921</v>
      </c>
      <c r="I30" s="937">
        <f>'4'!G30-'4'!G29</f>
        <v>334.3063583664516</v>
      </c>
      <c r="J30" s="937">
        <f>'4'!H30-'4'!H29</f>
        <v>392.97100389912157</v>
      </c>
      <c r="K30" s="937">
        <f>'4'!I30-'4'!I29</f>
        <v>1550.5888068321838</v>
      </c>
      <c r="L30" s="1682"/>
    </row>
    <row r="31" spans="1:22" s="381" customFormat="1" ht="20.25" customHeight="1">
      <c r="A31" s="432">
        <v>2019</v>
      </c>
      <c r="B31" s="821" t="s">
        <v>399</v>
      </c>
      <c r="C31" s="1076">
        <f>'3'!I31</f>
        <v>13410.085736394627</v>
      </c>
      <c r="D31" s="606">
        <v>258.87062625724138</v>
      </c>
      <c r="E31" s="797">
        <v>-187.60000000000014</v>
      </c>
      <c r="F31" s="797">
        <v>-103.97551961047429</v>
      </c>
      <c r="G31" s="606">
        <v>-291.57551961047443</v>
      </c>
      <c r="H31" s="797">
        <v>216.4417230947256</v>
      </c>
      <c r="I31" s="797">
        <v>93.351004687337991</v>
      </c>
      <c r="J31" s="797">
        <v>240.72557315458153</v>
      </c>
      <c r="K31" s="606">
        <v>550.51830093664512</v>
      </c>
      <c r="L31" s="411"/>
      <c r="M31" s="411"/>
      <c r="N31" s="411"/>
      <c r="O31" s="411"/>
      <c r="P31" s="411"/>
      <c r="Q31" s="411"/>
      <c r="R31" s="411"/>
      <c r="S31" s="411"/>
      <c r="T31" s="411"/>
      <c r="U31" s="411"/>
      <c r="V31" s="411"/>
    </row>
    <row r="32" spans="1:22" s="381" customFormat="1" ht="14.25" customHeight="1">
      <c r="A32" s="432"/>
      <c r="B32" s="821" t="s">
        <v>400</v>
      </c>
      <c r="C32" s="612">
        <f>'3'!I32</f>
        <v>13443.060806017133</v>
      </c>
      <c r="D32" s="613">
        <f t="shared" ref="D32" si="0">C32-C31</f>
        <v>32.975069622505544</v>
      </c>
      <c r="E32" s="949">
        <f>'4'!C32-'4'!C31</f>
        <v>530.29999999999995</v>
      </c>
      <c r="F32" s="949">
        <f>'4'!D32-'4'!D31</f>
        <v>119.88777596177897</v>
      </c>
      <c r="G32" s="613">
        <f t="shared" ref="G32" si="1">SUM(E32:F32)</f>
        <v>650.18777596177893</v>
      </c>
      <c r="H32" s="949">
        <f>'4'!F32-'4'!F31</f>
        <v>-457.40915873863833</v>
      </c>
      <c r="I32" s="949">
        <f>'4'!G32-'4'!G31</f>
        <v>54.869156172648218</v>
      </c>
      <c r="J32" s="949">
        <f>'4'!H32-'4'!H31+0.1</f>
        <v>-214.65949810278963</v>
      </c>
      <c r="K32" s="613">
        <f t="shared" ref="K32" si="2">SUM(H32:J32)</f>
        <v>-617.19950066877971</v>
      </c>
    </row>
    <row r="33" spans="1:22" s="381" customFormat="1" ht="14.25" customHeight="1">
      <c r="A33" s="432"/>
      <c r="B33" s="821" t="s">
        <v>401</v>
      </c>
      <c r="C33" s="612">
        <f>'3'!I33</f>
        <v>13546.250419941087</v>
      </c>
      <c r="D33" s="613">
        <f t="shared" ref="D33" si="3">C33-C32</f>
        <v>103.18961392395431</v>
      </c>
      <c r="E33" s="949">
        <f>'4'!C33-'4'!C32</f>
        <v>-175.59999999999991</v>
      </c>
      <c r="F33" s="949">
        <f>'4'!D33-'4'!D32</f>
        <v>53.329160606744608</v>
      </c>
      <c r="G33" s="613">
        <f t="shared" ref="G33" si="4">SUM(E33:F33)</f>
        <v>-122.2708393932553</v>
      </c>
      <c r="H33" s="949">
        <f>'4'!F33-'4'!F32</f>
        <v>-11.597874363636947</v>
      </c>
      <c r="I33" s="949">
        <f>'4'!G33-'4'!G32</f>
        <v>71.726135077220533</v>
      </c>
      <c r="J33" s="949">
        <f>'4'!H33-'4'!H32</f>
        <v>165.40418502262582</v>
      </c>
      <c r="K33" s="613">
        <f t="shared" ref="K33" si="5">SUM(H33:J33)</f>
        <v>225.53244573620941</v>
      </c>
    </row>
    <row r="34" spans="1:22" s="381" customFormat="1" ht="14.25" customHeight="1">
      <c r="A34" s="432"/>
      <c r="B34" s="821" t="s">
        <v>402</v>
      </c>
      <c r="C34" s="612">
        <f>'3'!I34</f>
        <v>13363.296769804714</v>
      </c>
      <c r="D34" s="613">
        <f t="shared" ref="D34" si="6">C34-C33</f>
        <v>-182.95365013637274</v>
      </c>
      <c r="E34" s="949">
        <f>'4'!C34-'4'!C33</f>
        <v>-171.20000000000005</v>
      </c>
      <c r="F34" s="949">
        <f>'4'!D34-'4'!D33</f>
        <v>-11.121996075043626</v>
      </c>
      <c r="G34" s="613">
        <f t="shared" ref="G34" si="7">SUM(E34:F34)</f>
        <v>-182.32199607504367</v>
      </c>
      <c r="H34" s="949">
        <f>'4'!F34-'4'!F33</f>
        <v>241.51538810322745</v>
      </c>
      <c r="I34" s="949">
        <f>'4'!G34-'4'!G33</f>
        <v>-23.829493536728478</v>
      </c>
      <c r="J34" s="949">
        <f>'4'!H34-'4'!H33</f>
        <v>-218.39424963300507</v>
      </c>
      <c r="K34" s="613">
        <f t="shared" ref="K34" si="8">SUM(H34:J34)</f>
        <v>-0.70835506650610114</v>
      </c>
    </row>
    <row r="35" spans="1:22" s="381" customFormat="1" ht="14.25" customHeight="1">
      <c r="A35" s="432"/>
      <c r="B35" s="821" t="s">
        <v>403</v>
      </c>
      <c r="C35" s="612">
        <f>'3'!I35</f>
        <v>13531.520190091462</v>
      </c>
      <c r="D35" s="613">
        <f t="shared" ref="D35" si="9">C35-C34</f>
        <v>168.22342028674757</v>
      </c>
      <c r="E35" s="949">
        <f>'4'!C35-'4'!C34</f>
        <v>-57.700000000000045</v>
      </c>
      <c r="F35" s="949">
        <f>'4'!D35-'4'!D34-0.01</f>
        <v>71.341845610175582</v>
      </c>
      <c r="G35" s="613">
        <f t="shared" ref="G35" si="10">SUM(E35:F35)</f>
        <v>13.641845610175537</v>
      </c>
      <c r="H35" s="949">
        <f>'4'!F35-'4'!F34</f>
        <v>0.2855521216042689</v>
      </c>
      <c r="I35" s="949">
        <f>'4'!G35-'4'!G34</f>
        <v>40.920053624235152</v>
      </c>
      <c r="J35" s="949">
        <f>'4'!H35-'4'!H34</f>
        <v>113.41732062545816</v>
      </c>
      <c r="K35" s="613">
        <f t="shared" ref="K35" si="11">SUM(H35:J35)</f>
        <v>154.62292637129758</v>
      </c>
    </row>
    <row r="36" spans="1:22" s="381" customFormat="1" ht="14.25" customHeight="1">
      <c r="A36" s="432"/>
      <c r="B36" s="821" t="s">
        <v>404</v>
      </c>
      <c r="C36" s="612">
        <f>'3'!I36</f>
        <v>13461.224197307894</v>
      </c>
      <c r="D36" s="613">
        <f t="shared" ref="D36" si="12">C36-C35</f>
        <v>-70.295992783567272</v>
      </c>
      <c r="E36" s="949">
        <f>'4'!C36-'4'!C35</f>
        <v>324.80000000000018</v>
      </c>
      <c r="F36" s="949">
        <f>'4'!D36-'4'!D35</f>
        <v>-8.5396296854323737</v>
      </c>
      <c r="G36" s="613">
        <f t="shared" ref="G36" si="13">SUM(E36:F36)</f>
        <v>316.26037031456781</v>
      </c>
      <c r="H36" s="949">
        <f>'4'!F36-'4'!F35</f>
        <v>-410.95493447698664</v>
      </c>
      <c r="I36" s="949">
        <f>'4'!G36-'4'!G35</f>
        <v>-28.702486158952524</v>
      </c>
      <c r="J36" s="949">
        <f>'4'!H36-'4'!H35</f>
        <v>53.13519805521355</v>
      </c>
      <c r="K36" s="613">
        <f>SUM(H36:J36)-0.05</f>
        <v>-386.57222258072562</v>
      </c>
    </row>
    <row r="37" spans="1:22" s="381" customFormat="1" ht="14.25" customHeight="1">
      <c r="A37" s="432"/>
      <c r="B37" s="821" t="s">
        <v>405</v>
      </c>
      <c r="C37" s="612">
        <f>'3'!I37</f>
        <v>13631.281692787359</v>
      </c>
      <c r="D37" s="613">
        <f t="shared" ref="D37" si="14">C37-C36</f>
        <v>170.05749547946471</v>
      </c>
      <c r="E37" s="949">
        <f>'4'!C37-'4'!C36</f>
        <v>-11.5</v>
      </c>
      <c r="F37" s="949">
        <f>'4'!D37-'4'!D36+0.01</f>
        <v>27.058264938017384</v>
      </c>
      <c r="G37" s="613">
        <f t="shared" ref="G37" si="15">SUM(E37:F37)</f>
        <v>15.558264938017384</v>
      </c>
      <c r="H37" s="949">
        <f>'4'!F37-'4'!F36</f>
        <v>146.55497243602986</v>
      </c>
      <c r="I37" s="949">
        <f>'4'!G37-'4'!G36-0.05</f>
        <v>3.6256356504047291</v>
      </c>
      <c r="J37" s="949">
        <f>'4'!H37-'4'!H36</f>
        <v>4.2569950917927599</v>
      </c>
      <c r="K37" s="613">
        <f>SUM(H37:J37)+0.02</f>
        <v>154.45760317822734</v>
      </c>
    </row>
    <row r="38" spans="1:22" s="381" customFormat="1" ht="14.25" customHeight="1">
      <c r="A38" s="432"/>
      <c r="B38" s="821" t="s">
        <v>406</v>
      </c>
      <c r="C38" s="612">
        <f>'3'!I38</f>
        <v>13634.055092918037</v>
      </c>
      <c r="D38" s="613">
        <f t="shared" ref="D38" si="16">C38-C37</f>
        <v>2.7734001306780556</v>
      </c>
      <c r="E38" s="949">
        <f>'4'!C38-'4'!C37</f>
        <v>-44.800000000000182</v>
      </c>
      <c r="F38" s="949">
        <f>'4'!D38-'4'!D37-0.05</f>
        <v>50.636698533897246</v>
      </c>
      <c r="G38" s="613">
        <f t="shared" ref="G38" si="17">SUM(E38:F38)</f>
        <v>5.8366985338970636</v>
      </c>
      <c r="H38" s="949">
        <f>'4'!F38-'4'!F37</f>
        <v>-18.131029457967998</v>
      </c>
      <c r="I38" s="949">
        <f>'4'!G38-'4'!G37</f>
        <v>-25.146193218706685</v>
      </c>
      <c r="J38" s="949">
        <f>'4'!H38-'4'!H37</f>
        <v>40.219505982302962</v>
      </c>
      <c r="K38" s="613">
        <f>SUM(H38:J38)+0.02</f>
        <v>-3.0377166943717202</v>
      </c>
    </row>
    <row r="39" spans="1:22" s="381" customFormat="1" ht="14.25" customHeight="1">
      <c r="A39" s="432"/>
      <c r="B39" s="821" t="s">
        <v>407</v>
      </c>
      <c r="C39" s="612">
        <f>'3'!I39</f>
        <v>13671.88438483977</v>
      </c>
      <c r="D39" s="613">
        <f t="shared" ref="D39" si="18">C39-C38</f>
        <v>37.829291921732874</v>
      </c>
      <c r="E39" s="949">
        <f>'4'!C39-'4'!C38</f>
        <v>-36.5</v>
      </c>
      <c r="F39" s="949">
        <f>'4'!D39-'4'!D38</f>
        <v>67.505525690084369</v>
      </c>
      <c r="G39" s="613">
        <f t="shared" ref="G39" si="19">SUM(E39:F39)</f>
        <v>31.005525690084369</v>
      </c>
      <c r="H39" s="949">
        <f>'4'!F39-'4'!F38</f>
        <v>-74.403296321651396</v>
      </c>
      <c r="I39" s="949">
        <f>'4'!G39-'4'!G38</f>
        <v>-76.517224791154149</v>
      </c>
      <c r="J39" s="949">
        <f>'4'!H39-'4'!H38</f>
        <v>157.67619915098658</v>
      </c>
      <c r="K39" s="613">
        <f>SUM(H39:J39)</f>
        <v>6.7556780381810313</v>
      </c>
    </row>
    <row r="40" spans="1:22" s="381" customFormat="1" ht="20.25" customHeight="1">
      <c r="A40" s="432">
        <v>2020</v>
      </c>
      <c r="B40" s="821" t="s">
        <v>408</v>
      </c>
      <c r="C40" s="1076">
        <f>'3'!I40</f>
        <v>14029.349036378782</v>
      </c>
      <c r="D40" s="606">
        <f>C40-C39-0.02</f>
        <v>357.44465153901228</v>
      </c>
      <c r="E40" s="797">
        <f>'4'!C40-'4'!C39</f>
        <v>-32.599999999999909</v>
      </c>
      <c r="F40" s="797">
        <f>'4'!D40-'4'!D39+0.05</f>
        <v>374.97382258654835</v>
      </c>
      <c r="G40" s="606">
        <f t="shared" ref="G40" si="20">SUM(E40:F40)</f>
        <v>342.37382258654844</v>
      </c>
      <c r="H40" s="797">
        <f>'4'!F40-'4'!F39</f>
        <v>185.84298604273226</v>
      </c>
      <c r="I40" s="797">
        <f>'4'!G40-'4'!G39</f>
        <v>46.320529037306187</v>
      </c>
      <c r="J40" s="797">
        <f>'4'!H40-'4'!H39</f>
        <v>-217.05220691456998</v>
      </c>
      <c r="K40" s="606">
        <f>SUM(H40:J40)-0.1</f>
        <v>15.011308165468472</v>
      </c>
      <c r="L40" s="411"/>
      <c r="M40" s="411"/>
      <c r="N40" s="411"/>
      <c r="O40" s="411"/>
      <c r="P40" s="411"/>
      <c r="Q40" s="411"/>
      <c r="R40" s="411"/>
      <c r="S40" s="411"/>
      <c r="T40" s="411"/>
      <c r="U40" s="411"/>
      <c r="V40" s="411"/>
    </row>
    <row r="41" spans="1:22" s="381" customFormat="1" ht="14.25" customHeight="1">
      <c r="A41" s="1085"/>
      <c r="B41" s="821" t="s">
        <v>409</v>
      </c>
      <c r="C41" s="612">
        <f>'3'!I41</f>
        <v>13791.71704761717</v>
      </c>
      <c r="D41" s="613">
        <f>C41-C40</f>
        <v>-237.63198876161186</v>
      </c>
      <c r="E41" s="949">
        <f>'4'!C41-'4'!C40</f>
        <v>47.599999999999909</v>
      </c>
      <c r="F41" s="949">
        <f>'4'!D41-'4'!D40-0.03</f>
        <v>-606.56659644967226</v>
      </c>
      <c r="G41" s="613">
        <f t="shared" ref="G41" si="21">SUM(E41:F41)</f>
        <v>-558.96659644967235</v>
      </c>
      <c r="H41" s="949">
        <f>'4'!F41-'4'!F40</f>
        <v>218.69456388024082</v>
      </c>
      <c r="I41" s="949">
        <f>'4'!G41-'4'!G40</f>
        <v>50.01314125346471</v>
      </c>
      <c r="J41" s="949">
        <f>'4'!H41-'4'!H40+0.03</f>
        <v>52.660498896512109</v>
      </c>
      <c r="K41" s="613">
        <f>SUM(H41:J41)</f>
        <v>321.36820403021761</v>
      </c>
    </row>
    <row r="42" spans="1:22" s="381" customFormat="1" ht="14.25" customHeight="1">
      <c r="A42" s="1085"/>
      <c r="B42" s="821" t="s">
        <v>398</v>
      </c>
      <c r="C42" s="612">
        <f>'3'!I42</f>
        <v>13971.913687496892</v>
      </c>
      <c r="D42" s="613">
        <f>C42-C41</f>
        <v>180.19663987972126</v>
      </c>
      <c r="E42" s="949">
        <f>'4'!C42-'4'!C41</f>
        <v>-676.49999999999989</v>
      </c>
      <c r="F42" s="949">
        <f>'4'!D42-'4'!D41</f>
        <v>-357.50802916143221</v>
      </c>
      <c r="G42" s="613">
        <f t="shared" ref="G42" si="22">SUM(E42:F42)</f>
        <v>-1034.0080291614322</v>
      </c>
      <c r="H42" s="949">
        <f>'4'!F42-'4'!F41</f>
        <v>418.79389464363612</v>
      </c>
      <c r="I42" s="949">
        <f>'4'!G42-'4'!G41</f>
        <v>237.97268807568071</v>
      </c>
      <c r="J42" s="949">
        <f>'4'!H42-'4'!H41</f>
        <v>557.39271191717944</v>
      </c>
      <c r="K42" s="613">
        <f>SUM(H42:J42)</f>
        <v>1214.1592946364963</v>
      </c>
    </row>
    <row r="43" spans="1:22" s="381" customFormat="1" ht="14.25" customHeight="1">
      <c r="A43" s="1085"/>
      <c r="B43" s="821" t="s">
        <v>399</v>
      </c>
      <c r="C43" s="612">
        <f>'3'!I43</f>
        <v>14058.944349643181</v>
      </c>
      <c r="D43" s="613">
        <f>C43-C42</f>
        <v>87.030662146289615</v>
      </c>
      <c r="E43" s="949">
        <f>'4'!C43-'4'!C42</f>
        <v>-324.3</v>
      </c>
      <c r="F43" s="949">
        <f>'4'!D43-'4'!D42</f>
        <v>52.65162178805258</v>
      </c>
      <c r="G43" s="613">
        <f t="shared" ref="G43" si="23">SUM(E43:F43)</f>
        <v>-271.64837821194743</v>
      </c>
      <c r="H43" s="949">
        <f>'4'!F43-'4'!F42-0.01</f>
        <v>133.04495524864183</v>
      </c>
      <c r="I43" s="949">
        <f>'4'!G43-'4'!G42</f>
        <v>82.609446140204454</v>
      </c>
      <c r="J43" s="949">
        <f>'4'!H43-'4'!H42</f>
        <v>143.01454606800644</v>
      </c>
      <c r="K43" s="613">
        <f>SUM(H43:J43)-0.03</f>
        <v>358.63894745685275</v>
      </c>
    </row>
    <row r="44" spans="1:22">
      <c r="A44" s="378"/>
      <c r="B44" s="378"/>
      <c r="C44" s="378"/>
      <c r="D44" s="378"/>
      <c r="E44" s="378"/>
      <c r="F44" s="378"/>
      <c r="G44" s="378"/>
      <c r="H44" s="378"/>
      <c r="I44" s="378"/>
      <c r="J44" s="378"/>
      <c r="K44" s="378"/>
    </row>
    <row r="45" spans="1:22">
      <c r="A45" s="28"/>
      <c r="B45" s="266"/>
      <c r="C45" s="687"/>
      <c r="D45" s="687"/>
      <c r="E45" s="687"/>
      <c r="F45" s="687"/>
      <c r="G45" s="687"/>
      <c r="H45" s="687"/>
      <c r="I45" s="687"/>
      <c r="J45" s="688"/>
      <c r="K45" s="688"/>
    </row>
    <row r="46" spans="1:22" s="43" customFormat="1" ht="14.25">
      <c r="A46" s="338" t="s">
        <v>500</v>
      </c>
      <c r="B46" s="339"/>
      <c r="C46" s="339"/>
      <c r="D46" s="339"/>
      <c r="E46" s="339"/>
      <c r="F46" s="339"/>
      <c r="G46" s="339"/>
      <c r="H46" s="339"/>
      <c r="I46" s="339"/>
      <c r="J46" s="339"/>
      <c r="K46" s="339"/>
    </row>
    <row r="48" spans="1:22">
      <c r="E48" s="687"/>
      <c r="F48" s="687"/>
      <c r="G48" s="687"/>
      <c r="H48" s="687"/>
      <c r="I48" s="687"/>
      <c r="J48" s="687"/>
      <c r="K48" s="687"/>
    </row>
    <row r="49" spans="2:11">
      <c r="E49" s="687"/>
      <c r="F49" s="687"/>
      <c r="G49" s="687"/>
      <c r="H49" s="687"/>
      <c r="I49" s="687"/>
      <c r="J49" s="687"/>
      <c r="K49" s="687"/>
    </row>
    <row r="51" spans="2:11">
      <c r="B51" s="687"/>
      <c r="C51" s="687"/>
      <c r="E51" s="687"/>
      <c r="F51" s="687"/>
      <c r="G51" s="687"/>
      <c r="H51" s="687"/>
      <c r="I51" s="687"/>
      <c r="J51" s="687"/>
      <c r="K51" s="687"/>
    </row>
  </sheetData>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AH48"/>
  <sheetViews>
    <sheetView zoomScale="80" zoomScaleNormal="80" workbookViewId="0">
      <pane ySplit="12" topLeftCell="A34" activePane="bottomLeft" state="frozen"/>
      <selection activeCell="A49" sqref="A1:XFD1048576"/>
      <selection pane="bottomLeft" activeCell="A49" sqref="A1:XFD1048576"/>
    </sheetView>
  </sheetViews>
  <sheetFormatPr defaultColWidth="9.140625" defaultRowHeight="15"/>
  <cols>
    <col min="1" max="2" width="9.7109375" style="159" customWidth="1"/>
    <col min="3" max="12" width="14.7109375" style="159" customWidth="1"/>
    <col min="13" max="16384" width="9.140625" style="159"/>
  </cols>
  <sheetData>
    <row r="1" spans="1:12" ht="18">
      <c r="A1" s="297" t="s">
        <v>1631</v>
      </c>
      <c r="B1" s="414"/>
      <c r="C1" s="414"/>
      <c r="D1" s="414"/>
      <c r="E1" s="414"/>
      <c r="F1" s="414"/>
      <c r="G1" s="414"/>
      <c r="H1" s="414"/>
      <c r="I1" s="414"/>
      <c r="J1" s="414"/>
      <c r="K1" s="414"/>
      <c r="L1" s="414"/>
    </row>
    <row r="2" spans="1:12" ht="18">
      <c r="A2" s="1423" t="s">
        <v>501</v>
      </c>
      <c r="B2" s="414"/>
      <c r="C2" s="414"/>
      <c r="D2" s="414"/>
      <c r="E2" s="414"/>
      <c r="F2" s="414"/>
      <c r="G2" s="414"/>
      <c r="H2" s="414"/>
      <c r="I2" s="414"/>
      <c r="J2" s="414"/>
      <c r="K2" s="414"/>
      <c r="L2" s="414"/>
    </row>
    <row r="3" spans="1:12" ht="18">
      <c r="A3" s="297" t="s">
        <v>329</v>
      </c>
      <c r="B3" s="414"/>
      <c r="C3" s="414"/>
      <c r="D3" s="414"/>
      <c r="E3" s="414"/>
      <c r="F3" s="414"/>
      <c r="G3" s="414"/>
      <c r="H3" s="414"/>
      <c r="I3" s="414"/>
      <c r="J3" s="414"/>
      <c r="K3" s="414"/>
      <c r="L3" s="414"/>
    </row>
    <row r="4" spans="1:12" ht="18" hidden="1">
      <c r="A4" s="297"/>
      <c r="B4" s="414"/>
      <c r="C4" s="414"/>
      <c r="D4" s="414"/>
      <c r="E4" s="414"/>
      <c r="F4" s="414"/>
      <c r="G4" s="414"/>
      <c r="H4" s="414"/>
      <c r="I4" s="414"/>
      <c r="J4" s="414"/>
      <c r="K4" s="414"/>
      <c r="L4" s="414"/>
    </row>
    <row r="5" spans="1:12" ht="18" hidden="1">
      <c r="A5" s="297"/>
      <c r="B5" s="414"/>
      <c r="C5" s="414"/>
      <c r="D5" s="414"/>
      <c r="E5" s="414"/>
      <c r="F5" s="414"/>
      <c r="G5" s="414"/>
      <c r="H5" s="414"/>
      <c r="I5" s="414"/>
      <c r="J5" s="414"/>
      <c r="K5" s="414"/>
      <c r="L5" s="414"/>
    </row>
    <row r="6" spans="1:12" ht="18" hidden="1">
      <c r="A6" s="297"/>
      <c r="B6" s="414"/>
      <c r="C6" s="414"/>
      <c r="D6" s="414"/>
      <c r="E6" s="414"/>
      <c r="F6" s="414"/>
      <c r="G6" s="414"/>
      <c r="H6" s="414"/>
      <c r="I6" s="414"/>
      <c r="J6" s="414"/>
      <c r="K6" s="414"/>
      <c r="L6" s="414"/>
    </row>
    <row r="7" spans="1:12" ht="18" hidden="1">
      <c r="A7" s="297"/>
      <c r="B7" s="414"/>
      <c r="C7" s="414"/>
      <c r="D7" s="414"/>
      <c r="E7" s="414"/>
      <c r="F7" s="414"/>
      <c r="G7" s="414"/>
      <c r="H7" s="414"/>
      <c r="I7" s="414"/>
      <c r="J7" s="414"/>
      <c r="K7" s="414"/>
      <c r="L7" s="414"/>
    </row>
    <row r="8" spans="1:12" ht="18" hidden="1">
      <c r="A8" s="297"/>
      <c r="B8" s="414"/>
      <c r="C8" s="414"/>
      <c r="D8" s="414"/>
      <c r="E8" s="414"/>
      <c r="F8" s="414"/>
      <c r="G8" s="414"/>
      <c r="H8" s="414"/>
      <c r="I8" s="414"/>
      <c r="J8" s="414"/>
      <c r="K8" s="414"/>
      <c r="L8" s="414"/>
    </row>
    <row r="9" spans="1:12">
      <c r="A9" s="415" t="s">
        <v>502</v>
      </c>
      <c r="B9" s="416"/>
      <c r="C9" s="416"/>
      <c r="D9" s="416"/>
      <c r="E9" s="416"/>
      <c r="F9" s="416"/>
      <c r="G9" s="416"/>
      <c r="H9" s="416"/>
      <c r="I9" s="416"/>
      <c r="J9" s="416"/>
      <c r="K9" s="417"/>
      <c r="L9" s="418" t="s">
        <v>503</v>
      </c>
    </row>
    <row r="10" spans="1:12" s="175" customFormat="1" ht="21.2" customHeight="1">
      <c r="A10" s="174"/>
      <c r="B10" s="177"/>
      <c r="C10" s="419" t="s">
        <v>504</v>
      </c>
      <c r="D10" s="420"/>
      <c r="E10" s="421"/>
      <c r="F10" s="421"/>
      <c r="G10" s="422" t="s">
        <v>505</v>
      </c>
      <c r="H10" s="179" t="s">
        <v>506</v>
      </c>
      <c r="I10" s="420"/>
      <c r="J10" s="421"/>
      <c r="K10" s="421"/>
      <c r="L10" s="422" t="s">
        <v>507</v>
      </c>
    </row>
    <row r="11" spans="1:12" s="176" customFormat="1" ht="15.75">
      <c r="A11" s="423" t="s">
        <v>364</v>
      </c>
      <c r="B11" s="424"/>
      <c r="C11" s="425" t="s">
        <v>508</v>
      </c>
      <c r="D11" s="426" t="s">
        <v>509</v>
      </c>
      <c r="E11" s="425" t="s">
        <v>510</v>
      </c>
      <c r="F11" s="426" t="s">
        <v>511</v>
      </c>
      <c r="G11" s="426" t="s">
        <v>512</v>
      </c>
      <c r="H11" s="425" t="s">
        <v>513</v>
      </c>
      <c r="I11" s="426" t="s">
        <v>514</v>
      </c>
      <c r="J11" s="426" t="s">
        <v>335</v>
      </c>
      <c r="K11" s="426" t="s">
        <v>515</v>
      </c>
      <c r="L11" s="427" t="s">
        <v>516</v>
      </c>
    </row>
    <row r="12" spans="1:12" s="431" customFormat="1" ht="31.5">
      <c r="A12" s="194" t="s">
        <v>372</v>
      </c>
      <c r="B12" s="428"/>
      <c r="C12" s="429" t="s">
        <v>517</v>
      </c>
      <c r="D12" s="430" t="s">
        <v>518</v>
      </c>
      <c r="E12" s="429" t="s">
        <v>519</v>
      </c>
      <c r="F12" s="430" t="s">
        <v>520</v>
      </c>
      <c r="G12" s="430" t="s">
        <v>521</v>
      </c>
      <c r="H12" s="429" t="s">
        <v>522</v>
      </c>
      <c r="I12" s="430" t="s">
        <v>523</v>
      </c>
      <c r="J12" s="430" t="s">
        <v>524</v>
      </c>
      <c r="K12" s="430" t="s">
        <v>525</v>
      </c>
      <c r="L12" s="430" t="s">
        <v>526</v>
      </c>
    </row>
    <row r="13" spans="1:12" s="327" customFormat="1" ht="20.25" customHeight="1">
      <c r="A13" s="432">
        <v>2010</v>
      </c>
      <c r="B13" s="433"/>
      <c r="C13" s="873">
        <v>0.10059999999999999</v>
      </c>
      <c r="D13" s="873">
        <v>1.3350500000000001</v>
      </c>
      <c r="E13" s="873">
        <v>0.1024</v>
      </c>
      <c r="F13" s="873">
        <v>0.98180000000000001</v>
      </c>
      <c r="G13" s="873">
        <v>0.10324999999999999</v>
      </c>
      <c r="H13" s="875">
        <v>0.376</v>
      </c>
      <c r="I13" s="873">
        <v>0.58309999999999995</v>
      </c>
      <c r="J13" s="873">
        <v>0.49740000000000001</v>
      </c>
      <c r="K13" s="875">
        <v>4.5999999999999996</v>
      </c>
      <c r="L13" s="873">
        <v>0.39889999999999998</v>
      </c>
    </row>
    <row r="14" spans="1:12" s="435" customFormat="1" ht="14.25" customHeight="1">
      <c r="A14" s="380">
        <v>2011</v>
      </c>
      <c r="B14" s="434"/>
      <c r="C14" s="873">
        <v>0.10059999999999999</v>
      </c>
      <c r="D14" s="874">
        <v>1.3491</v>
      </c>
      <c r="E14" s="874">
        <v>0.1024</v>
      </c>
      <c r="F14" s="874">
        <v>0.98180000000000001</v>
      </c>
      <c r="G14" s="874">
        <v>0.10324999999999999</v>
      </c>
      <c r="H14" s="876">
        <v>0.376</v>
      </c>
      <c r="I14" s="874">
        <v>0.58099999999999996</v>
      </c>
      <c r="J14" s="874">
        <v>0.48599999999999999</v>
      </c>
      <c r="K14" s="876">
        <v>4.8</v>
      </c>
      <c r="L14" s="874">
        <v>0.39879999999999999</v>
      </c>
    </row>
    <row r="15" spans="1:12" s="435" customFormat="1" ht="14.25" customHeight="1">
      <c r="A15" s="380">
        <v>2012</v>
      </c>
      <c r="B15" s="434"/>
      <c r="C15" s="873">
        <v>0.10059999999999999</v>
      </c>
      <c r="D15" s="874">
        <v>1.3371</v>
      </c>
      <c r="E15" s="874">
        <v>0.1024</v>
      </c>
      <c r="F15" s="874">
        <v>0.98180000000000001</v>
      </c>
      <c r="G15" s="874">
        <v>0.1033</v>
      </c>
      <c r="H15" s="876">
        <v>0.376</v>
      </c>
      <c r="I15" s="874">
        <v>0.60770000000000002</v>
      </c>
      <c r="J15" s="874">
        <v>0.49730000000000002</v>
      </c>
      <c r="K15" s="876">
        <v>4.4000000000000004</v>
      </c>
      <c r="L15" s="874">
        <v>0.41189999999999999</v>
      </c>
    </row>
    <row r="16" spans="1:12" s="435" customFormat="1" ht="14.25" customHeight="1">
      <c r="A16" s="380">
        <v>2013</v>
      </c>
      <c r="B16" s="434"/>
      <c r="C16" s="873">
        <v>0.10059999999999999</v>
      </c>
      <c r="D16" s="874">
        <v>1.3313999999999999</v>
      </c>
      <c r="E16" s="874">
        <v>0.1024</v>
      </c>
      <c r="F16" s="874">
        <v>0.98180000000000001</v>
      </c>
      <c r="G16" s="874">
        <v>0.1033</v>
      </c>
      <c r="H16" s="876">
        <v>0.376</v>
      </c>
      <c r="I16" s="874">
        <v>0.62019999999999997</v>
      </c>
      <c r="J16" s="874">
        <v>0.51910000000000001</v>
      </c>
      <c r="K16" s="876">
        <v>3.6</v>
      </c>
      <c r="L16" s="874">
        <v>0.42370000000000002</v>
      </c>
    </row>
    <row r="17" spans="1:34" s="435" customFormat="1" ht="14.25" customHeight="1">
      <c r="A17" s="380">
        <v>2014</v>
      </c>
      <c r="B17" s="434"/>
      <c r="C17" s="873">
        <v>0.10059999999999999</v>
      </c>
      <c r="D17" s="874">
        <v>1.2847999999999999</v>
      </c>
      <c r="E17" s="874">
        <v>0.1024</v>
      </c>
      <c r="F17" s="874">
        <v>0.98180000000000001</v>
      </c>
      <c r="G17" s="874">
        <v>0.1033</v>
      </c>
      <c r="H17" s="876">
        <v>0.376</v>
      </c>
      <c r="I17" s="874">
        <v>0.58520000000000005</v>
      </c>
      <c r="J17" s="874">
        <v>0.4572</v>
      </c>
      <c r="K17" s="876">
        <v>3.1</v>
      </c>
      <c r="L17" s="874">
        <v>0.38030000000000003</v>
      </c>
    </row>
    <row r="18" spans="1:34" s="435" customFormat="1" ht="14.25" customHeight="1">
      <c r="A18" s="380">
        <v>2015</v>
      </c>
      <c r="B18" s="434"/>
      <c r="C18" s="873">
        <v>0.10059999999999999</v>
      </c>
      <c r="D18" s="874">
        <v>1.2383999999999999</v>
      </c>
      <c r="E18" s="874">
        <v>0.1024</v>
      </c>
      <c r="F18" s="874">
        <v>0.98180000000000001</v>
      </c>
      <c r="G18" s="874">
        <v>0.1033</v>
      </c>
      <c r="H18" s="876">
        <v>0.376</v>
      </c>
      <c r="I18" s="874">
        <v>0.55710000000000004</v>
      </c>
      <c r="J18" s="874">
        <v>0.41120000000000001</v>
      </c>
      <c r="K18" s="876">
        <v>3.1</v>
      </c>
      <c r="L18" s="874">
        <v>0.3805</v>
      </c>
    </row>
    <row r="19" spans="1:34" s="435" customFormat="1" ht="14.25" customHeight="1">
      <c r="A19" s="380">
        <v>2016</v>
      </c>
      <c r="B19" s="434"/>
      <c r="C19" s="874">
        <v>0.10059999999999999</v>
      </c>
      <c r="D19" s="874">
        <v>1.2302</v>
      </c>
      <c r="E19" s="874">
        <v>0.1024</v>
      </c>
      <c r="F19" s="874">
        <v>0.98180000000000001</v>
      </c>
      <c r="G19" s="874">
        <v>0.1033</v>
      </c>
      <c r="H19" s="876">
        <v>0.376</v>
      </c>
      <c r="I19" s="874">
        <v>0.46460000000000001</v>
      </c>
      <c r="J19" s="874">
        <v>0.39560000000000001</v>
      </c>
      <c r="K19" s="876">
        <v>3.2</v>
      </c>
      <c r="L19" s="874">
        <v>0.36859999999999998</v>
      </c>
    </row>
    <row r="20" spans="1:34" s="435" customFormat="1" ht="14.25" customHeight="1">
      <c r="A20" s="380">
        <v>2017</v>
      </c>
      <c r="B20" s="434"/>
      <c r="C20" s="874">
        <v>0.10059999999999999</v>
      </c>
      <c r="D20" s="874">
        <v>1.2470000000000001</v>
      </c>
      <c r="E20" s="874">
        <v>0.1024</v>
      </c>
      <c r="F20" s="874">
        <v>0.98180000000000001</v>
      </c>
      <c r="G20" s="874">
        <v>0.1033</v>
      </c>
      <c r="H20" s="876">
        <v>0.376</v>
      </c>
      <c r="I20" s="874">
        <v>0.50839999999999996</v>
      </c>
      <c r="J20" s="874">
        <v>0.45140000000000002</v>
      </c>
      <c r="K20" s="876">
        <v>3.3</v>
      </c>
      <c r="L20" s="874">
        <v>0.38590000000000002</v>
      </c>
    </row>
    <row r="21" spans="1:34" s="343" customFormat="1" ht="14.25" customHeight="1">
      <c r="A21" s="905">
        <v>2018</v>
      </c>
      <c r="B21" s="906"/>
      <c r="C21" s="1074">
        <f t="shared" ref="C21:L21" si="0">C25</f>
        <v>0.10059999999999999</v>
      </c>
      <c r="D21" s="1074">
        <f t="shared" si="0"/>
        <v>1.2386999999999999</v>
      </c>
      <c r="E21" s="1074">
        <f t="shared" si="0"/>
        <v>0.1024</v>
      </c>
      <c r="F21" s="1074">
        <f t="shared" si="0"/>
        <v>0.98180000000000001</v>
      </c>
      <c r="G21" s="1074">
        <f t="shared" si="0"/>
        <v>0.1033</v>
      </c>
      <c r="H21" s="1075">
        <f t="shared" si="0"/>
        <v>0.376</v>
      </c>
      <c r="I21" s="1074">
        <f t="shared" si="0"/>
        <v>0.47710000000000002</v>
      </c>
      <c r="J21" s="1074">
        <f t="shared" si="0"/>
        <v>0.4304</v>
      </c>
      <c r="K21" s="1075">
        <f t="shared" si="0"/>
        <v>3.4</v>
      </c>
      <c r="L21" s="1074">
        <f t="shared" si="0"/>
        <v>0.38229999999999997</v>
      </c>
      <c r="M21" s="1682"/>
      <c r="N21" s="411"/>
      <c r="O21" s="411"/>
      <c r="P21" s="411"/>
      <c r="Q21" s="411"/>
      <c r="R21" s="411"/>
    </row>
    <row r="22" spans="1:34" s="343" customFormat="1" ht="14.25" customHeight="1">
      <c r="A22" s="1193">
        <v>2019</v>
      </c>
      <c r="B22" s="1483"/>
      <c r="C22" s="1909">
        <f t="shared" ref="C22:L22" si="1">C29</f>
        <v>0.10059999999999999</v>
      </c>
      <c r="D22" s="1909">
        <f t="shared" si="1"/>
        <v>1.2410000000000001</v>
      </c>
      <c r="E22" s="1909">
        <f t="shared" si="1"/>
        <v>0.1024</v>
      </c>
      <c r="F22" s="1909">
        <f t="shared" si="1"/>
        <v>0.98180000000000001</v>
      </c>
      <c r="G22" s="1909">
        <f t="shared" si="1"/>
        <v>0.1033</v>
      </c>
      <c r="H22" s="1910">
        <f t="shared" si="1"/>
        <v>0.376</v>
      </c>
      <c r="I22" s="1909">
        <f t="shared" si="1"/>
        <v>0.49320000000000003</v>
      </c>
      <c r="J22" s="1909">
        <f t="shared" si="1"/>
        <v>0.4214</v>
      </c>
      <c r="K22" s="1910">
        <f t="shared" si="1"/>
        <v>3.5</v>
      </c>
      <c r="L22" s="1909">
        <f t="shared" si="1"/>
        <v>0.38819999999999999</v>
      </c>
      <c r="M22" s="1682"/>
      <c r="N22" s="411"/>
      <c r="O22" s="411"/>
    </row>
    <row r="23" spans="1:34" s="343" customFormat="1" ht="20.25" customHeight="1">
      <c r="A23" s="905">
        <v>2018</v>
      </c>
      <c r="B23" s="906" t="s">
        <v>223</v>
      </c>
      <c r="C23" s="1074">
        <v>0.10059999999999999</v>
      </c>
      <c r="D23" s="1074">
        <v>1.2419</v>
      </c>
      <c r="E23" s="1074">
        <v>0.1024</v>
      </c>
      <c r="F23" s="1074">
        <v>0.98180000000000001</v>
      </c>
      <c r="G23" s="1074">
        <v>0.1033</v>
      </c>
      <c r="H23" s="1075">
        <v>0.376</v>
      </c>
      <c r="I23" s="1074">
        <v>0.49680000000000002</v>
      </c>
      <c r="J23" s="1074">
        <v>0.43930000000000002</v>
      </c>
      <c r="K23" s="1075">
        <v>3.4</v>
      </c>
      <c r="L23" s="1074">
        <v>0.37959999999999999</v>
      </c>
      <c r="M23" s="411"/>
      <c r="N23" s="411"/>
      <c r="O23" s="411"/>
    </row>
    <row r="24" spans="1:34" s="343" customFormat="1" ht="14.25" customHeight="1">
      <c r="A24" s="905"/>
      <c r="B24" s="906" t="s">
        <v>224</v>
      </c>
      <c r="C24" s="1074">
        <v>0.10059999999999999</v>
      </c>
      <c r="D24" s="1074">
        <v>1.2396</v>
      </c>
      <c r="E24" s="1074">
        <v>0.1024</v>
      </c>
      <c r="F24" s="1074">
        <v>0.98180000000000001</v>
      </c>
      <c r="G24" s="1074">
        <v>0.1033</v>
      </c>
      <c r="H24" s="1075">
        <v>0.376</v>
      </c>
      <c r="I24" s="1074">
        <v>0.4899</v>
      </c>
      <c r="J24" s="1074">
        <v>0.43630000000000002</v>
      </c>
      <c r="K24" s="1075">
        <v>3.3</v>
      </c>
      <c r="L24" s="1074">
        <v>0.38300000000000001</v>
      </c>
      <c r="M24" s="1682"/>
      <c r="N24" s="411"/>
      <c r="O24" s="411"/>
      <c r="P24" s="411"/>
      <c r="Q24" s="411"/>
      <c r="R24" s="411"/>
      <c r="S24" s="411"/>
      <c r="T24" s="411"/>
      <c r="U24" s="411"/>
      <c r="V24" s="411"/>
      <c r="W24" s="411"/>
    </row>
    <row r="25" spans="1:34" s="343" customFormat="1" ht="14.25" customHeight="1">
      <c r="A25" s="905"/>
      <c r="B25" s="906" t="s">
        <v>225</v>
      </c>
      <c r="C25" s="1074">
        <v>0.10059999999999999</v>
      </c>
      <c r="D25" s="1074">
        <v>1.2386999999999999</v>
      </c>
      <c r="E25" s="1074">
        <v>0.1024</v>
      </c>
      <c r="F25" s="1074">
        <v>0.98180000000000001</v>
      </c>
      <c r="G25" s="1074">
        <v>0.1033</v>
      </c>
      <c r="H25" s="1075">
        <v>0.376</v>
      </c>
      <c r="I25" s="1074">
        <v>0.47710000000000002</v>
      </c>
      <c r="J25" s="1074">
        <v>0.4304</v>
      </c>
      <c r="K25" s="1075">
        <v>3.4</v>
      </c>
      <c r="L25" s="1074">
        <v>0.38229999999999997</v>
      </c>
      <c r="M25" s="1682"/>
      <c r="N25" s="411"/>
      <c r="O25" s="411"/>
    </row>
    <row r="26" spans="1:34" s="343" customFormat="1" ht="20.25" customHeight="1">
      <c r="A26" s="905">
        <v>2019</v>
      </c>
      <c r="B26" s="906" t="s">
        <v>222</v>
      </c>
      <c r="C26" s="1074">
        <v>0.10059999999999999</v>
      </c>
      <c r="D26" s="1074">
        <v>1.2377</v>
      </c>
      <c r="E26" s="1074">
        <v>0.1024</v>
      </c>
      <c r="F26" s="1074">
        <v>0.98180000000000001</v>
      </c>
      <c r="G26" s="1074">
        <v>0.1033</v>
      </c>
      <c r="H26" s="1075">
        <v>0.376</v>
      </c>
      <c r="I26" s="1074">
        <v>0.49020000000000002</v>
      </c>
      <c r="J26" s="1074">
        <v>0.4219</v>
      </c>
      <c r="K26" s="1075">
        <v>3.4</v>
      </c>
      <c r="L26" s="1074">
        <v>0.37790000000000001</v>
      </c>
      <c r="M26" s="411"/>
      <c r="N26" s="411"/>
      <c r="O26" s="411"/>
      <c r="P26" s="411"/>
      <c r="Q26" s="411"/>
      <c r="R26" s="411"/>
      <c r="S26" s="411"/>
      <c r="T26" s="411"/>
    </row>
    <row r="27" spans="1:34" s="343" customFormat="1" ht="14.25" customHeight="1">
      <c r="A27" s="905"/>
      <c r="B27" s="906" t="s">
        <v>223</v>
      </c>
      <c r="C27" s="1074">
        <f t="shared" ref="C27:L27" si="2">C33</f>
        <v>0.10059999999999999</v>
      </c>
      <c r="D27" s="1074">
        <f t="shared" si="2"/>
        <v>1.2402</v>
      </c>
      <c r="E27" s="1074">
        <f t="shared" si="2"/>
        <v>0.1024</v>
      </c>
      <c r="F27" s="1074">
        <f t="shared" si="2"/>
        <v>0.98180000000000001</v>
      </c>
      <c r="G27" s="1074">
        <f t="shared" si="2"/>
        <v>0.1033</v>
      </c>
      <c r="H27" s="1075">
        <f t="shared" si="2"/>
        <v>0.376</v>
      </c>
      <c r="I27" s="1074">
        <f t="shared" si="2"/>
        <v>0.47749999999999998</v>
      </c>
      <c r="J27" s="1074">
        <f t="shared" si="2"/>
        <v>0.42770000000000002</v>
      </c>
      <c r="K27" s="1075">
        <f t="shared" si="2"/>
        <v>3.5</v>
      </c>
      <c r="L27" s="1074">
        <f t="shared" si="2"/>
        <v>0.38519999999999999</v>
      </c>
      <c r="M27" s="411"/>
      <c r="N27" s="411"/>
      <c r="O27" s="411"/>
      <c r="P27" s="411"/>
      <c r="Q27" s="411"/>
      <c r="R27" s="411"/>
      <c r="S27" s="411"/>
      <c r="T27" s="411"/>
      <c r="U27" s="411"/>
      <c r="V27" s="411"/>
      <c r="W27" s="411"/>
      <c r="X27" s="411"/>
      <c r="Y27" s="411"/>
      <c r="Z27" s="411"/>
      <c r="AA27" s="411"/>
      <c r="AB27" s="411"/>
      <c r="AC27" s="411"/>
      <c r="AD27" s="411"/>
      <c r="AE27" s="411"/>
      <c r="AF27" s="411"/>
      <c r="AG27" s="411"/>
      <c r="AH27" s="411"/>
    </row>
    <row r="28" spans="1:34" s="343" customFormat="1" ht="14.25" customHeight="1">
      <c r="A28" s="905"/>
      <c r="B28" s="906" t="s">
        <v>224</v>
      </c>
      <c r="C28" s="1074">
        <f t="shared" ref="C28:L28" si="3">C36</f>
        <v>0.10059999999999999</v>
      </c>
      <c r="D28" s="1074">
        <f t="shared" si="3"/>
        <v>1.2375</v>
      </c>
      <c r="E28" s="1074">
        <f t="shared" si="3"/>
        <v>0.1024</v>
      </c>
      <c r="F28" s="1074">
        <f t="shared" si="3"/>
        <v>0.98180000000000001</v>
      </c>
      <c r="G28" s="1074">
        <f t="shared" si="3"/>
        <v>0.1033</v>
      </c>
      <c r="H28" s="1075">
        <f t="shared" si="3"/>
        <v>0.376</v>
      </c>
      <c r="I28" s="1074">
        <f t="shared" si="3"/>
        <v>0.46229999999999999</v>
      </c>
      <c r="J28" s="1074">
        <f t="shared" si="3"/>
        <v>0.41149999999999998</v>
      </c>
      <c r="K28" s="1075">
        <f t="shared" si="3"/>
        <v>3.5</v>
      </c>
      <c r="L28" s="1074">
        <f t="shared" si="3"/>
        <v>0.3795</v>
      </c>
      <c r="M28" s="411"/>
      <c r="N28" s="411"/>
      <c r="O28" s="411"/>
      <c r="P28" s="411"/>
      <c r="Q28" s="411"/>
      <c r="R28" s="411"/>
      <c r="S28" s="411"/>
      <c r="T28" s="411"/>
    </row>
    <row r="29" spans="1:34" s="411" customFormat="1" ht="14.25" customHeight="1">
      <c r="A29" s="905"/>
      <c r="B29" s="906" t="s">
        <v>225</v>
      </c>
      <c r="C29" s="1074">
        <f t="shared" ref="C29:L29" si="4">C39</f>
        <v>0.10059999999999999</v>
      </c>
      <c r="D29" s="1074">
        <f t="shared" si="4"/>
        <v>1.2410000000000001</v>
      </c>
      <c r="E29" s="1074">
        <f t="shared" si="4"/>
        <v>0.1024</v>
      </c>
      <c r="F29" s="1074">
        <f t="shared" si="4"/>
        <v>0.98180000000000001</v>
      </c>
      <c r="G29" s="1074">
        <f t="shared" si="4"/>
        <v>0.1033</v>
      </c>
      <c r="H29" s="1075">
        <f t="shared" si="4"/>
        <v>0.376</v>
      </c>
      <c r="I29" s="1074">
        <f t="shared" si="4"/>
        <v>0.49320000000000003</v>
      </c>
      <c r="J29" s="1074">
        <f t="shared" si="4"/>
        <v>0.4214</v>
      </c>
      <c r="K29" s="1075">
        <f t="shared" si="4"/>
        <v>3.5</v>
      </c>
      <c r="L29" s="1074">
        <f t="shared" si="4"/>
        <v>0.38819999999999999</v>
      </c>
    </row>
    <row r="30" spans="1:34" s="343" customFormat="1" ht="21" customHeight="1">
      <c r="A30" s="1193">
        <v>2020</v>
      </c>
      <c r="B30" s="1483" t="s">
        <v>222</v>
      </c>
      <c r="C30" s="1909">
        <f t="shared" ref="C30:L30" si="5">C42</f>
        <v>0.10059999999999999</v>
      </c>
      <c r="D30" s="1909">
        <f t="shared" si="5"/>
        <v>1.2199</v>
      </c>
      <c r="E30" s="1909">
        <f t="shared" si="5"/>
        <v>0.1024</v>
      </c>
      <c r="F30" s="1909">
        <f t="shared" si="5"/>
        <v>0.98180000000000001</v>
      </c>
      <c r="G30" s="1909">
        <f t="shared" si="5"/>
        <v>0.1033</v>
      </c>
      <c r="H30" s="1910">
        <f t="shared" si="5"/>
        <v>0.376</v>
      </c>
      <c r="I30" s="1909">
        <f t="shared" si="5"/>
        <v>0.46539999999999998</v>
      </c>
      <c r="J30" s="1909">
        <f t="shared" si="5"/>
        <v>0.4148</v>
      </c>
      <c r="K30" s="1910">
        <f t="shared" si="5"/>
        <v>3.5</v>
      </c>
      <c r="L30" s="1909">
        <f t="shared" si="5"/>
        <v>0.39179999999999998</v>
      </c>
    </row>
    <row r="31" spans="1:34" s="343" customFormat="1" ht="20.25" customHeight="1">
      <c r="A31" s="905">
        <v>2019</v>
      </c>
      <c r="B31" s="906" t="s">
        <v>399</v>
      </c>
      <c r="C31" s="1074">
        <v>0.10059999999999999</v>
      </c>
      <c r="D31" s="1074">
        <v>1.2357</v>
      </c>
      <c r="E31" s="1074">
        <v>0.1024</v>
      </c>
      <c r="F31" s="1074">
        <v>0.98180000000000001</v>
      </c>
      <c r="G31" s="1074">
        <v>0.1033</v>
      </c>
      <c r="H31" s="1075">
        <v>0.376</v>
      </c>
      <c r="I31" s="1074">
        <v>0.48630000000000001</v>
      </c>
      <c r="J31" s="1074">
        <v>0.42059999999999997</v>
      </c>
      <c r="K31" s="1075">
        <f>0.0034*1000</f>
        <v>3.4</v>
      </c>
      <c r="L31" s="1074">
        <v>0.36890000000000001</v>
      </c>
    </row>
    <row r="32" spans="1:34" s="343" customFormat="1" ht="14.25" customHeight="1">
      <c r="A32" s="905"/>
      <c r="B32" s="906" t="s">
        <v>400</v>
      </c>
      <c r="C32" s="1074">
        <v>0.10059999999999999</v>
      </c>
      <c r="D32" s="1074">
        <v>1.2375</v>
      </c>
      <c r="E32" s="1074">
        <v>0.1024</v>
      </c>
      <c r="F32" s="1074">
        <v>0.98180000000000001</v>
      </c>
      <c r="G32" s="1074">
        <v>0.1033</v>
      </c>
      <c r="H32" s="1075">
        <v>0.376</v>
      </c>
      <c r="I32" s="1074">
        <v>0.47489999999999999</v>
      </c>
      <c r="J32" s="1074">
        <v>0.41880000000000001</v>
      </c>
      <c r="K32" s="1075">
        <f>0.0034*1000</f>
        <v>3.4</v>
      </c>
      <c r="L32" s="1074">
        <v>0.37290000000000001</v>
      </c>
    </row>
    <row r="33" spans="1:12" s="343" customFormat="1" ht="14.25" customHeight="1">
      <c r="A33" s="905"/>
      <c r="B33" s="906" t="s">
        <v>401</v>
      </c>
      <c r="C33" s="1074">
        <v>0.10059999999999999</v>
      </c>
      <c r="D33" s="1074">
        <v>1.2402</v>
      </c>
      <c r="E33" s="1074">
        <v>0.1024</v>
      </c>
      <c r="F33" s="1074">
        <v>0.98180000000000001</v>
      </c>
      <c r="G33" s="1074">
        <v>0.1033</v>
      </c>
      <c r="H33" s="1075">
        <v>0.376</v>
      </c>
      <c r="I33" s="1074">
        <v>0.47749999999999998</v>
      </c>
      <c r="J33" s="1074">
        <v>0.42770000000000002</v>
      </c>
      <c r="K33" s="1075">
        <f>0.0035*1000</f>
        <v>3.5</v>
      </c>
      <c r="L33" s="1074">
        <v>0.38519999999999999</v>
      </c>
    </row>
    <row r="34" spans="1:12" s="343" customFormat="1" ht="14.25" customHeight="1">
      <c r="A34" s="905"/>
      <c r="B34" s="906" t="s">
        <v>402</v>
      </c>
      <c r="C34" s="1074">
        <v>0.10059999999999999</v>
      </c>
      <c r="D34" s="1074">
        <v>1.2369000000000001</v>
      </c>
      <c r="E34" s="1074">
        <v>0.1024</v>
      </c>
      <c r="F34" s="1074">
        <v>0.98180000000000001</v>
      </c>
      <c r="G34" s="1074">
        <v>0.1033</v>
      </c>
      <c r="H34" s="1075">
        <v>0.376</v>
      </c>
      <c r="I34" s="1074">
        <v>0.4572</v>
      </c>
      <c r="J34" s="1074">
        <v>0.41959999999999997</v>
      </c>
      <c r="K34" s="1075">
        <f>0.0035*1000</f>
        <v>3.5</v>
      </c>
      <c r="L34" s="1074">
        <v>0.37990000000000002</v>
      </c>
    </row>
    <row r="35" spans="1:12" s="343" customFormat="1" ht="14.25" customHeight="1">
      <c r="A35" s="905"/>
      <c r="B35" s="906" t="s">
        <v>403</v>
      </c>
      <c r="C35" s="1074">
        <v>0.10059999999999999</v>
      </c>
      <c r="D35" s="1074">
        <v>1.2394000000000001</v>
      </c>
      <c r="E35" s="1074">
        <v>0.1024</v>
      </c>
      <c r="F35" s="1074">
        <v>0.98180000000000001</v>
      </c>
      <c r="G35" s="1074">
        <v>0.1033</v>
      </c>
      <c r="H35" s="1075">
        <v>0.376</v>
      </c>
      <c r="I35" s="1074">
        <v>0.45950000000000002</v>
      </c>
      <c r="J35" s="1074">
        <v>0.41689999999999999</v>
      </c>
      <c r="K35" s="1075">
        <f>0.0035*1000</f>
        <v>3.5</v>
      </c>
      <c r="L35" s="1074">
        <v>0.38319999999999999</v>
      </c>
    </row>
    <row r="36" spans="1:12" s="343" customFormat="1" ht="14.25" customHeight="1">
      <c r="A36" s="905"/>
      <c r="B36" s="906" t="s">
        <v>404</v>
      </c>
      <c r="C36" s="1074">
        <v>0.10059999999999999</v>
      </c>
      <c r="D36" s="1074">
        <v>1.2375</v>
      </c>
      <c r="E36" s="1074">
        <v>0.1024</v>
      </c>
      <c r="F36" s="1074">
        <v>0.98180000000000001</v>
      </c>
      <c r="G36" s="1074">
        <v>0.1033</v>
      </c>
      <c r="H36" s="1075">
        <v>0.376</v>
      </c>
      <c r="I36" s="1074">
        <v>0.46229999999999999</v>
      </c>
      <c r="J36" s="1074">
        <v>0.41149999999999998</v>
      </c>
      <c r="K36" s="1075">
        <f>0.0035*1000</f>
        <v>3.5</v>
      </c>
      <c r="L36" s="1074">
        <v>0.3795</v>
      </c>
    </row>
    <row r="37" spans="1:12" s="343" customFormat="1" ht="14.25" customHeight="1">
      <c r="A37" s="905"/>
      <c r="B37" s="906" t="s">
        <v>405</v>
      </c>
      <c r="C37" s="1074">
        <v>0.10059999999999999</v>
      </c>
      <c r="D37" s="1074">
        <v>1.2388999999999999</v>
      </c>
      <c r="E37" s="1074">
        <v>0.1024</v>
      </c>
      <c r="F37" s="1074">
        <v>0.98180000000000001</v>
      </c>
      <c r="G37" s="1074">
        <v>0.1033</v>
      </c>
      <c r="H37" s="1075">
        <v>0.376</v>
      </c>
      <c r="I37" s="1074">
        <v>0.48570000000000002</v>
      </c>
      <c r="J37" s="1074">
        <v>0.41980000000000001</v>
      </c>
      <c r="K37" s="1075">
        <f>0.0035*1000</f>
        <v>3.5</v>
      </c>
      <c r="L37" s="1074">
        <v>0.38069999999999998</v>
      </c>
    </row>
    <row r="38" spans="1:12" s="343" customFormat="1" ht="14.25" customHeight="1">
      <c r="A38" s="905"/>
      <c r="B38" s="906" t="s">
        <v>406</v>
      </c>
      <c r="C38" s="1074">
        <v>0.10059999999999999</v>
      </c>
      <c r="D38" s="1074">
        <v>1.2384999999999999</v>
      </c>
      <c r="E38" s="1074">
        <v>0.1024</v>
      </c>
      <c r="F38" s="1074">
        <v>0.98180000000000001</v>
      </c>
      <c r="G38" s="1074">
        <v>0.1033</v>
      </c>
      <c r="H38" s="1075">
        <v>0.376</v>
      </c>
      <c r="I38" s="1074">
        <v>0.48609999999999998</v>
      </c>
      <c r="J38" s="1074">
        <v>0.41389999999999999</v>
      </c>
      <c r="K38" s="1075">
        <f>0.0034*1000</f>
        <v>3.4</v>
      </c>
      <c r="L38" s="1074">
        <v>0.37659999999999999</v>
      </c>
    </row>
    <row r="39" spans="1:12" s="343" customFormat="1" ht="14.25" customHeight="1">
      <c r="A39" s="905"/>
      <c r="B39" s="906" t="s">
        <v>407</v>
      </c>
      <c r="C39" s="1074">
        <v>0.10059999999999999</v>
      </c>
      <c r="D39" s="1074">
        <v>1.2410000000000001</v>
      </c>
      <c r="E39" s="1074">
        <v>0.1024</v>
      </c>
      <c r="F39" s="1074">
        <v>0.98180000000000001</v>
      </c>
      <c r="G39" s="1074">
        <v>0.1033</v>
      </c>
      <c r="H39" s="1075">
        <v>0.376</v>
      </c>
      <c r="I39" s="1074">
        <v>0.49320000000000003</v>
      </c>
      <c r="J39" s="1074">
        <v>0.4214</v>
      </c>
      <c r="K39" s="1075">
        <f>0.0035*1000</f>
        <v>3.5</v>
      </c>
      <c r="L39" s="1074">
        <v>0.38819999999999999</v>
      </c>
    </row>
    <row r="40" spans="1:12" s="343" customFormat="1" ht="20.25" customHeight="1">
      <c r="A40" s="905">
        <v>2020</v>
      </c>
      <c r="B40" s="906" t="s">
        <v>408</v>
      </c>
      <c r="C40" s="1074">
        <v>0.10059999999999999</v>
      </c>
      <c r="D40" s="1074">
        <v>1.2379</v>
      </c>
      <c r="E40" s="1074">
        <v>0.1024</v>
      </c>
      <c r="F40" s="1074">
        <v>0.98180000000000001</v>
      </c>
      <c r="G40" s="1074">
        <v>0.1033</v>
      </c>
      <c r="H40" s="1075">
        <v>0.376</v>
      </c>
      <c r="I40" s="1074">
        <v>0.48980000000000001</v>
      </c>
      <c r="J40" s="1074">
        <v>0.4143</v>
      </c>
      <c r="K40" s="1075">
        <f>0.0035*1000</f>
        <v>3.5</v>
      </c>
      <c r="L40" s="1074">
        <v>0.3866</v>
      </c>
    </row>
    <row r="41" spans="1:12" s="343" customFormat="1" ht="14.25" customHeight="1">
      <c r="A41" s="1082"/>
      <c r="B41" s="906" t="s">
        <v>409</v>
      </c>
      <c r="C41" s="1074">
        <v>0.10059999999999999</v>
      </c>
      <c r="D41" s="1074">
        <v>1.2305999999999999</v>
      </c>
      <c r="E41" s="1074">
        <v>0.1024</v>
      </c>
      <c r="F41" s="1074">
        <v>0.98180000000000001</v>
      </c>
      <c r="G41" s="1074">
        <v>0.1033</v>
      </c>
      <c r="H41" s="1075">
        <v>0.376</v>
      </c>
      <c r="I41" s="1074">
        <v>0.48570000000000002</v>
      </c>
      <c r="J41" s="1074">
        <v>0.4098</v>
      </c>
      <c r="K41" s="1075">
        <v>3.4</v>
      </c>
      <c r="L41" s="1074">
        <v>0.38569999999999999</v>
      </c>
    </row>
    <row r="42" spans="1:12" s="343" customFormat="1" ht="14.25" customHeight="1">
      <c r="A42" s="1082"/>
      <c r="B42" s="906" t="s">
        <v>398</v>
      </c>
      <c r="C42" s="1074">
        <v>0.10059999999999999</v>
      </c>
      <c r="D42" s="1074">
        <v>1.2199</v>
      </c>
      <c r="E42" s="1074">
        <v>0.1024</v>
      </c>
      <c r="F42" s="1074">
        <v>0.98180000000000001</v>
      </c>
      <c r="G42" s="1074">
        <v>0.1033</v>
      </c>
      <c r="H42" s="1075">
        <v>0.376</v>
      </c>
      <c r="I42" s="1074">
        <v>0.46539999999999998</v>
      </c>
      <c r="J42" s="1074">
        <v>0.4148</v>
      </c>
      <c r="K42" s="1075">
        <v>3.5</v>
      </c>
      <c r="L42" s="1074">
        <v>0.39179999999999998</v>
      </c>
    </row>
    <row r="43" spans="1:12" s="343" customFormat="1" ht="14.25" customHeight="1">
      <c r="A43" s="1082"/>
      <c r="B43" s="906" t="s">
        <v>399</v>
      </c>
      <c r="C43" s="1074">
        <v>0.10059999999999999</v>
      </c>
      <c r="D43" s="1074">
        <v>1.2179</v>
      </c>
      <c r="E43" s="1074">
        <v>0.1024</v>
      </c>
      <c r="F43" s="1074">
        <v>0.98180000000000001</v>
      </c>
      <c r="G43" s="1074">
        <v>0.1033</v>
      </c>
      <c r="H43" s="1075">
        <v>0.376</v>
      </c>
      <c r="I43" s="1074">
        <v>0.46899999999999997</v>
      </c>
      <c r="J43" s="1074">
        <v>0.40899999999999997</v>
      </c>
      <c r="K43" s="1075">
        <v>3.5</v>
      </c>
      <c r="L43" s="1074">
        <v>0.3861</v>
      </c>
    </row>
    <row r="44" spans="1:12" s="160" customFormat="1" ht="20.25" customHeight="1">
      <c r="A44" s="299" t="s">
        <v>527</v>
      </c>
      <c r="B44" s="299"/>
      <c r="C44" s="299"/>
      <c r="D44" s="299"/>
      <c r="E44" s="299"/>
      <c r="F44" s="299"/>
      <c r="G44" s="299"/>
      <c r="H44" s="299"/>
      <c r="I44" s="299"/>
      <c r="J44" s="299"/>
      <c r="K44" s="299"/>
      <c r="L44" s="436" t="s">
        <v>528</v>
      </c>
    </row>
    <row r="45" spans="1:12" s="160" customFormat="1" ht="13.5" customHeight="1">
      <c r="A45" s="347" t="s">
        <v>529</v>
      </c>
      <c r="B45" s="347"/>
      <c r="C45" s="347"/>
      <c r="D45" s="347"/>
      <c r="E45" s="347"/>
      <c r="F45" s="347"/>
      <c r="G45" s="347"/>
      <c r="H45" s="347"/>
      <c r="I45" s="347"/>
      <c r="J45" s="347"/>
      <c r="K45" s="347"/>
      <c r="L45" s="872" t="s">
        <v>530</v>
      </c>
    </row>
    <row r="46" spans="1:12" ht="13.7" customHeight="1">
      <c r="A46" s="160" t="s">
        <v>531</v>
      </c>
      <c r="G46" s="160"/>
      <c r="H46" s="437"/>
      <c r="I46" s="438"/>
      <c r="J46" s="406"/>
      <c r="K46" s="406"/>
      <c r="L46" s="439" t="s">
        <v>532</v>
      </c>
    </row>
    <row r="47" spans="1:12">
      <c r="G47" s="440"/>
      <c r="H47" s="440"/>
      <c r="I47" s="441"/>
      <c r="J47" s="406"/>
      <c r="K47" s="406"/>
      <c r="L47" s="406"/>
    </row>
    <row r="48" spans="1:12">
      <c r="A48" s="341" t="s">
        <v>533</v>
      </c>
      <c r="B48" s="414"/>
      <c r="C48" s="414"/>
      <c r="D48" s="414"/>
      <c r="E48" s="414"/>
      <c r="F48" s="414"/>
      <c r="G48" s="414"/>
      <c r="H48" s="414"/>
      <c r="I48" s="414"/>
      <c r="J48" s="414"/>
      <c r="K48" s="414"/>
      <c r="L48" s="414"/>
    </row>
  </sheetData>
  <printOptions horizontalCentered="1" verticalCentered="1"/>
  <pageMargins left="0" right="0" top="0" bottom="0" header="0.3" footer="0.3"/>
  <pageSetup paperSize="9" scale="8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B9C3D99DA21D41B3C642446109626A" ma:contentTypeVersion="11" ma:contentTypeDescription="Create a new document." ma:contentTypeScope="" ma:versionID="fefb1175eb9abe9b551555233e15cfb8">
  <xsd:schema xmlns:xsd="http://www.w3.org/2001/XMLSchema" xmlns:xs="http://www.w3.org/2001/XMLSchema" xmlns:p="http://schemas.microsoft.com/office/2006/metadata/properties" xmlns:ns2="314111f1-01ad-4005-a8e1-a063935e6564" xmlns:ns3="88948c4c-baff-4c87-bcda-fd249856c6f2" targetNamespace="http://schemas.microsoft.com/office/2006/metadata/properties" ma:root="true" ma:fieldsID="2bf9748d1071c708e4278aeded4e023f" ns2:_="" ns3:_="">
    <xsd:import namespace="314111f1-01ad-4005-a8e1-a063935e6564"/>
    <xsd:import namespace="88948c4c-baff-4c87-bcda-fd249856c6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111f1-01ad-4005-a8e1-a063935e6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948c4c-baff-4c87-bcda-fd249856c6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D9BE84-DD98-4065-968F-B2097D0FC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111f1-01ad-4005-a8e1-a063935e6564"/>
    <ds:schemaRef ds:uri="88948c4c-baff-4c87-bcda-fd249856c6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8088CB-B113-4F73-93F2-33087DAFBE04}">
  <ds:schemaRefs>
    <ds:schemaRef ds:uri="http://purl.org/dc/terms/"/>
    <ds:schemaRef ds:uri="http://schemas.openxmlformats.org/package/2006/metadata/core-properties"/>
    <ds:schemaRef ds:uri="http://www.w3.org/XML/1998/namespace"/>
    <ds:schemaRef ds:uri="http://schemas.microsoft.com/office/2006/documentManagement/types"/>
    <ds:schemaRef ds:uri="314111f1-01ad-4005-a8e1-a063935e6564"/>
    <ds:schemaRef ds:uri="http://purl.org/dc/elements/1.1/"/>
    <ds:schemaRef ds:uri="http://schemas.microsoft.com/office/infopath/2007/PartnerControls"/>
    <ds:schemaRef ds:uri="88948c4c-baff-4c87-bcda-fd249856c6f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0B75459-E953-4BCB-B021-696A831764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37</vt:i4>
      </vt:variant>
    </vt:vector>
  </HeadingPairs>
  <TitlesOfParts>
    <vt:vector size="94" baseType="lpstr">
      <vt:lpstr>Index</vt:lpstr>
      <vt:lpstr>Metadata</vt:lpstr>
      <vt:lpstr>Indicators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'35'!Print_Area</vt:lpstr>
      <vt:lpstr>'36'!Print_Area</vt:lpstr>
      <vt:lpstr>'37'!Print_Area</vt:lpstr>
      <vt:lpstr>'39'!Print_Area</vt:lpstr>
      <vt:lpstr>'4'!Print_Area</vt:lpstr>
      <vt:lpstr>'40'!Print_Area</vt:lpstr>
      <vt:lpstr>'43'!Print_Area</vt:lpstr>
      <vt:lpstr>'44'!Print_Area</vt:lpstr>
      <vt:lpstr>'48'!Print_Area</vt:lpstr>
      <vt:lpstr>'5'!Print_Area</vt:lpstr>
      <vt:lpstr>'51'!Print_Area</vt:lpstr>
      <vt:lpstr>'52'!Print_Area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Section</dc:creator>
  <cp:keywords/>
  <dc:description/>
  <cp:lastModifiedBy>Nehal Hamza</cp:lastModifiedBy>
  <cp:revision/>
  <cp:lastPrinted>2020-05-21T08:22:35Z</cp:lastPrinted>
  <dcterms:created xsi:type="dcterms:W3CDTF">2000-07-05T09:57:24Z</dcterms:created>
  <dcterms:modified xsi:type="dcterms:W3CDTF">2021-06-07T18:46:33Z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0x01010015B9C3D99DA21D41B3C642446109626A</vt:lpwstr>
  </property>
</Properties>
</file>