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381" documentId="8_{4D66FE41-1AC6-40AC-901F-B6E28C82F467}" xr6:coauthVersionLast="47" xr6:coauthVersionMax="47" xr10:uidLastSave="{A2E1E64F-CDE4-42FD-814C-F7F2DF36ABF3}"/>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'37'!$A$1:$J$50</definedName>
    <definedName name="_xlnm.Print_Area" localSheetId="40">'38'!$A$1:$R$50</definedName>
    <definedName name="_xlnm.Print_Area" localSheetId="41">'39'!$A$1:$R$50</definedName>
    <definedName name="_xlnm.Print_Area" localSheetId="6">'4'!$A$1:$J$47</definedName>
    <definedName name="_xlnm.Print_Area" localSheetId="42">'40'!$A$1:$O$47</definedName>
    <definedName name="_xlnm.Print_Area" localSheetId="43">'41'!$A$1:$O$48</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'52'!$A$1:$O$54</definedName>
    <definedName name="_xlnm.Print_Area" localSheetId="56">'54'!$A$1:$H$46</definedName>
    <definedName name="_xlnm.Print_Area" localSheetId="58">'56'!$A$1:$M$49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09" l="1"/>
  <c r="N8" i="109" s="1"/>
  <c r="M14" i="109"/>
  <c r="L14" i="109"/>
  <c r="K14" i="109"/>
  <c r="J14" i="109"/>
  <c r="I14" i="109"/>
  <c r="H14" i="109"/>
  <c r="H8" i="109" s="1"/>
  <c r="N9" i="109"/>
  <c r="M9" i="109"/>
  <c r="M8" i="109" s="1"/>
  <c r="L9" i="109"/>
  <c r="L8" i="109" s="1"/>
  <c r="K9" i="109"/>
  <c r="J9" i="109"/>
  <c r="I9" i="109"/>
  <c r="I8" i="109" s="1"/>
  <c r="H9" i="109"/>
  <c r="K8" i="109"/>
  <c r="J8" i="109"/>
  <c r="K46" i="15"/>
  <c r="K45" i="15"/>
  <c r="F78" i="63"/>
  <c r="D43" i="94"/>
  <c r="C43" i="94"/>
  <c r="E42" i="94"/>
  <c r="E41" i="94"/>
  <c r="E40" i="94"/>
  <c r="E43" i="94" l="1"/>
  <c r="N45" i="97"/>
  <c r="G45" i="97"/>
  <c r="N44" i="97" l="1"/>
  <c r="G44" i="97"/>
  <c r="I44" i="97" l="1"/>
  <c r="I45" i="97"/>
  <c r="T17" i="76" l="1"/>
  <c r="U17" i="76"/>
  <c r="V17" i="76"/>
  <c r="W17" i="76"/>
  <c r="X17" i="76"/>
  <c r="T18" i="76"/>
  <c r="U18" i="76"/>
  <c r="V18" i="76"/>
  <c r="W18" i="76"/>
  <c r="X18" i="76"/>
  <c r="T19" i="76"/>
  <c r="U19" i="76"/>
  <c r="V19" i="76"/>
  <c r="W19" i="76"/>
  <c r="X19" i="76"/>
  <c r="T20" i="76"/>
  <c r="U20" i="76"/>
  <c r="V20" i="76"/>
  <c r="W20" i="76"/>
  <c r="X20" i="76"/>
  <c r="T21" i="76"/>
  <c r="U21" i="76"/>
  <c r="V21" i="76"/>
  <c r="W21" i="76"/>
  <c r="X21" i="76"/>
  <c r="T22" i="76"/>
  <c r="U22" i="76"/>
  <c r="V22" i="76"/>
  <c r="W22" i="76"/>
  <c r="X22" i="76"/>
  <c r="T23" i="76"/>
  <c r="U23" i="76"/>
  <c r="V23" i="76"/>
  <c r="W23" i="76"/>
  <c r="X23" i="76"/>
  <c r="T24" i="76"/>
  <c r="U24" i="76"/>
  <c r="V24" i="76"/>
  <c r="W24" i="76"/>
  <c r="X24" i="76"/>
  <c r="T25" i="76"/>
  <c r="U25" i="76"/>
  <c r="V25" i="76"/>
  <c r="W25" i="76"/>
  <c r="X25" i="76"/>
  <c r="T26" i="76"/>
  <c r="U26" i="76"/>
  <c r="V26" i="76"/>
  <c r="W26" i="76"/>
  <c r="X26" i="76"/>
  <c r="T27" i="76"/>
  <c r="U27" i="76"/>
  <c r="V27" i="76"/>
  <c r="W27" i="76"/>
  <c r="X27" i="76"/>
  <c r="T28" i="76"/>
  <c r="U28" i="76"/>
  <c r="V28" i="76"/>
  <c r="W28" i="76"/>
  <c r="X28" i="76"/>
  <c r="T29" i="76"/>
  <c r="U29" i="76"/>
  <c r="V29" i="76"/>
  <c r="W29" i="76"/>
  <c r="X29" i="76"/>
  <c r="T30" i="76"/>
  <c r="U30" i="76"/>
  <c r="V30" i="76"/>
  <c r="W30" i="76"/>
  <c r="X30" i="76"/>
  <c r="T31" i="76"/>
  <c r="U31" i="76"/>
  <c r="V31" i="76"/>
  <c r="W31" i="76"/>
  <c r="X31" i="76"/>
  <c r="T32" i="76"/>
  <c r="U32" i="76"/>
  <c r="V32" i="76"/>
  <c r="W32" i="76"/>
  <c r="X32" i="76"/>
  <c r="T33" i="76"/>
  <c r="U33" i="76"/>
  <c r="V33" i="76"/>
  <c r="W33" i="76"/>
  <c r="X33" i="76"/>
  <c r="U16" i="76"/>
  <c r="V16" i="76"/>
  <c r="W16" i="76"/>
  <c r="X16" i="76"/>
  <c r="T16" i="76"/>
  <c r="H43" i="4" l="1"/>
  <c r="E43" i="9"/>
  <c r="O43" i="9"/>
  <c r="E43" i="6"/>
  <c r="D43" i="6"/>
  <c r="G43" i="6"/>
  <c r="G43" i="9"/>
  <c r="L43" i="9"/>
  <c r="M43" i="122"/>
  <c r="J43" i="5"/>
  <c r="H43" i="5"/>
  <c r="K43" i="6"/>
  <c r="C43" i="7"/>
  <c r="E43" i="8" s="1"/>
  <c r="O43" i="83"/>
  <c r="L43" i="83"/>
  <c r="H43" i="83"/>
  <c r="E43" i="83"/>
  <c r="G43" i="7"/>
  <c r="M43" i="9"/>
  <c r="H43" i="107"/>
  <c r="F43" i="107"/>
  <c r="G43" i="130"/>
  <c r="D43" i="130"/>
  <c r="H43" i="130" s="1"/>
  <c r="M43" i="120"/>
  <c r="I43" i="78" l="1"/>
  <c r="F43" i="9"/>
  <c r="C43" i="9"/>
  <c r="J43" i="9"/>
  <c r="M43" i="125"/>
  <c r="I43" i="73"/>
  <c r="N43" i="9"/>
  <c r="I43" i="65"/>
  <c r="P43" i="83"/>
  <c r="I43" i="83"/>
  <c r="Q43" i="73"/>
  <c r="Q43" i="78"/>
  <c r="Q43" i="65"/>
  <c r="F43" i="6"/>
  <c r="K43" i="9"/>
  <c r="I43" i="9"/>
  <c r="K43" i="5"/>
  <c r="L43" i="5" s="1"/>
  <c r="C43" i="6" s="1"/>
  <c r="H43" i="6" s="1"/>
  <c r="F43" i="7"/>
  <c r="D43" i="9"/>
  <c r="H43" i="9"/>
  <c r="J43" i="12"/>
  <c r="D43" i="7" s="1"/>
  <c r="M22" i="124"/>
  <c r="L22" i="124"/>
  <c r="K22" i="124"/>
  <c r="J22" i="124"/>
  <c r="I22" i="124"/>
  <c r="H22" i="124"/>
  <c r="G22" i="124"/>
  <c r="O22" i="124" s="1"/>
  <c r="F22" i="124"/>
  <c r="E22" i="124"/>
  <c r="D22" i="124"/>
  <c r="N22" i="124" s="1"/>
  <c r="C22" i="124"/>
  <c r="B22" i="124"/>
  <c r="F36" i="93"/>
  <c r="Q43" i="83" l="1"/>
  <c r="I43" i="7"/>
  <c r="E43" i="7"/>
  <c r="I43" i="6"/>
  <c r="G30" i="107"/>
  <c r="D30" i="107"/>
  <c r="N30" i="119"/>
  <c r="H30" i="119"/>
  <c r="J30" i="119"/>
  <c r="J43" i="6" l="1"/>
  <c r="C43" i="8" l="1"/>
  <c r="J43" i="7"/>
  <c r="H30" i="80" l="1"/>
  <c r="F103" i="63"/>
  <c r="F105" i="63" s="1"/>
  <c r="F102" i="63"/>
  <c r="F100" i="63"/>
  <c r="F99" i="63"/>
  <c r="F98" i="63"/>
  <c r="F97" i="63"/>
  <c r="F25" i="63"/>
  <c r="F26" i="63" s="1"/>
  <c r="F95" i="63"/>
  <c r="F94" i="63"/>
  <c r="F51" i="63"/>
  <c r="F50" i="63"/>
  <c r="D30" i="77"/>
  <c r="O30" i="78"/>
  <c r="F30" i="78"/>
  <c r="I30" i="74"/>
  <c r="M30" i="72"/>
  <c r="O30" i="73"/>
  <c r="M30" i="18"/>
  <c r="K30" i="18"/>
  <c r="H30" i="17"/>
  <c r="J30" i="106"/>
  <c r="G30" i="105"/>
  <c r="O30" i="64"/>
  <c r="J30" i="64"/>
  <c r="H30" i="64"/>
  <c r="N30" i="65"/>
  <c r="N30" i="15"/>
  <c r="N30" i="14"/>
  <c r="J30" i="14"/>
  <c r="N30" i="13"/>
  <c r="J30" i="13"/>
  <c r="I30" i="12"/>
  <c r="G30" i="12"/>
  <c r="C30" i="12"/>
  <c r="K30" i="11"/>
  <c r="J30" i="11"/>
  <c r="L30" i="10"/>
  <c r="N30" i="83"/>
  <c r="M30" i="83"/>
  <c r="K30" i="83"/>
  <c r="J30" i="83"/>
  <c r="G30" i="83"/>
  <c r="F30" i="83"/>
  <c r="D30" i="83"/>
  <c r="C30" i="83"/>
  <c r="M30" i="119"/>
  <c r="L30" i="119"/>
  <c r="K30" i="119"/>
  <c r="I30" i="119"/>
  <c r="G30" i="119"/>
  <c r="F30" i="119"/>
  <c r="E30" i="119"/>
  <c r="D30" i="119"/>
  <c r="C30" i="119"/>
  <c r="K30" i="107"/>
  <c r="J30" i="107"/>
  <c r="I30" i="107"/>
  <c r="E30" i="107"/>
  <c r="C30" i="107"/>
  <c r="F30" i="90"/>
  <c r="E30" i="90"/>
  <c r="D30" i="90"/>
  <c r="L30" i="120"/>
  <c r="K30" i="120"/>
  <c r="J30" i="120"/>
  <c r="I30" i="120"/>
  <c r="H30" i="120"/>
  <c r="G30" i="120"/>
  <c r="F30" i="120"/>
  <c r="E30" i="120"/>
  <c r="D30" i="120"/>
  <c r="C30" i="120"/>
  <c r="I30" i="5"/>
  <c r="G30" i="5"/>
  <c r="F30" i="5"/>
  <c r="E30" i="5"/>
  <c r="D30" i="5"/>
  <c r="C30" i="5"/>
  <c r="L30" i="79"/>
  <c r="K30" i="79"/>
  <c r="J30" i="79"/>
  <c r="I30" i="79"/>
  <c r="H30" i="79"/>
  <c r="G30" i="79"/>
  <c r="F30" i="79"/>
  <c r="E30" i="79"/>
  <c r="D30" i="79"/>
  <c r="C30" i="79"/>
  <c r="Q30" i="80"/>
  <c r="L30" i="14"/>
  <c r="H30" i="105"/>
  <c r="N30" i="18"/>
  <c r="J30" i="73"/>
  <c r="O30" i="75"/>
  <c r="H30" i="75"/>
  <c r="N30" i="74"/>
  <c r="F30" i="130"/>
  <c r="E30" i="130"/>
  <c r="C30" i="130"/>
  <c r="I30" i="90"/>
  <c r="H30" i="90"/>
  <c r="C30" i="90"/>
  <c r="J30" i="121"/>
  <c r="I30" i="121"/>
  <c r="H30" i="121"/>
  <c r="G30" i="121"/>
  <c r="F30" i="121"/>
  <c r="E30" i="121"/>
  <c r="D30" i="121"/>
  <c r="C30" i="121"/>
  <c r="O30" i="4"/>
  <c r="N30" i="4"/>
  <c r="M30" i="4"/>
  <c r="L30" i="4"/>
  <c r="K30" i="4"/>
  <c r="J30" i="4"/>
  <c r="G30" i="4"/>
  <c r="F30" i="4"/>
  <c r="E30" i="4"/>
  <c r="D30" i="4"/>
  <c r="C30" i="4"/>
  <c r="S30" i="80"/>
  <c r="R30" i="80"/>
  <c r="P30" i="80"/>
  <c r="O30" i="80"/>
  <c r="N30" i="80"/>
  <c r="M30" i="80"/>
  <c r="L30" i="80"/>
  <c r="F54" i="63"/>
  <c r="J30" i="80"/>
  <c r="I30" i="80"/>
  <c r="G30" i="80"/>
  <c r="F30" i="80"/>
  <c r="E30" i="80"/>
  <c r="D30" i="80"/>
  <c r="C30" i="80"/>
  <c r="S30" i="128"/>
  <c r="R30" i="128"/>
  <c r="Q30" i="128"/>
  <c r="P30" i="128"/>
  <c r="O30" i="128"/>
  <c r="N30" i="128"/>
  <c r="M30" i="128"/>
  <c r="L30" i="128"/>
  <c r="K30" i="128"/>
  <c r="J30" i="128"/>
  <c r="I30" i="128"/>
  <c r="H30" i="128"/>
  <c r="G30" i="128"/>
  <c r="F30" i="128"/>
  <c r="E30" i="128"/>
  <c r="D30" i="128"/>
  <c r="C30" i="128"/>
  <c r="M30" i="10"/>
  <c r="K30" i="10"/>
  <c r="J30" i="10"/>
  <c r="H30" i="10"/>
  <c r="E30" i="10"/>
  <c r="L30" i="11"/>
  <c r="I30" i="11"/>
  <c r="H30" i="11"/>
  <c r="G30" i="11"/>
  <c r="F30" i="11"/>
  <c r="E30" i="11"/>
  <c r="D30" i="11"/>
  <c r="H30" i="12"/>
  <c r="F30" i="12"/>
  <c r="E30" i="12"/>
  <c r="D30" i="12"/>
  <c r="M30" i="13"/>
  <c r="L30" i="13"/>
  <c r="K30" i="13"/>
  <c r="I30" i="13"/>
  <c r="H30" i="13"/>
  <c r="G30" i="13"/>
  <c r="F30" i="13"/>
  <c r="E30" i="13"/>
  <c r="D30" i="13"/>
  <c r="C30" i="13"/>
  <c r="M30" i="14"/>
  <c r="K30" i="14"/>
  <c r="I30" i="14"/>
  <c r="H30" i="14"/>
  <c r="G30" i="14"/>
  <c r="F30" i="14"/>
  <c r="E30" i="14"/>
  <c r="D30" i="14"/>
  <c r="C30" i="14"/>
  <c r="Q30" i="15"/>
  <c r="P30" i="15"/>
  <c r="O30" i="15"/>
  <c r="M30" i="15"/>
  <c r="L30" i="15"/>
  <c r="K30" i="15"/>
  <c r="J30" i="15"/>
  <c r="I30" i="15"/>
  <c r="G30" i="15"/>
  <c r="F30" i="15"/>
  <c r="E30" i="15"/>
  <c r="D30" i="15"/>
  <c r="C30" i="15"/>
  <c r="F38" i="63"/>
  <c r="F39" i="63" s="1"/>
  <c r="K30" i="102"/>
  <c r="J30" i="102"/>
  <c r="I30" i="102"/>
  <c r="H30" i="102"/>
  <c r="G30" i="102"/>
  <c r="F30" i="102"/>
  <c r="E30" i="102"/>
  <c r="D30" i="102"/>
  <c r="C30" i="102"/>
  <c r="P30" i="65"/>
  <c r="O30" i="65"/>
  <c r="M30" i="65"/>
  <c r="L30" i="65"/>
  <c r="K30" i="65"/>
  <c r="J30" i="65"/>
  <c r="H30" i="65"/>
  <c r="G30" i="65"/>
  <c r="F30" i="65"/>
  <c r="E30" i="65"/>
  <c r="D30" i="65"/>
  <c r="C30" i="65"/>
  <c r="Q30" i="64"/>
  <c r="P30" i="64"/>
  <c r="N30" i="64"/>
  <c r="M30" i="64"/>
  <c r="L30" i="64"/>
  <c r="K30" i="64"/>
  <c r="I30" i="64"/>
  <c r="G30" i="64"/>
  <c r="F30" i="64"/>
  <c r="E30" i="64"/>
  <c r="D30" i="64"/>
  <c r="C30" i="64"/>
  <c r="K30" i="61"/>
  <c r="J30" i="61"/>
  <c r="I30" i="61"/>
  <c r="H30" i="61"/>
  <c r="G30" i="61"/>
  <c r="F30" i="61"/>
  <c r="E30" i="61"/>
  <c r="D30" i="61"/>
  <c r="C30" i="61"/>
  <c r="P30" i="105"/>
  <c r="O30" i="105"/>
  <c r="N30" i="105"/>
  <c r="M30" i="105"/>
  <c r="L30" i="105"/>
  <c r="K30" i="105"/>
  <c r="J30" i="105"/>
  <c r="I30" i="105"/>
  <c r="F30" i="105"/>
  <c r="E30" i="105"/>
  <c r="D30" i="105"/>
  <c r="C30" i="105"/>
  <c r="P30" i="106"/>
  <c r="O30" i="106"/>
  <c r="N30" i="106"/>
  <c r="M30" i="106"/>
  <c r="L30" i="106"/>
  <c r="K30" i="106"/>
  <c r="I30" i="106"/>
  <c r="H30" i="106"/>
  <c r="G30" i="106"/>
  <c r="F30" i="106"/>
  <c r="E30" i="106"/>
  <c r="D30" i="106"/>
  <c r="C30" i="106"/>
  <c r="O30" i="17"/>
  <c r="N30" i="17"/>
  <c r="M30" i="17"/>
  <c r="L30" i="17"/>
  <c r="K30" i="17"/>
  <c r="J30" i="17"/>
  <c r="I30" i="17"/>
  <c r="G30" i="17"/>
  <c r="F30" i="17"/>
  <c r="E30" i="17"/>
  <c r="D30" i="17"/>
  <c r="O30" i="18"/>
  <c r="L30" i="18"/>
  <c r="J30" i="18"/>
  <c r="I30" i="18"/>
  <c r="H30" i="18"/>
  <c r="G30" i="18"/>
  <c r="F30" i="18"/>
  <c r="E30" i="18"/>
  <c r="D30" i="18"/>
  <c r="C30" i="18"/>
  <c r="P30" i="73"/>
  <c r="N30" i="73"/>
  <c r="M30" i="73"/>
  <c r="L30" i="73"/>
  <c r="K30" i="73"/>
  <c r="H30" i="73"/>
  <c r="G30" i="73"/>
  <c r="F30" i="73"/>
  <c r="E30" i="73"/>
  <c r="D30" i="73"/>
  <c r="C30" i="73"/>
  <c r="Q30" i="72"/>
  <c r="P30" i="72"/>
  <c r="O30" i="72"/>
  <c r="N30" i="72"/>
  <c r="L30" i="72"/>
  <c r="K30" i="72"/>
  <c r="J30" i="72"/>
  <c r="I30" i="72"/>
  <c r="H30" i="72"/>
  <c r="G30" i="72"/>
  <c r="F30" i="72"/>
  <c r="E30" i="72"/>
  <c r="D30" i="72"/>
  <c r="C30" i="72"/>
  <c r="P30" i="75"/>
  <c r="M30" i="75"/>
  <c r="L30" i="75"/>
  <c r="K30" i="75"/>
  <c r="J30" i="75"/>
  <c r="I30" i="75"/>
  <c r="G30" i="75"/>
  <c r="F30" i="75"/>
  <c r="E30" i="75"/>
  <c r="D30" i="75"/>
  <c r="C30" i="75"/>
  <c r="P30" i="74"/>
  <c r="O30" i="74"/>
  <c r="M30" i="74"/>
  <c r="L30" i="74"/>
  <c r="K30" i="74"/>
  <c r="J30" i="74"/>
  <c r="G30" i="74"/>
  <c r="F30" i="74"/>
  <c r="E30" i="74"/>
  <c r="D30" i="74"/>
  <c r="C30" i="74"/>
  <c r="P30" i="78"/>
  <c r="N30" i="78"/>
  <c r="M30" i="78"/>
  <c r="L30" i="78"/>
  <c r="K30" i="78"/>
  <c r="J30" i="78"/>
  <c r="H30" i="78"/>
  <c r="G30" i="78"/>
  <c r="E30" i="78"/>
  <c r="D30" i="78"/>
  <c r="C30" i="78"/>
  <c r="Q30" i="77"/>
  <c r="P30" i="77"/>
  <c r="O30" i="77"/>
  <c r="N30" i="77"/>
  <c r="M30" i="77"/>
  <c r="L30" i="77"/>
  <c r="K30" i="77"/>
  <c r="J30" i="77"/>
  <c r="I30" i="77"/>
  <c r="H30" i="77"/>
  <c r="G30" i="77"/>
  <c r="F30" i="77"/>
  <c r="E30" i="77"/>
  <c r="C30" i="77"/>
  <c r="M30" i="110"/>
  <c r="H42" i="4"/>
  <c r="J42" i="5"/>
  <c r="H42" i="5"/>
  <c r="H30" i="5" s="1"/>
  <c r="K42" i="6"/>
  <c r="K30" i="6" s="1"/>
  <c r="C42" i="7"/>
  <c r="H42" i="107"/>
  <c r="F42" i="107"/>
  <c r="G42" i="130"/>
  <c r="G30" i="130" s="1"/>
  <c r="D42" i="130"/>
  <c r="D30" i="130" s="1"/>
  <c r="M42" i="120"/>
  <c r="L44" i="101"/>
  <c r="M44" i="101" s="1"/>
  <c r="G44" i="101"/>
  <c r="H44" i="101" s="1"/>
  <c r="O44" i="101" s="1"/>
  <c r="C30" i="10" l="1"/>
  <c r="C42" i="9"/>
  <c r="C30" i="9" s="1"/>
  <c r="G30" i="10"/>
  <c r="E42" i="9"/>
  <c r="C30" i="11"/>
  <c r="J42" i="9"/>
  <c r="J30" i="9" s="1"/>
  <c r="F21" i="63"/>
  <c r="F22" i="63" s="1"/>
  <c r="I30" i="10"/>
  <c r="F42" i="9"/>
  <c r="F30" i="9" s="1"/>
  <c r="H30" i="125"/>
  <c r="I42" i="65"/>
  <c r="Q42" i="73"/>
  <c r="Q30" i="73" s="1"/>
  <c r="O42" i="9"/>
  <c r="O30" i="9" s="1"/>
  <c r="L42" i="9"/>
  <c r="L30" i="9" s="1"/>
  <c r="D42" i="9"/>
  <c r="D30" i="9" s="1"/>
  <c r="F42" i="6"/>
  <c r="F30" i="6" s="1"/>
  <c r="K42" i="9"/>
  <c r="K30" i="9" s="1"/>
  <c r="D42" i="6"/>
  <c r="D30" i="6" s="1"/>
  <c r="E42" i="6"/>
  <c r="E30" i="6" s="1"/>
  <c r="N30" i="75"/>
  <c r="L30" i="102"/>
  <c r="F23" i="63"/>
  <c r="F24" i="63" s="1"/>
  <c r="H30" i="74"/>
  <c r="F9" i="63"/>
  <c r="K30" i="80"/>
  <c r="F53" i="63"/>
  <c r="F55" i="63"/>
  <c r="G42" i="7"/>
  <c r="D30" i="10"/>
  <c r="F36" i="63"/>
  <c r="F37" i="63" s="1"/>
  <c r="F30" i="10"/>
  <c r="H30" i="15"/>
  <c r="N42" i="9"/>
  <c r="N30" i="9" s="1"/>
  <c r="F29" i="63"/>
  <c r="F31" i="63" s="1"/>
  <c r="C30" i="17"/>
  <c r="J30" i="5"/>
  <c r="H30" i="4"/>
  <c r="C30" i="7"/>
  <c r="H42" i="130"/>
  <c r="H30" i="130" s="1"/>
  <c r="M42" i="122"/>
  <c r="M42" i="125"/>
  <c r="Q42" i="78"/>
  <c r="Q30" i="78" s="1"/>
  <c r="I42" i="78"/>
  <c r="H42" i="9"/>
  <c r="H30" i="9" s="1"/>
  <c r="I42" i="9"/>
  <c r="F19" i="63" s="1"/>
  <c r="F20" i="63" s="1"/>
  <c r="I42" i="73"/>
  <c r="M42" i="9"/>
  <c r="M30" i="9" s="1"/>
  <c r="G42" i="6"/>
  <c r="G30" i="6" s="1"/>
  <c r="E30" i="9"/>
  <c r="J42" i="12"/>
  <c r="F35" i="63" s="1"/>
  <c r="G42" i="9"/>
  <c r="Q42" i="65"/>
  <c r="K42" i="5"/>
  <c r="F42" i="7"/>
  <c r="H30" i="107"/>
  <c r="F30" i="107"/>
  <c r="L41" i="107"/>
  <c r="L30" i="107" s="1"/>
  <c r="E78" i="63"/>
  <c r="S13" i="105"/>
  <c r="R13" i="105"/>
  <c r="Q13" i="105"/>
  <c r="D39" i="94"/>
  <c r="C39" i="94"/>
  <c r="E39" i="94" s="1"/>
  <c r="E38" i="94"/>
  <c r="E37" i="94"/>
  <c r="E36" i="94"/>
  <c r="H30" i="7" l="1"/>
  <c r="J43" i="8"/>
  <c r="G30" i="7"/>
  <c r="I43" i="8"/>
  <c r="F30" i="7"/>
  <c r="H43" i="8"/>
  <c r="I30" i="65"/>
  <c r="L42" i="5"/>
  <c r="C42" i="6" s="1"/>
  <c r="K30" i="5"/>
  <c r="F27" i="63"/>
  <c r="F28" i="63" s="1"/>
  <c r="G30" i="9"/>
  <c r="F33" i="63"/>
  <c r="F30" i="63"/>
  <c r="I30" i="78"/>
  <c r="I30" i="73"/>
  <c r="Q30" i="65"/>
  <c r="D42" i="7"/>
  <c r="J30" i="12"/>
  <c r="I30" i="9"/>
  <c r="E42" i="7"/>
  <c r="G43" i="8" s="1"/>
  <c r="I42" i="7"/>
  <c r="D30" i="7" l="1"/>
  <c r="F43" i="8"/>
  <c r="I30" i="7"/>
  <c r="K43" i="8"/>
  <c r="L30" i="5"/>
  <c r="H42" i="6"/>
  <c r="F11" i="63" s="1"/>
  <c r="C30" i="6"/>
  <c r="E30" i="7"/>
  <c r="I42" i="6" l="1"/>
  <c r="F13" i="63" s="1"/>
  <c r="F15" i="63" s="1"/>
  <c r="J42" i="6" l="1"/>
  <c r="F16" i="63" s="1"/>
  <c r="J30" i="6" l="1"/>
  <c r="J42" i="7"/>
  <c r="C42" i="8"/>
  <c r="G41" i="7"/>
  <c r="I42" i="8" s="1"/>
  <c r="E41" i="6"/>
  <c r="D41" i="6"/>
  <c r="J41" i="5"/>
  <c r="H41" i="5"/>
  <c r="K41" i="6"/>
  <c r="C41" i="7"/>
  <c r="E42" i="8" s="1"/>
  <c r="H41" i="107"/>
  <c r="F41" i="107"/>
  <c r="G41" i="130"/>
  <c r="D41" i="130"/>
  <c r="M41" i="120"/>
  <c r="H41" i="4"/>
  <c r="C30" i="8" l="1"/>
  <c r="D43" i="8"/>
  <c r="L41" i="9"/>
  <c r="J30" i="7"/>
  <c r="G41" i="9"/>
  <c r="Q41" i="78"/>
  <c r="H41" i="130"/>
  <c r="F41" i="9"/>
  <c r="M41" i="125"/>
  <c r="N41" i="9"/>
  <c r="J42" i="8"/>
  <c r="K41" i="9"/>
  <c r="F41" i="7"/>
  <c r="H42" i="8" s="1"/>
  <c r="M41" i="122"/>
  <c r="D41" i="9"/>
  <c r="O41" i="9"/>
  <c r="I41" i="73"/>
  <c r="I41" i="78"/>
  <c r="C41" i="9"/>
  <c r="Q41" i="73"/>
  <c r="G41" i="6"/>
  <c r="J41" i="9"/>
  <c r="Q41" i="65"/>
  <c r="F41" i="6"/>
  <c r="H41" i="9"/>
  <c r="M41" i="9"/>
  <c r="I41" i="65"/>
  <c r="E41" i="9"/>
  <c r="I41" i="9"/>
  <c r="J41" i="12"/>
  <c r="D41" i="7" s="1"/>
  <c r="F42" i="8" s="1"/>
  <c r="K41" i="5"/>
  <c r="L41" i="5" s="1"/>
  <c r="C41" i="6" s="1"/>
  <c r="H41" i="6" s="1"/>
  <c r="I41" i="7" l="1"/>
  <c r="E41" i="7"/>
  <c r="G42" i="8" s="1"/>
  <c r="I41" i="6"/>
  <c r="K42" i="8" l="1"/>
  <c r="J41" i="6"/>
  <c r="F30" i="125"/>
  <c r="C41" i="8" l="1"/>
  <c r="D42" i="8" s="1"/>
  <c r="J41" i="7"/>
  <c r="G30" i="110"/>
  <c r="O40" i="9" l="1"/>
  <c r="L30" i="110"/>
  <c r="K30" i="110"/>
  <c r="J30" i="110"/>
  <c r="I30" i="110"/>
  <c r="H30" i="110"/>
  <c r="F30" i="110"/>
  <c r="E30" i="110"/>
  <c r="D30" i="110"/>
  <c r="C30" i="110"/>
  <c r="N30" i="122"/>
  <c r="L30" i="122"/>
  <c r="K30" i="122"/>
  <c r="J30" i="122"/>
  <c r="I30" i="122"/>
  <c r="H30" i="122"/>
  <c r="G30" i="122"/>
  <c r="F30" i="122"/>
  <c r="E30" i="122"/>
  <c r="D30" i="122"/>
  <c r="C30" i="122"/>
  <c r="N30" i="125"/>
  <c r="L30" i="125"/>
  <c r="K30" i="125"/>
  <c r="J30" i="125"/>
  <c r="I30" i="125"/>
  <c r="G30" i="125"/>
  <c r="E30" i="125"/>
  <c r="D30" i="125"/>
  <c r="C30" i="125"/>
  <c r="J40" i="5"/>
  <c r="H40" i="5"/>
  <c r="K40" i="6"/>
  <c r="C40" i="7"/>
  <c r="H40" i="107"/>
  <c r="F40" i="107"/>
  <c r="G40" i="130"/>
  <c r="D40" i="130"/>
  <c r="M40" i="120"/>
  <c r="H40" i="4"/>
  <c r="M30" i="120" l="1"/>
  <c r="E40" i="6"/>
  <c r="D40" i="6"/>
  <c r="K40" i="5"/>
  <c r="E41" i="8"/>
  <c r="F40" i="9"/>
  <c r="I40" i="9"/>
  <c r="H40" i="9"/>
  <c r="J40" i="9"/>
  <c r="H40" i="130"/>
  <c r="K40" i="9"/>
  <c r="G40" i="7"/>
  <c r="D40" i="9"/>
  <c r="J40" i="12"/>
  <c r="M40" i="9"/>
  <c r="F40" i="6"/>
  <c r="F40" i="7"/>
  <c r="E40" i="9"/>
  <c r="L40" i="9"/>
  <c r="I40" i="65"/>
  <c r="Q40" i="73"/>
  <c r="I40" i="78"/>
  <c r="M40" i="122"/>
  <c r="M30" i="122" s="1"/>
  <c r="M40" i="125"/>
  <c r="M30" i="125" s="1"/>
  <c r="Q40" i="78"/>
  <c r="G40" i="6"/>
  <c r="G40" i="9"/>
  <c r="I40" i="73"/>
  <c r="Q40" i="65"/>
  <c r="N40" i="9"/>
  <c r="C40" i="9"/>
  <c r="H29" i="119"/>
  <c r="N29" i="119"/>
  <c r="J29" i="119"/>
  <c r="L40" i="5" l="1"/>
  <c r="C40" i="6" s="1"/>
  <c r="D40" i="7"/>
  <c r="H41" i="8"/>
  <c r="I41" i="8"/>
  <c r="J41" i="8"/>
  <c r="I40" i="7"/>
  <c r="F41" i="8" l="1"/>
  <c r="E40" i="7"/>
  <c r="H30" i="6"/>
  <c r="H40" i="6"/>
  <c r="K41" i="8"/>
  <c r="G41" i="8" l="1"/>
  <c r="I30" i="6"/>
  <c r="I40" i="6"/>
  <c r="J40" i="6" l="1"/>
  <c r="E103" i="63"/>
  <c r="E102" i="63"/>
  <c r="E100" i="63"/>
  <c r="E99" i="63"/>
  <c r="E98" i="63"/>
  <c r="E97" i="63"/>
  <c r="E95" i="63"/>
  <c r="E94" i="63"/>
  <c r="E51" i="63"/>
  <c r="E50" i="63"/>
  <c r="E105" i="63" l="1"/>
  <c r="F104" i="63"/>
  <c r="J40" i="7"/>
  <c r="C40" i="8"/>
  <c r="D41" i="8" l="1"/>
  <c r="F35" i="93"/>
  <c r="N29" i="83" l="1"/>
  <c r="M29" i="83"/>
  <c r="K29" i="83"/>
  <c r="J29" i="83"/>
  <c r="G29" i="83"/>
  <c r="F29" i="83"/>
  <c r="D29" i="83"/>
  <c r="C29" i="83"/>
  <c r="M29" i="119"/>
  <c r="L29" i="119"/>
  <c r="K29" i="119"/>
  <c r="I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L29" i="79"/>
  <c r="K29" i="79"/>
  <c r="J29" i="79"/>
  <c r="I29" i="79"/>
  <c r="H29" i="79"/>
  <c r="G29" i="79"/>
  <c r="F29" i="79"/>
  <c r="E29" i="79"/>
  <c r="D29" i="79"/>
  <c r="C29" i="79"/>
  <c r="Q29" i="80"/>
  <c r="H29" i="12"/>
  <c r="M29" i="13"/>
  <c r="I29" i="13"/>
  <c r="H29" i="13"/>
  <c r="K29" i="65"/>
  <c r="C29" i="65"/>
  <c r="P29" i="64"/>
  <c r="K29" i="64"/>
  <c r="F29" i="64"/>
  <c r="C29" i="64"/>
  <c r="H29" i="105"/>
  <c r="N29" i="106"/>
  <c r="K29" i="106"/>
  <c r="L29" i="17"/>
  <c r="H29" i="17"/>
  <c r="F29" i="17"/>
  <c r="L29" i="18"/>
  <c r="O29" i="73"/>
  <c r="J29" i="73"/>
  <c r="H29" i="73"/>
  <c r="P29" i="72"/>
  <c r="J29" i="72"/>
  <c r="I29" i="72"/>
  <c r="F29" i="72"/>
  <c r="O29" i="74"/>
  <c r="N29" i="74"/>
  <c r="K29" i="74"/>
  <c r="I29" i="74"/>
  <c r="H29" i="74"/>
  <c r="P29" i="78"/>
  <c r="J29" i="78"/>
  <c r="D29" i="78"/>
  <c r="C29" i="78"/>
  <c r="L29" i="77"/>
  <c r="I29" i="77"/>
  <c r="F29" i="130"/>
  <c r="E29" i="130"/>
  <c r="C29" i="130"/>
  <c r="I29" i="90"/>
  <c r="H29" i="90"/>
  <c r="C29" i="90"/>
  <c r="J29" i="121"/>
  <c r="I29" i="121"/>
  <c r="H29" i="121"/>
  <c r="G29" i="121"/>
  <c r="F29" i="121"/>
  <c r="E29" i="121"/>
  <c r="D29" i="121"/>
  <c r="C29" i="121"/>
  <c r="I29" i="5"/>
  <c r="G29" i="5"/>
  <c r="F29" i="5"/>
  <c r="E29" i="5"/>
  <c r="D29" i="5"/>
  <c r="C29" i="5"/>
  <c r="S29" i="80"/>
  <c r="E53" i="63"/>
  <c r="P29" i="80"/>
  <c r="O29" i="80"/>
  <c r="N29" i="80"/>
  <c r="M29" i="80"/>
  <c r="L29" i="80"/>
  <c r="E54" i="63"/>
  <c r="J29" i="80"/>
  <c r="I29" i="80"/>
  <c r="H29" i="80"/>
  <c r="G29" i="80"/>
  <c r="E55" i="63"/>
  <c r="E29" i="80"/>
  <c r="D29" i="80"/>
  <c r="C29" i="80"/>
  <c r="S29" i="128"/>
  <c r="R29" i="128"/>
  <c r="Q29" i="128"/>
  <c r="P29" i="128"/>
  <c r="O29" i="128"/>
  <c r="N29" i="128"/>
  <c r="M29" i="128"/>
  <c r="L29" i="128"/>
  <c r="K29" i="128"/>
  <c r="J29" i="128"/>
  <c r="I29" i="128"/>
  <c r="H29" i="128"/>
  <c r="G29" i="128"/>
  <c r="F29" i="128"/>
  <c r="E29" i="128"/>
  <c r="D29" i="128"/>
  <c r="C29" i="128"/>
  <c r="M29" i="10"/>
  <c r="E21" i="63"/>
  <c r="J29" i="10"/>
  <c r="F39" i="9"/>
  <c r="F29" i="9" s="1"/>
  <c r="H29" i="10"/>
  <c r="F29" i="10"/>
  <c r="E29" i="10"/>
  <c r="C29" i="10"/>
  <c r="L29" i="11"/>
  <c r="K29" i="11"/>
  <c r="I29" i="11"/>
  <c r="H29" i="11"/>
  <c r="G29" i="11"/>
  <c r="F29" i="11"/>
  <c r="E29" i="11"/>
  <c r="D29" i="11"/>
  <c r="C29" i="11"/>
  <c r="I29" i="12"/>
  <c r="F29" i="12"/>
  <c r="E29" i="12"/>
  <c r="D29" i="12"/>
  <c r="C29" i="12"/>
  <c r="L29" i="13"/>
  <c r="K29" i="13"/>
  <c r="J29" i="13"/>
  <c r="G29" i="13"/>
  <c r="F29" i="13"/>
  <c r="D29" i="13"/>
  <c r="C29" i="13"/>
  <c r="N29" i="14"/>
  <c r="M29" i="14"/>
  <c r="L29" i="14"/>
  <c r="K29" i="14"/>
  <c r="J29" i="14"/>
  <c r="I29" i="14"/>
  <c r="H29" i="14"/>
  <c r="G29" i="14"/>
  <c r="F29" i="14"/>
  <c r="E29" i="14"/>
  <c r="D29" i="14"/>
  <c r="C29" i="14"/>
  <c r="Q29" i="15"/>
  <c r="O29" i="15"/>
  <c r="N29" i="15"/>
  <c r="M29" i="15"/>
  <c r="L29" i="15"/>
  <c r="K29" i="15"/>
  <c r="J29" i="15"/>
  <c r="I29" i="15"/>
  <c r="F29" i="15"/>
  <c r="D39" i="6"/>
  <c r="D29" i="6" s="1"/>
  <c r="D29" i="15"/>
  <c r="C29" i="15"/>
  <c r="E38" i="63"/>
  <c r="E39" i="63" s="1"/>
  <c r="K29" i="102"/>
  <c r="J29" i="102"/>
  <c r="I29" i="102"/>
  <c r="H29" i="102"/>
  <c r="G29" i="102"/>
  <c r="E29" i="102"/>
  <c r="D29" i="102"/>
  <c r="C29" i="102"/>
  <c r="P29" i="65"/>
  <c r="O29" i="65"/>
  <c r="N29" i="65"/>
  <c r="M29" i="65"/>
  <c r="L29" i="65"/>
  <c r="J29" i="65"/>
  <c r="H29" i="65"/>
  <c r="G29" i="65"/>
  <c r="F29" i="65"/>
  <c r="E29" i="65"/>
  <c r="D29" i="65"/>
  <c r="Q29" i="64"/>
  <c r="O29" i="64"/>
  <c r="N29" i="64"/>
  <c r="M29" i="64"/>
  <c r="L29" i="64"/>
  <c r="J29" i="64"/>
  <c r="I29" i="64"/>
  <c r="H29" i="64"/>
  <c r="G29" i="64"/>
  <c r="E29" i="64"/>
  <c r="D29" i="64"/>
  <c r="K29" i="61"/>
  <c r="J29" i="61"/>
  <c r="I29" i="61"/>
  <c r="H29" i="61"/>
  <c r="G29" i="61"/>
  <c r="F29" i="61"/>
  <c r="E29" i="61"/>
  <c r="D29" i="61"/>
  <c r="C29" i="61"/>
  <c r="P29" i="105"/>
  <c r="O29" i="105"/>
  <c r="N29" i="105"/>
  <c r="M29" i="105"/>
  <c r="L29" i="105"/>
  <c r="K29" i="105"/>
  <c r="J29" i="105"/>
  <c r="G29" i="105"/>
  <c r="F29" i="105"/>
  <c r="E29" i="105"/>
  <c r="D29" i="105"/>
  <c r="C29" i="105"/>
  <c r="P29" i="106"/>
  <c r="O29" i="106"/>
  <c r="M29" i="106"/>
  <c r="L29" i="106"/>
  <c r="J29" i="106"/>
  <c r="I29" i="106"/>
  <c r="H29" i="106"/>
  <c r="G29" i="106"/>
  <c r="F29" i="106"/>
  <c r="E29" i="106"/>
  <c r="D29" i="106"/>
  <c r="C29" i="106"/>
  <c r="O29" i="17"/>
  <c r="E23" i="63"/>
  <c r="E24" i="63" s="1"/>
  <c r="M29" i="17"/>
  <c r="K29" i="17"/>
  <c r="J29" i="17"/>
  <c r="I29" i="17"/>
  <c r="G29" i="17"/>
  <c r="E29" i="17"/>
  <c r="D29" i="17"/>
  <c r="C29" i="17"/>
  <c r="O29" i="18"/>
  <c r="N29" i="18"/>
  <c r="M29" i="18"/>
  <c r="K29" i="18"/>
  <c r="J29" i="18"/>
  <c r="I29" i="18"/>
  <c r="H29" i="18"/>
  <c r="G29" i="18"/>
  <c r="E29" i="18"/>
  <c r="D29" i="18"/>
  <c r="P29" i="73"/>
  <c r="N29" i="73"/>
  <c r="M29" i="73"/>
  <c r="L29" i="73"/>
  <c r="G29" i="73"/>
  <c r="F29" i="73"/>
  <c r="E29" i="73"/>
  <c r="D29" i="73"/>
  <c r="C29" i="73"/>
  <c r="Q29" i="72"/>
  <c r="O29" i="72"/>
  <c r="N29" i="72"/>
  <c r="M29" i="72"/>
  <c r="L29" i="72"/>
  <c r="K29" i="72"/>
  <c r="H29" i="72"/>
  <c r="G29" i="72"/>
  <c r="E29" i="72"/>
  <c r="D29" i="72"/>
  <c r="C29" i="72"/>
  <c r="P29" i="74"/>
  <c r="M29" i="74"/>
  <c r="L29" i="74"/>
  <c r="J29" i="74"/>
  <c r="G29" i="74"/>
  <c r="F29" i="74"/>
  <c r="E29" i="74"/>
  <c r="D29" i="74"/>
  <c r="C29" i="74"/>
  <c r="O29" i="78"/>
  <c r="N29" i="78"/>
  <c r="M29" i="78"/>
  <c r="L29" i="78"/>
  <c r="H29" i="78"/>
  <c r="G29" i="78"/>
  <c r="F29" i="78"/>
  <c r="Q29" i="77"/>
  <c r="P29" i="77"/>
  <c r="N29" i="77"/>
  <c r="M29" i="77"/>
  <c r="K29" i="77"/>
  <c r="J29" i="77"/>
  <c r="H29" i="77"/>
  <c r="G29" i="77"/>
  <c r="F29" i="77"/>
  <c r="E29" i="77"/>
  <c r="D29" i="77"/>
  <c r="C29" i="77"/>
  <c r="M29" i="110"/>
  <c r="P29" i="75"/>
  <c r="E25" i="63"/>
  <c r="E26" i="63" s="1"/>
  <c r="N29" i="75"/>
  <c r="M29" i="75"/>
  <c r="L29" i="75"/>
  <c r="K29" i="75"/>
  <c r="J29" i="75"/>
  <c r="I29" i="75"/>
  <c r="H29" i="75"/>
  <c r="G29" i="75"/>
  <c r="F29" i="75"/>
  <c r="E29" i="75"/>
  <c r="D29" i="75"/>
  <c r="C29" i="75"/>
  <c r="J39" i="5"/>
  <c r="J29" i="5" s="1"/>
  <c r="H39" i="5"/>
  <c r="H29" i="5" s="1"/>
  <c r="K39" i="6"/>
  <c r="K29" i="6" s="1"/>
  <c r="G39" i="7"/>
  <c r="I40" i="8" s="1"/>
  <c r="C39" i="7"/>
  <c r="H39" i="107"/>
  <c r="F39" i="107"/>
  <c r="G39" i="130"/>
  <c r="G29" i="130" s="1"/>
  <c r="D39" i="130"/>
  <c r="D29" i="130" s="1"/>
  <c r="M39" i="120"/>
  <c r="H39" i="4"/>
  <c r="E9" i="63" s="1"/>
  <c r="H29" i="107" l="1"/>
  <c r="F29" i="107"/>
  <c r="C29" i="7"/>
  <c r="E30" i="8" s="1"/>
  <c r="E40" i="8"/>
  <c r="K39" i="5"/>
  <c r="K29" i="5" s="1"/>
  <c r="I39" i="78"/>
  <c r="I29" i="78" s="1"/>
  <c r="M39" i="125"/>
  <c r="J39" i="9"/>
  <c r="J29" i="9" s="1"/>
  <c r="E39" i="6"/>
  <c r="E29" i="6" s="1"/>
  <c r="D39" i="9"/>
  <c r="D29" i="9" s="1"/>
  <c r="H39" i="130"/>
  <c r="H29" i="130" s="1"/>
  <c r="G29" i="15"/>
  <c r="F39" i="6"/>
  <c r="F29" i="6" s="1"/>
  <c r="N39" i="9"/>
  <c r="N29" i="9" s="1"/>
  <c r="F39" i="7"/>
  <c r="E39" i="9"/>
  <c r="E29" i="9" s="1"/>
  <c r="Q39" i="78"/>
  <c r="Q29" i="78" s="1"/>
  <c r="I29" i="10"/>
  <c r="K39" i="9"/>
  <c r="K29" i="9" s="1"/>
  <c r="M39" i="9"/>
  <c r="M29" i="9" s="1"/>
  <c r="E29" i="78"/>
  <c r="E29" i="15"/>
  <c r="N29" i="13"/>
  <c r="H39" i="9"/>
  <c r="H29" i="9" s="1"/>
  <c r="F29" i="80"/>
  <c r="R29" i="80"/>
  <c r="C39" i="9"/>
  <c r="C29" i="9" s="1"/>
  <c r="Q39" i="73"/>
  <c r="E22" i="63"/>
  <c r="I29" i="105"/>
  <c r="F29" i="102"/>
  <c r="H29" i="15"/>
  <c r="E29" i="13"/>
  <c r="K29" i="10"/>
  <c r="J29" i="11"/>
  <c r="L29" i="10"/>
  <c r="K29" i="78"/>
  <c r="C29" i="18"/>
  <c r="N29" i="17"/>
  <c r="G29" i="12"/>
  <c r="O29" i="77"/>
  <c r="K29" i="80"/>
  <c r="G29" i="7"/>
  <c r="I30" i="8" s="1"/>
  <c r="F29" i="18"/>
  <c r="D29" i="10"/>
  <c r="L29" i="102"/>
  <c r="C40" i="98" s="1"/>
  <c r="E40" i="98" s="1"/>
  <c r="E36" i="63"/>
  <c r="E37" i="63" s="1"/>
  <c r="O29" i="75"/>
  <c r="K29" i="73"/>
  <c r="P29" i="15"/>
  <c r="G29" i="10"/>
  <c r="M39" i="122"/>
  <c r="L39" i="9"/>
  <c r="J39" i="12"/>
  <c r="G39" i="6"/>
  <c r="G29" i="6" s="1"/>
  <c r="I39" i="73"/>
  <c r="I29" i="73" s="1"/>
  <c r="O39" i="9"/>
  <c r="I39" i="65"/>
  <c r="I29" i="65" s="1"/>
  <c r="G39" i="9"/>
  <c r="I39" i="9"/>
  <c r="Q39" i="65"/>
  <c r="D29" i="4"/>
  <c r="E29" i="4"/>
  <c r="F29" i="4"/>
  <c r="G29" i="4"/>
  <c r="H29" i="4"/>
  <c r="J29" i="4"/>
  <c r="K29" i="4"/>
  <c r="L29" i="4"/>
  <c r="M29" i="4"/>
  <c r="N29" i="4"/>
  <c r="O29" i="4"/>
  <c r="C29" i="4"/>
  <c r="H28" i="4"/>
  <c r="H22" i="4"/>
  <c r="D35" i="94"/>
  <c r="C35" i="94"/>
  <c r="E34" i="94"/>
  <c r="E33" i="94"/>
  <c r="E32" i="94"/>
  <c r="L43" i="101"/>
  <c r="M43" i="101" s="1"/>
  <c r="G43" i="101"/>
  <c r="H43" i="101" s="1"/>
  <c r="N43" i="97"/>
  <c r="G43" i="97"/>
  <c r="I43" i="97" s="1"/>
  <c r="L39" i="5" l="1"/>
  <c r="C39" i="6" s="1"/>
  <c r="H29" i="7"/>
  <c r="J30" i="8" s="1"/>
  <c r="J40" i="8"/>
  <c r="F29" i="7"/>
  <c r="H30" i="8" s="1"/>
  <c r="H40" i="8"/>
  <c r="E29" i="63"/>
  <c r="O29" i="9"/>
  <c r="E19" i="63"/>
  <c r="I29" i="9"/>
  <c r="E27" i="63"/>
  <c r="E28" i="63" s="1"/>
  <c r="G29" i="9"/>
  <c r="D39" i="7"/>
  <c r="F40" i="8" s="1"/>
  <c r="E35" i="63"/>
  <c r="J29" i="12"/>
  <c r="L29" i="9"/>
  <c r="Q29" i="73"/>
  <c r="Q29" i="65"/>
  <c r="I39" i="7"/>
  <c r="E35" i="94"/>
  <c r="D78" i="63" s="1"/>
  <c r="O43" i="101"/>
  <c r="L29" i="5" l="1"/>
  <c r="I29" i="7"/>
  <c r="K30" i="8" s="1"/>
  <c r="K40" i="8"/>
  <c r="E20" i="63"/>
  <c r="E33" i="63"/>
  <c r="E31" i="63"/>
  <c r="E30" i="63"/>
  <c r="H39" i="6"/>
  <c r="C29" i="6"/>
  <c r="D29" i="7"/>
  <c r="F30" i="8" s="1"/>
  <c r="E39" i="7"/>
  <c r="G40" i="8" s="1"/>
  <c r="E29" i="7" l="1"/>
  <c r="G30" i="8" s="1"/>
  <c r="E11" i="63"/>
  <c r="F12" i="63" s="1"/>
  <c r="I39" i="6"/>
  <c r="F38" i="7"/>
  <c r="H39" i="8" s="1"/>
  <c r="G38" i="7"/>
  <c r="I39" i="8" s="1"/>
  <c r="E38" i="6"/>
  <c r="D38" i="6"/>
  <c r="H38" i="4"/>
  <c r="J38" i="5"/>
  <c r="H38" i="5"/>
  <c r="K38" i="6"/>
  <c r="C38" i="7"/>
  <c r="E39" i="8" s="1"/>
  <c r="H38" i="107"/>
  <c r="F38" i="107"/>
  <c r="G38" i="130"/>
  <c r="D38" i="130"/>
  <c r="M38" i="120"/>
  <c r="J21" i="7"/>
  <c r="I21" i="7"/>
  <c r="H21" i="7"/>
  <c r="G21" i="7"/>
  <c r="F21" i="7"/>
  <c r="E21" i="7"/>
  <c r="D21" i="7"/>
  <c r="C21" i="7"/>
  <c r="K20" i="6"/>
  <c r="C20" i="6"/>
  <c r="K19" i="6"/>
  <c r="C19" i="6"/>
  <c r="K18" i="6"/>
  <c r="C18" i="6"/>
  <c r="K17" i="6"/>
  <c r="C17" i="6"/>
  <c r="K16" i="6"/>
  <c r="C16" i="6"/>
  <c r="K15" i="6"/>
  <c r="C15" i="6"/>
  <c r="K14" i="6"/>
  <c r="C14" i="6"/>
  <c r="K13" i="6"/>
  <c r="C13" i="6"/>
  <c r="E17" i="6"/>
  <c r="E13" i="6"/>
  <c r="D13" i="6"/>
  <c r="E14" i="6"/>
  <c r="D14" i="6"/>
  <c r="E15" i="6"/>
  <c r="D15" i="6"/>
  <c r="E16" i="6"/>
  <c r="D16" i="6"/>
  <c r="D17" i="6"/>
  <c r="E18" i="6"/>
  <c r="D18" i="6"/>
  <c r="E19" i="6"/>
  <c r="D19" i="6"/>
  <c r="E20" i="6"/>
  <c r="D20" i="6"/>
  <c r="I29" i="125" l="1"/>
  <c r="F38" i="6"/>
  <c r="E13" i="63"/>
  <c r="J39" i="6"/>
  <c r="G38" i="6"/>
  <c r="H20" i="6"/>
  <c r="F16" i="6"/>
  <c r="Q38" i="73"/>
  <c r="H38" i="9"/>
  <c r="G38" i="9"/>
  <c r="M38" i="125"/>
  <c r="Q38" i="78"/>
  <c r="G18" i="6"/>
  <c r="J39" i="8"/>
  <c r="N38" i="9"/>
  <c r="Q38" i="65"/>
  <c r="G15" i="6"/>
  <c r="D38" i="9"/>
  <c r="F38" i="9"/>
  <c r="M38" i="9"/>
  <c r="H38" i="130"/>
  <c r="I38" i="9"/>
  <c r="J38" i="9"/>
  <c r="I38" i="73"/>
  <c r="K38" i="9"/>
  <c r="E38" i="9"/>
  <c r="O38" i="9"/>
  <c r="L38" i="9"/>
  <c r="C38" i="9"/>
  <c r="I38" i="65"/>
  <c r="M38" i="122"/>
  <c r="I38" i="78"/>
  <c r="J38" i="12"/>
  <c r="D38" i="7" s="1"/>
  <c r="F39" i="8" s="1"/>
  <c r="K38" i="5"/>
  <c r="L38" i="5" s="1"/>
  <c r="C38" i="6" s="1"/>
  <c r="H38" i="6" s="1"/>
  <c r="G13" i="6"/>
  <c r="G19" i="6"/>
  <c r="G16" i="6"/>
  <c r="G14" i="6"/>
  <c r="G17" i="6"/>
  <c r="H17" i="6"/>
  <c r="F15" i="6"/>
  <c r="F14" i="6"/>
  <c r="H13" i="6"/>
  <c r="G20" i="6"/>
  <c r="F19" i="6"/>
  <c r="F18" i="6"/>
  <c r="F20" i="6"/>
  <c r="F17" i="6"/>
  <c r="H18" i="6"/>
  <c r="H19" i="6"/>
  <c r="H14" i="6"/>
  <c r="H16" i="6"/>
  <c r="F13" i="6"/>
  <c r="H15" i="6"/>
  <c r="E15" i="63" l="1"/>
  <c r="F14" i="63"/>
  <c r="I16" i="6"/>
  <c r="I20" i="6"/>
  <c r="E16" i="63"/>
  <c r="F17" i="63" s="1"/>
  <c r="J29" i="6"/>
  <c r="C39" i="8"/>
  <c r="D40" i="8" s="1"/>
  <c r="J39" i="7"/>
  <c r="I38" i="6"/>
  <c r="I38" i="7"/>
  <c r="K39" i="8" s="1"/>
  <c r="E38" i="7"/>
  <c r="G39" i="8" s="1"/>
  <c r="I19" i="6"/>
  <c r="I17" i="6"/>
  <c r="J17" i="6" s="1"/>
  <c r="I14" i="6"/>
  <c r="J14" i="6" s="1"/>
  <c r="I15" i="6"/>
  <c r="J15" i="6" s="1"/>
  <c r="I13" i="6"/>
  <c r="I18" i="6"/>
  <c r="M21" i="15"/>
  <c r="J21" i="15"/>
  <c r="I21" i="15"/>
  <c r="Q21" i="15"/>
  <c r="N21" i="15"/>
  <c r="H21" i="15"/>
  <c r="D21" i="15"/>
  <c r="J16" i="6" l="1"/>
  <c r="J20" i="6"/>
  <c r="J29" i="7"/>
  <c r="C29" i="8"/>
  <c r="D30" i="8" s="1"/>
  <c r="J19" i="6"/>
  <c r="J38" i="6"/>
  <c r="F33" i="6"/>
  <c r="C21" i="15"/>
  <c r="E21" i="15"/>
  <c r="F21" i="15"/>
  <c r="L21" i="15" s="1"/>
  <c r="G21" i="15"/>
  <c r="F37" i="6"/>
  <c r="J18" i="6"/>
  <c r="J13" i="6"/>
  <c r="O21" i="15"/>
  <c r="P21" i="15"/>
  <c r="G49" i="108"/>
  <c r="B49" i="108"/>
  <c r="G48" i="108"/>
  <c r="B48" i="108"/>
  <c r="G47" i="108"/>
  <c r="B47" i="108"/>
  <c r="F46" i="108"/>
  <c r="E46" i="108"/>
  <c r="D46" i="108"/>
  <c r="C46" i="108"/>
  <c r="G45" i="108"/>
  <c r="B45" i="108"/>
  <c r="G44" i="108"/>
  <c r="B44" i="108"/>
  <c r="F43" i="108"/>
  <c r="E43" i="108"/>
  <c r="D43" i="108"/>
  <c r="C43" i="108"/>
  <c r="G42" i="108"/>
  <c r="B42" i="108"/>
  <c r="G41" i="108"/>
  <c r="B41" i="108"/>
  <c r="F40" i="108"/>
  <c r="E40" i="108"/>
  <c r="D40" i="108"/>
  <c r="C40" i="108"/>
  <c r="G38" i="108"/>
  <c r="B38" i="108"/>
  <c r="F37" i="108"/>
  <c r="E37" i="108"/>
  <c r="D37" i="108"/>
  <c r="C37" i="108"/>
  <c r="G35" i="108"/>
  <c r="B35" i="108"/>
  <c r="F34" i="108"/>
  <c r="E34" i="108"/>
  <c r="B34" i="108" s="1"/>
  <c r="D34" i="108"/>
  <c r="C34" i="108"/>
  <c r="G33" i="108"/>
  <c r="B33" i="108"/>
  <c r="G32" i="108"/>
  <c r="B32" i="108"/>
  <c r="G31" i="108"/>
  <c r="B31" i="108"/>
  <c r="G30" i="108"/>
  <c r="F30" i="108"/>
  <c r="E30" i="108"/>
  <c r="D30" i="108"/>
  <c r="C30" i="108"/>
  <c r="G29" i="108"/>
  <c r="B29" i="108"/>
  <c r="G28" i="108"/>
  <c r="B28" i="108"/>
  <c r="G27" i="108"/>
  <c r="F27" i="108"/>
  <c r="E27" i="108"/>
  <c r="D27" i="108"/>
  <c r="C27" i="108"/>
  <c r="G26" i="108"/>
  <c r="B26" i="108"/>
  <c r="G25" i="108"/>
  <c r="B25" i="108"/>
  <c r="G24" i="108"/>
  <c r="B24" i="108"/>
  <c r="G23" i="108"/>
  <c r="B23" i="108"/>
  <c r="G22" i="108"/>
  <c r="B22" i="108"/>
  <c r="G21" i="108"/>
  <c r="B21" i="108"/>
  <c r="G20" i="108"/>
  <c r="B20" i="108"/>
  <c r="G19" i="108"/>
  <c r="B19" i="108"/>
  <c r="G18" i="108"/>
  <c r="B18" i="108"/>
  <c r="G17" i="108"/>
  <c r="B17" i="108"/>
  <c r="F16" i="108"/>
  <c r="E16" i="108"/>
  <c r="D16" i="108"/>
  <c r="C16" i="108"/>
  <c r="G15" i="108"/>
  <c r="B15" i="108"/>
  <c r="G14" i="108"/>
  <c r="B14" i="108"/>
  <c r="G13" i="108"/>
  <c r="F13" i="108"/>
  <c r="E13" i="108"/>
  <c r="D13" i="108"/>
  <c r="C13" i="108"/>
  <c r="B13" i="108" s="1"/>
  <c r="G12" i="108"/>
  <c r="B12" i="108"/>
  <c r="G11" i="108"/>
  <c r="B11" i="108"/>
  <c r="G10" i="108"/>
  <c r="F10" i="108"/>
  <c r="E10" i="108"/>
  <c r="E9" i="108" s="1"/>
  <c r="D10" i="108"/>
  <c r="D9" i="108" s="1"/>
  <c r="C10" i="108"/>
  <c r="B10" i="108"/>
  <c r="G43" i="108" l="1"/>
  <c r="F39" i="108"/>
  <c r="F36" i="108" s="1"/>
  <c r="B43" i="108"/>
  <c r="B16" i="108"/>
  <c r="G46" i="108"/>
  <c r="G40" i="108"/>
  <c r="D39" i="108"/>
  <c r="D36" i="108" s="1"/>
  <c r="B27" i="108"/>
  <c r="B40" i="108"/>
  <c r="B30" i="108"/>
  <c r="C9" i="108"/>
  <c r="G37" i="108"/>
  <c r="E8" i="108"/>
  <c r="G16" i="108"/>
  <c r="D8" i="108"/>
  <c r="F9" i="108"/>
  <c r="F8" i="108" s="1"/>
  <c r="F50" i="108" s="1"/>
  <c r="C39" i="108"/>
  <c r="C36" i="108" s="1"/>
  <c r="G34" i="108"/>
  <c r="C38" i="8"/>
  <c r="D39" i="8" s="1"/>
  <c r="J38" i="7"/>
  <c r="K21" i="15"/>
  <c r="G9" i="108"/>
  <c r="G8" i="108"/>
  <c r="E39" i="108"/>
  <c r="E36" i="108" s="1"/>
  <c r="B37" i="108"/>
  <c r="B46" i="108"/>
  <c r="D50" i="108" l="1"/>
  <c r="B9" i="108"/>
  <c r="C8" i="108"/>
  <c r="C50" i="108" s="1"/>
  <c r="E50" i="108"/>
  <c r="G36" i="108"/>
  <c r="B36" i="108"/>
  <c r="B39" i="108"/>
  <c r="G39" i="108"/>
  <c r="B50" i="108" l="1"/>
  <c r="B8" i="108"/>
  <c r="G50" i="108"/>
  <c r="H29" i="110"/>
  <c r="N29" i="125"/>
  <c r="D37" i="6"/>
  <c r="L29" i="110"/>
  <c r="K29" i="110"/>
  <c r="J29" i="110"/>
  <c r="I29" i="110"/>
  <c r="G29" i="110"/>
  <c r="F29" i="110"/>
  <c r="E29" i="110"/>
  <c r="D29" i="110"/>
  <c r="C29" i="110"/>
  <c r="N29" i="122"/>
  <c r="L29" i="122"/>
  <c r="K29" i="122"/>
  <c r="J29" i="122"/>
  <c r="I29" i="122"/>
  <c r="H29" i="122"/>
  <c r="G29" i="122"/>
  <c r="F29" i="122"/>
  <c r="E29" i="122"/>
  <c r="D29" i="122"/>
  <c r="C29" i="122"/>
  <c r="L29" i="125"/>
  <c r="K29" i="125"/>
  <c r="J29" i="125"/>
  <c r="H29" i="125"/>
  <c r="G29" i="125"/>
  <c r="F29" i="125"/>
  <c r="E29" i="125"/>
  <c r="D29" i="125"/>
  <c r="C29" i="125"/>
  <c r="J37" i="5"/>
  <c r="H37" i="5"/>
  <c r="K37" i="6"/>
  <c r="C37" i="7"/>
  <c r="E37" i="6"/>
  <c r="H37" i="107"/>
  <c r="F37" i="107"/>
  <c r="G37" i="130"/>
  <c r="D37" i="130"/>
  <c r="M37" i="120"/>
  <c r="H37" i="4"/>
  <c r="M29" i="120" l="1"/>
  <c r="G37" i="7"/>
  <c r="E38" i="8"/>
  <c r="O37" i="9"/>
  <c r="K37" i="9"/>
  <c r="F37" i="9"/>
  <c r="Q37" i="73"/>
  <c r="Q37" i="65"/>
  <c r="M37" i="9"/>
  <c r="L37" i="9"/>
  <c r="D37" i="9"/>
  <c r="C37" i="9"/>
  <c r="K37" i="5"/>
  <c r="E37" i="9"/>
  <c r="G37" i="6"/>
  <c r="I37" i="65"/>
  <c r="F37" i="7"/>
  <c r="H37" i="130"/>
  <c r="I37" i="73"/>
  <c r="N37" i="9"/>
  <c r="H37" i="9"/>
  <c r="J37" i="9"/>
  <c r="J37" i="12"/>
  <c r="Q37" i="78"/>
  <c r="I37" i="78"/>
  <c r="M37" i="125"/>
  <c r="M29" i="125" s="1"/>
  <c r="M37" i="122"/>
  <c r="M29" i="122" s="1"/>
  <c r="G37" i="9"/>
  <c r="I37" i="9"/>
  <c r="H38" i="8" l="1"/>
  <c r="J38" i="8"/>
  <c r="I38" i="8"/>
  <c r="D37" i="7"/>
  <c r="E37" i="7" s="1"/>
  <c r="L37" i="5"/>
  <c r="I37" i="7"/>
  <c r="F38" i="8" l="1"/>
  <c r="C37" i="6"/>
  <c r="K38" i="8"/>
  <c r="G38" i="8"/>
  <c r="H37" i="6" l="1"/>
  <c r="H29" i="6"/>
  <c r="D21" i="63"/>
  <c r="D22" i="63" s="1"/>
  <c r="I29" i="6" l="1"/>
  <c r="I37" i="6"/>
  <c r="D103" i="63"/>
  <c r="D102" i="63"/>
  <c r="D100" i="63"/>
  <c r="D99" i="63"/>
  <c r="D98" i="63"/>
  <c r="D97" i="63"/>
  <c r="D95" i="63"/>
  <c r="D94" i="63"/>
  <c r="D51" i="63"/>
  <c r="D50" i="63"/>
  <c r="F34" i="93"/>
  <c r="D105" i="63" l="1"/>
  <c r="E104" i="63"/>
  <c r="J37" i="6"/>
  <c r="N28" i="83"/>
  <c r="M28" i="83"/>
  <c r="K28" i="83"/>
  <c r="J28" i="83"/>
  <c r="G28" i="83"/>
  <c r="F28" i="83"/>
  <c r="D28" i="83"/>
  <c r="C28" i="83"/>
  <c r="N28" i="119"/>
  <c r="M28" i="119"/>
  <c r="L28" i="119"/>
  <c r="K28" i="119"/>
  <c r="J28" i="119"/>
  <c r="I28" i="119"/>
  <c r="H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I28" i="5"/>
  <c r="G28" i="5"/>
  <c r="F28" i="5"/>
  <c r="E28" i="5"/>
  <c r="D28" i="5"/>
  <c r="C28" i="5"/>
  <c r="L28" i="79"/>
  <c r="K28" i="79"/>
  <c r="J28" i="79"/>
  <c r="I28" i="79"/>
  <c r="H28" i="79"/>
  <c r="G28" i="79"/>
  <c r="F28" i="79"/>
  <c r="E28" i="79"/>
  <c r="D28" i="79"/>
  <c r="C28" i="79"/>
  <c r="Q28" i="80"/>
  <c r="H28" i="10"/>
  <c r="E28" i="10"/>
  <c r="E28" i="11"/>
  <c r="D28" i="11"/>
  <c r="G28" i="12"/>
  <c r="H28" i="13"/>
  <c r="E28" i="13"/>
  <c r="D28" i="13"/>
  <c r="F28" i="14"/>
  <c r="D28" i="14"/>
  <c r="C28" i="14"/>
  <c r="K28" i="15"/>
  <c r="I28" i="15"/>
  <c r="C28" i="15"/>
  <c r="H28" i="102"/>
  <c r="C28" i="102"/>
  <c r="K28" i="65"/>
  <c r="J28" i="65"/>
  <c r="F28" i="65"/>
  <c r="C28" i="65"/>
  <c r="K28" i="64"/>
  <c r="J28" i="64"/>
  <c r="H28" i="64"/>
  <c r="C28" i="64"/>
  <c r="O28" i="106"/>
  <c r="N28" i="18"/>
  <c r="M28" i="18"/>
  <c r="J28" i="73"/>
  <c r="G28" i="73"/>
  <c r="J28" i="72"/>
  <c r="F28" i="72"/>
  <c r="M28" i="75"/>
  <c r="J28" i="75"/>
  <c r="O28" i="74"/>
  <c r="N28" i="74"/>
  <c r="J28" i="74"/>
  <c r="H28" i="74"/>
  <c r="K28" i="78"/>
  <c r="H28" i="78"/>
  <c r="C28" i="78"/>
  <c r="F28" i="130"/>
  <c r="E28" i="130"/>
  <c r="C28" i="130"/>
  <c r="I28" i="90"/>
  <c r="H28" i="90"/>
  <c r="C28" i="90"/>
  <c r="J28" i="121"/>
  <c r="I28" i="121"/>
  <c r="H28" i="121"/>
  <c r="G28" i="121"/>
  <c r="F28" i="121"/>
  <c r="E28" i="121"/>
  <c r="D28" i="121"/>
  <c r="C28" i="121"/>
  <c r="Q28" i="77"/>
  <c r="P28" i="77"/>
  <c r="K28" i="77"/>
  <c r="H28" i="77"/>
  <c r="S28" i="128"/>
  <c r="R28" i="128"/>
  <c r="Q28" i="128"/>
  <c r="P28" i="128"/>
  <c r="O28" i="128"/>
  <c r="N28" i="128"/>
  <c r="M28" i="128"/>
  <c r="L28" i="128"/>
  <c r="K28" i="128"/>
  <c r="J28" i="128"/>
  <c r="I28" i="128"/>
  <c r="H28" i="128"/>
  <c r="G28" i="128"/>
  <c r="F28" i="128"/>
  <c r="E28" i="128"/>
  <c r="D28" i="128"/>
  <c r="C28" i="128"/>
  <c r="M28" i="10"/>
  <c r="K28" i="10"/>
  <c r="J28" i="10"/>
  <c r="I28" i="10"/>
  <c r="G36" i="7"/>
  <c r="D28" i="10"/>
  <c r="K36" i="5"/>
  <c r="K28" i="5" s="1"/>
  <c r="L28" i="11"/>
  <c r="K28" i="11"/>
  <c r="J28" i="11"/>
  <c r="I28" i="11"/>
  <c r="H28" i="11"/>
  <c r="C28" i="11"/>
  <c r="I28" i="12"/>
  <c r="H28" i="12"/>
  <c r="F28" i="12"/>
  <c r="E28" i="12"/>
  <c r="D28" i="12"/>
  <c r="C28" i="12"/>
  <c r="N28" i="13"/>
  <c r="M28" i="13"/>
  <c r="L28" i="13"/>
  <c r="K28" i="13"/>
  <c r="J28" i="13"/>
  <c r="I28" i="13"/>
  <c r="G28" i="13"/>
  <c r="F28" i="13"/>
  <c r="C28" i="13"/>
  <c r="N28" i="14"/>
  <c r="M28" i="14"/>
  <c r="L28" i="14"/>
  <c r="K28" i="14"/>
  <c r="J28" i="14"/>
  <c r="I28" i="14"/>
  <c r="H28" i="14"/>
  <c r="G28" i="14"/>
  <c r="E28" i="14"/>
  <c r="Q28" i="15"/>
  <c r="P28" i="15"/>
  <c r="O28" i="15"/>
  <c r="N28" i="15"/>
  <c r="M28" i="15"/>
  <c r="D36" i="63"/>
  <c r="D37" i="63" s="1"/>
  <c r="J28" i="15"/>
  <c r="H28" i="15"/>
  <c r="G28" i="15"/>
  <c r="E36" i="6"/>
  <c r="D36" i="6"/>
  <c r="D28" i="6" s="1"/>
  <c r="D28" i="15"/>
  <c r="K28" i="102"/>
  <c r="J28" i="102"/>
  <c r="I28" i="102"/>
  <c r="G28" i="102"/>
  <c r="F28" i="102"/>
  <c r="E28" i="102"/>
  <c r="D28" i="102"/>
  <c r="P28" i="65"/>
  <c r="O28" i="65"/>
  <c r="N28" i="65"/>
  <c r="M28" i="65"/>
  <c r="H28" i="65"/>
  <c r="G28" i="65"/>
  <c r="E28" i="65"/>
  <c r="Q28" i="64"/>
  <c r="P28" i="64"/>
  <c r="O28" i="64"/>
  <c r="N28" i="64"/>
  <c r="M28" i="64"/>
  <c r="L28" i="64"/>
  <c r="I28" i="64"/>
  <c r="G28" i="64"/>
  <c r="F28" i="64"/>
  <c r="E28" i="64"/>
  <c r="D28" i="64"/>
  <c r="K28" i="61"/>
  <c r="J28" i="61"/>
  <c r="I28" i="61"/>
  <c r="H28" i="61"/>
  <c r="G28" i="61"/>
  <c r="F28" i="61"/>
  <c r="E28" i="61"/>
  <c r="D28" i="61"/>
  <c r="C28" i="61"/>
  <c r="P28" i="105"/>
  <c r="O28" i="105"/>
  <c r="N28" i="105"/>
  <c r="M28" i="105"/>
  <c r="L28" i="105"/>
  <c r="K28" i="105"/>
  <c r="J28" i="105"/>
  <c r="I28" i="105"/>
  <c r="H28" i="105"/>
  <c r="G28" i="105"/>
  <c r="F28" i="105"/>
  <c r="E28" i="105"/>
  <c r="D28" i="105"/>
  <c r="C28" i="105"/>
  <c r="P28" i="106"/>
  <c r="N28" i="106"/>
  <c r="M28" i="106"/>
  <c r="L28" i="106"/>
  <c r="K28" i="106"/>
  <c r="J28" i="106"/>
  <c r="I28" i="106"/>
  <c r="H28" i="106"/>
  <c r="G28" i="106"/>
  <c r="F28" i="106"/>
  <c r="E28" i="106"/>
  <c r="D28" i="106"/>
  <c r="C28" i="106"/>
  <c r="O28" i="17"/>
  <c r="M28" i="17"/>
  <c r="L28" i="17"/>
  <c r="K28" i="17"/>
  <c r="J28" i="17"/>
  <c r="I28" i="17"/>
  <c r="H28" i="17"/>
  <c r="G28" i="17"/>
  <c r="F28" i="17"/>
  <c r="E28" i="17"/>
  <c r="D28" i="17"/>
  <c r="C28" i="17"/>
  <c r="O28" i="18"/>
  <c r="L28" i="18"/>
  <c r="K28" i="18"/>
  <c r="J28" i="18"/>
  <c r="I28" i="18"/>
  <c r="H28" i="18"/>
  <c r="G28" i="18"/>
  <c r="F28" i="18"/>
  <c r="E28" i="18"/>
  <c r="D28" i="18"/>
  <c r="C28" i="18"/>
  <c r="P28" i="73"/>
  <c r="O28" i="73"/>
  <c r="N28" i="73"/>
  <c r="M28" i="73"/>
  <c r="L28" i="73"/>
  <c r="K28" i="73"/>
  <c r="H28" i="73"/>
  <c r="F28" i="73"/>
  <c r="E28" i="73"/>
  <c r="D28" i="73"/>
  <c r="C28" i="73"/>
  <c r="Q28" i="72"/>
  <c r="P28" i="72"/>
  <c r="O28" i="72"/>
  <c r="N28" i="72"/>
  <c r="M28" i="72"/>
  <c r="L28" i="72"/>
  <c r="K28" i="72"/>
  <c r="I28" i="72"/>
  <c r="H28" i="72"/>
  <c r="G28" i="72"/>
  <c r="E28" i="72"/>
  <c r="D28" i="72"/>
  <c r="C28" i="72"/>
  <c r="P28" i="75"/>
  <c r="N28" i="75"/>
  <c r="L28" i="75"/>
  <c r="K28" i="75"/>
  <c r="I28" i="75"/>
  <c r="H28" i="75"/>
  <c r="G28" i="75"/>
  <c r="F28" i="75"/>
  <c r="E28" i="75"/>
  <c r="D28" i="75"/>
  <c r="C28" i="75"/>
  <c r="P28" i="74"/>
  <c r="M28" i="74"/>
  <c r="L28" i="74"/>
  <c r="K28" i="74"/>
  <c r="I28" i="74"/>
  <c r="G28" i="74"/>
  <c r="F28" i="74"/>
  <c r="E28" i="74"/>
  <c r="D28" i="74"/>
  <c r="C28" i="74"/>
  <c r="P28" i="78"/>
  <c r="O28" i="78"/>
  <c r="N28" i="78"/>
  <c r="M28" i="78"/>
  <c r="L28" i="78"/>
  <c r="J28" i="78"/>
  <c r="G28" i="78"/>
  <c r="F28" i="78"/>
  <c r="E28" i="78"/>
  <c r="D28" i="78"/>
  <c r="O28" i="77"/>
  <c r="N28" i="77"/>
  <c r="M28" i="77"/>
  <c r="L28" i="77"/>
  <c r="J28" i="77"/>
  <c r="I28" i="77"/>
  <c r="G28" i="77"/>
  <c r="F28" i="77"/>
  <c r="E28" i="77"/>
  <c r="D28" i="77"/>
  <c r="C28" i="77"/>
  <c r="M28" i="110"/>
  <c r="S28" i="80"/>
  <c r="P28" i="80"/>
  <c r="O28" i="80"/>
  <c r="N28" i="80"/>
  <c r="M28" i="80"/>
  <c r="L28" i="80"/>
  <c r="J28" i="80"/>
  <c r="I28" i="80"/>
  <c r="H28" i="80"/>
  <c r="G28" i="80"/>
  <c r="E28" i="80"/>
  <c r="D28" i="80"/>
  <c r="C28" i="80"/>
  <c r="H36" i="4"/>
  <c r="J36" i="5"/>
  <c r="J28" i="5" s="1"/>
  <c r="H36" i="5"/>
  <c r="H28" i="5" s="1"/>
  <c r="K36" i="6"/>
  <c r="K28" i="6" s="1"/>
  <c r="C36" i="7"/>
  <c r="H36" i="107"/>
  <c r="F36" i="107"/>
  <c r="G36" i="130"/>
  <c r="G28" i="130" s="1"/>
  <c r="D36" i="130"/>
  <c r="D28" i="130" s="1"/>
  <c r="M36"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G14" i="109"/>
  <c r="F14" i="109"/>
  <c r="B14" i="109" s="1"/>
  <c r="E14" i="109"/>
  <c r="D14" i="109"/>
  <c r="C14" i="109"/>
  <c r="G13" i="109"/>
  <c r="B13" i="109"/>
  <c r="G12" i="109"/>
  <c r="B12" i="109"/>
  <c r="G11" i="109"/>
  <c r="B11" i="109"/>
  <c r="G10" i="109"/>
  <c r="B10" i="109"/>
  <c r="G9" i="109"/>
  <c r="F9" i="109"/>
  <c r="E9" i="109"/>
  <c r="E8" i="109" s="1"/>
  <c r="D9" i="109"/>
  <c r="C9" i="109"/>
  <c r="B9" i="109"/>
  <c r="F8" i="109"/>
  <c r="B8" i="109" s="1"/>
  <c r="G8" i="109" l="1"/>
  <c r="D8" i="109"/>
  <c r="C8" i="109"/>
  <c r="F28" i="107"/>
  <c r="J37" i="7"/>
  <c r="C37" i="8"/>
  <c r="C28" i="7"/>
  <c r="E29" i="8" s="1"/>
  <c r="E37" i="8"/>
  <c r="E28" i="6"/>
  <c r="J36" i="12"/>
  <c r="J28" i="12" s="1"/>
  <c r="G28" i="7"/>
  <c r="I29" i="8" s="1"/>
  <c r="I37" i="8"/>
  <c r="C28" i="10"/>
  <c r="C36" i="9"/>
  <c r="C28" i="9" s="1"/>
  <c r="F28" i="10"/>
  <c r="D36" i="9"/>
  <c r="D28" i="9" s="1"/>
  <c r="Q36" i="65"/>
  <c r="Q28" i="65" s="1"/>
  <c r="G28" i="10"/>
  <c r="E36" i="9"/>
  <c r="E28" i="9" s="1"/>
  <c r="F28" i="11"/>
  <c r="L36" i="9"/>
  <c r="L28" i="9" s="1"/>
  <c r="D28" i="65"/>
  <c r="I36" i="65"/>
  <c r="G28" i="11"/>
  <c r="M36" i="9"/>
  <c r="M28" i="9" s="1"/>
  <c r="D9" i="63"/>
  <c r="D53" i="63"/>
  <c r="R28" i="80"/>
  <c r="K36" i="9"/>
  <c r="K28" i="9" s="1"/>
  <c r="K28" i="80"/>
  <c r="D54" i="63"/>
  <c r="L28" i="102"/>
  <c r="D38" i="63"/>
  <c r="D39" i="63" s="1"/>
  <c r="L28" i="15"/>
  <c r="F28" i="80"/>
  <c r="D55" i="63"/>
  <c r="L28" i="10"/>
  <c r="O28" i="75"/>
  <c r="D25" i="63"/>
  <c r="D26" i="63" s="1"/>
  <c r="N28" i="17"/>
  <c r="D23" i="63"/>
  <c r="D24" i="63" s="1"/>
  <c r="L28" i="65"/>
  <c r="E28" i="15"/>
  <c r="F28" i="15"/>
  <c r="N36" i="9"/>
  <c r="N28" i="9" s="1"/>
  <c r="H36" i="9"/>
  <c r="H28" i="9" s="1"/>
  <c r="H28" i="107"/>
  <c r="H36" i="130"/>
  <c r="H28" i="130" s="1"/>
  <c r="G36" i="6"/>
  <c r="G28" i="6" s="1"/>
  <c r="F36" i="6"/>
  <c r="F28" i="6" s="1"/>
  <c r="M36" i="122"/>
  <c r="M36" i="125"/>
  <c r="F36" i="9"/>
  <c r="F28" i="9" s="1"/>
  <c r="F36" i="7"/>
  <c r="J37" i="8"/>
  <c r="I36" i="9"/>
  <c r="Q36" i="73"/>
  <c r="I36" i="78"/>
  <c r="L36" i="5"/>
  <c r="O36" i="9"/>
  <c r="Q36" i="78"/>
  <c r="I36" i="73"/>
  <c r="G36" i="9"/>
  <c r="J36" i="9"/>
  <c r="J28" i="9" s="1"/>
  <c r="C39" i="98" l="1"/>
  <c r="E39" i="98" s="1"/>
  <c r="D38" i="8"/>
  <c r="D35" i="63"/>
  <c r="D36" i="7"/>
  <c r="D28" i="7" s="1"/>
  <c r="F29" i="8" s="1"/>
  <c r="F28" i="7"/>
  <c r="H29" i="8" s="1"/>
  <c r="H37" i="8"/>
  <c r="G28" i="9"/>
  <c r="D27" i="63"/>
  <c r="D28" i="63" s="1"/>
  <c r="O28" i="9"/>
  <c r="D29" i="63"/>
  <c r="D31" i="63" s="1"/>
  <c r="I28" i="9"/>
  <c r="D19" i="63"/>
  <c r="D20" i="63" s="1"/>
  <c r="Q28" i="78"/>
  <c r="I28" i="78"/>
  <c r="I28" i="73"/>
  <c r="Q28" i="73"/>
  <c r="I28" i="65"/>
  <c r="H28" i="7"/>
  <c r="J29" i="8" s="1"/>
  <c r="I36" i="7"/>
  <c r="K37" i="8" s="1"/>
  <c r="C36" i="6"/>
  <c r="L28" i="5"/>
  <c r="E36" i="7" l="1"/>
  <c r="E28" i="7" s="1"/>
  <c r="F37" i="8"/>
  <c r="H36" i="6"/>
  <c r="I36" i="6" s="1"/>
  <c r="D30" i="63"/>
  <c r="D33" i="63"/>
  <c r="C28" i="6"/>
  <c r="H28" i="6" s="1"/>
  <c r="I28" i="6" s="1"/>
  <c r="I28" i="7"/>
  <c r="K29" i="8" l="1"/>
  <c r="G29" i="8"/>
  <c r="G37" i="8"/>
  <c r="D11" i="63"/>
  <c r="E12" i="63" s="1"/>
  <c r="D13" i="63"/>
  <c r="D15" i="63" l="1"/>
  <c r="E14" i="63"/>
  <c r="J36" i="6"/>
  <c r="D16" i="63" s="1"/>
  <c r="E17" i="63" s="1"/>
  <c r="J36" i="7" l="1"/>
  <c r="J28" i="6"/>
  <c r="C36" i="8"/>
  <c r="C28" i="8" l="1"/>
  <c r="D29" i="8" s="1"/>
  <c r="D37" i="8"/>
  <c r="J28" i="7"/>
  <c r="L42" i="101"/>
  <c r="M42" i="101" s="1"/>
  <c r="G42" i="101"/>
  <c r="H42" i="101" s="1"/>
  <c r="G35" i="7"/>
  <c r="I36" i="8" s="1"/>
  <c r="K35" i="5"/>
  <c r="E35" i="6"/>
  <c r="H35" i="4"/>
  <c r="J35" i="5"/>
  <c r="H35" i="5"/>
  <c r="K35" i="6"/>
  <c r="C35" i="7"/>
  <c r="E36" i="8" s="1"/>
  <c r="H35" i="107"/>
  <c r="F35" i="107"/>
  <c r="G35" i="130"/>
  <c r="D35" i="130"/>
  <c r="M35" i="120"/>
  <c r="H33" i="4"/>
  <c r="K6" i="124"/>
  <c r="O7" i="124" s="1"/>
  <c r="H6" i="124"/>
  <c r="N7" i="124" s="1"/>
  <c r="O21" i="124"/>
  <c r="O20" i="124"/>
  <c r="O19" i="124"/>
  <c r="O18" i="124"/>
  <c r="O17" i="124"/>
  <c r="O16" i="124"/>
  <c r="O15" i="124"/>
  <c r="O14" i="124"/>
  <c r="O13" i="124"/>
  <c r="N21" i="124"/>
  <c r="N20" i="124"/>
  <c r="N19" i="124"/>
  <c r="N18" i="124"/>
  <c r="N17" i="124"/>
  <c r="N16" i="124"/>
  <c r="N15" i="124"/>
  <c r="N14" i="124"/>
  <c r="N13" i="124"/>
  <c r="M35" i="125" l="1"/>
  <c r="Q35" i="65"/>
  <c r="H35" i="130"/>
  <c r="H35" i="9"/>
  <c r="L35" i="9"/>
  <c r="I35" i="78"/>
  <c r="O42" i="101"/>
  <c r="J36" i="8"/>
  <c r="I35" i="65"/>
  <c r="N35" i="9"/>
  <c r="D35" i="6"/>
  <c r="M35" i="122"/>
  <c r="J35" i="9"/>
  <c r="I35" i="73"/>
  <c r="K35" i="9"/>
  <c r="E35" i="9"/>
  <c r="M35" i="9"/>
  <c r="F35" i="9"/>
  <c r="G35" i="6"/>
  <c r="O35" i="9"/>
  <c r="F35" i="6"/>
  <c r="G35" i="9"/>
  <c r="I35" i="9"/>
  <c r="J35" i="12"/>
  <c r="D35" i="7" s="1"/>
  <c r="F36" i="8" s="1"/>
  <c r="Q35" i="73"/>
  <c r="Q35" i="78"/>
  <c r="L35" i="5"/>
  <c r="C35" i="6" s="1"/>
  <c r="C35" i="9"/>
  <c r="F35" i="7"/>
  <c r="H36" i="8" s="1"/>
  <c r="D35" i="9"/>
  <c r="H35" i="6" l="1"/>
  <c r="I35" i="7"/>
  <c r="K36" i="8" s="1"/>
  <c r="E35" i="7"/>
  <c r="I35" i="6" l="1"/>
  <c r="G36" i="8"/>
  <c r="J35" i="6" l="1"/>
  <c r="C35" i="8" s="1"/>
  <c r="D36" i="8" s="1"/>
  <c r="J35" i="7" l="1"/>
  <c r="N34" i="9"/>
  <c r="K34" i="5" l="1"/>
  <c r="E34" i="6"/>
  <c r="D34" i="6"/>
  <c r="D34" i="9"/>
  <c r="N28" i="122"/>
  <c r="L28" i="122"/>
  <c r="K28" i="122"/>
  <c r="J28" i="122"/>
  <c r="I28" i="122"/>
  <c r="H28" i="122"/>
  <c r="G28" i="122"/>
  <c r="F28" i="122"/>
  <c r="E28" i="122"/>
  <c r="D28" i="122"/>
  <c r="C28" i="122"/>
  <c r="L28" i="125"/>
  <c r="K28" i="125"/>
  <c r="J28" i="125"/>
  <c r="I28" i="125"/>
  <c r="H28" i="125"/>
  <c r="G28" i="125"/>
  <c r="F28" i="125"/>
  <c r="E28" i="125"/>
  <c r="D28" i="125"/>
  <c r="C28" i="125"/>
  <c r="L28" i="110"/>
  <c r="K28" i="110"/>
  <c r="J28" i="110"/>
  <c r="I28" i="110"/>
  <c r="H28" i="110"/>
  <c r="G28" i="110"/>
  <c r="F28" i="110"/>
  <c r="E28" i="110"/>
  <c r="D28" i="110"/>
  <c r="C28" i="110"/>
  <c r="H34" i="4"/>
  <c r="J34" i="5"/>
  <c r="H34" i="5"/>
  <c r="K34" i="6"/>
  <c r="C34" i="7"/>
  <c r="E35" i="8" s="1"/>
  <c r="G34" i="7"/>
  <c r="I35" i="8" s="1"/>
  <c r="F34" i="107"/>
  <c r="G34" i="130"/>
  <c r="D34" i="130"/>
  <c r="M34" i="120"/>
  <c r="N42" i="97"/>
  <c r="G42" i="97"/>
  <c r="I42" i="97" s="1"/>
  <c r="N28" i="125" l="1"/>
  <c r="M28" i="120"/>
  <c r="O34" i="9"/>
  <c r="G34" i="6"/>
  <c r="F34" i="9"/>
  <c r="H34" i="130"/>
  <c r="H34" i="9"/>
  <c r="L34" i="9"/>
  <c r="Q34" i="65"/>
  <c r="I34" i="65"/>
  <c r="I34" i="78"/>
  <c r="Q34" i="73"/>
  <c r="F34" i="6"/>
  <c r="M34" i="125"/>
  <c r="M28" i="125" s="1"/>
  <c r="M34" i="122"/>
  <c r="M28" i="122" s="1"/>
  <c r="J35" i="8"/>
  <c r="Q34" i="78"/>
  <c r="I34" i="73"/>
  <c r="J34" i="9"/>
  <c r="K34" i="9"/>
  <c r="E34" i="9"/>
  <c r="M34" i="9"/>
  <c r="H34" i="107"/>
  <c r="G34" i="9"/>
  <c r="I34" i="9"/>
  <c r="J34" i="12"/>
  <c r="D34" i="7" s="1"/>
  <c r="F35" i="8" s="1"/>
  <c r="L34" i="5"/>
  <c r="C34" i="6" s="1"/>
  <c r="C34" i="9"/>
  <c r="F34" i="7"/>
  <c r="H35" i="8" s="1"/>
  <c r="D31" i="94"/>
  <c r="C31" i="94"/>
  <c r="E30" i="94"/>
  <c r="E29" i="94"/>
  <c r="E28" i="94"/>
  <c r="E31" i="94" l="1"/>
  <c r="C78" i="63" s="1"/>
  <c r="H34" i="6"/>
  <c r="I34" i="6" s="1"/>
  <c r="I34" i="7"/>
  <c r="K35" i="8" s="1"/>
  <c r="E34" i="7"/>
  <c r="G35" i="8" s="1"/>
  <c r="J34" i="6" l="1"/>
  <c r="C34" i="8" l="1"/>
  <c r="D35" i="8" s="1"/>
  <c r="J34" i="7"/>
  <c r="D19" i="93"/>
  <c r="E19" i="93"/>
  <c r="C19" i="93"/>
  <c r="G33" i="107" l="1"/>
  <c r="C103" i="63" l="1"/>
  <c r="D104" i="63" s="1"/>
  <c r="C102" i="63"/>
  <c r="C100" i="63"/>
  <c r="C99" i="63"/>
  <c r="C98" i="63"/>
  <c r="C97" i="63"/>
  <c r="C95" i="63"/>
  <c r="C94" i="63"/>
  <c r="C51" i="63"/>
  <c r="C50" i="63"/>
  <c r="F19" i="93"/>
  <c r="F33" i="93"/>
  <c r="O22" i="77"/>
  <c r="J22" i="77"/>
  <c r="G22" i="77"/>
  <c r="H22" i="74"/>
  <c r="K22" i="75"/>
  <c r="L22" i="72"/>
  <c r="J22" i="72"/>
  <c r="G22" i="72"/>
  <c r="F22" i="72"/>
  <c r="F22" i="73"/>
  <c r="L22" i="18"/>
  <c r="E22" i="18"/>
  <c r="I22" i="106"/>
  <c r="N22" i="64"/>
  <c r="K22" i="65"/>
  <c r="H22" i="65"/>
  <c r="F22" i="102"/>
  <c r="I22" i="15"/>
  <c r="D22" i="15"/>
  <c r="H22" i="14"/>
  <c r="M22" i="13"/>
  <c r="K22" i="13"/>
  <c r="J22" i="13"/>
  <c r="K22" i="11"/>
  <c r="I22" i="11"/>
  <c r="I22" i="5"/>
  <c r="G22" i="5"/>
  <c r="F22" i="5"/>
  <c r="E22" i="5"/>
  <c r="D22" i="5"/>
  <c r="C22" i="5"/>
  <c r="L22" i="79"/>
  <c r="K22" i="79"/>
  <c r="J22" i="79"/>
  <c r="I22" i="79"/>
  <c r="H22" i="79"/>
  <c r="G22" i="79"/>
  <c r="F22" i="79"/>
  <c r="E22" i="79"/>
  <c r="D22" i="79"/>
  <c r="C22" i="79"/>
  <c r="Q22" i="80"/>
  <c r="F22" i="130"/>
  <c r="E22" i="130"/>
  <c r="C22" i="130"/>
  <c r="I22" i="90"/>
  <c r="H22" i="90"/>
  <c r="C22" i="90"/>
  <c r="J22" i="121"/>
  <c r="I22" i="121"/>
  <c r="H22" i="121"/>
  <c r="G22" i="121"/>
  <c r="F22" i="121"/>
  <c r="E22" i="121"/>
  <c r="D22" i="121"/>
  <c r="C22" i="121"/>
  <c r="S22" i="80"/>
  <c r="R22" i="80"/>
  <c r="P22" i="80"/>
  <c r="O22" i="80"/>
  <c r="N22" i="80"/>
  <c r="M22" i="80"/>
  <c r="L22" i="80"/>
  <c r="K22" i="80"/>
  <c r="J22" i="80"/>
  <c r="I22" i="80"/>
  <c r="H22" i="80"/>
  <c r="G22" i="80"/>
  <c r="F22" i="80"/>
  <c r="E22" i="80"/>
  <c r="D22" i="80"/>
  <c r="C22" i="80"/>
  <c r="S22" i="128"/>
  <c r="R22" i="128"/>
  <c r="Q22" i="128"/>
  <c r="P22" i="128"/>
  <c r="O22" i="128"/>
  <c r="N22" i="128"/>
  <c r="M22" i="128"/>
  <c r="L22" i="128"/>
  <c r="K22" i="128"/>
  <c r="J22" i="128"/>
  <c r="I22" i="128"/>
  <c r="H22" i="128"/>
  <c r="G22" i="128"/>
  <c r="F22" i="128"/>
  <c r="E22" i="128"/>
  <c r="D22" i="128"/>
  <c r="C22" i="128"/>
  <c r="M22" i="10"/>
  <c r="K22" i="10"/>
  <c r="J22" i="10"/>
  <c r="I22" i="10"/>
  <c r="G22" i="10"/>
  <c r="E22" i="10"/>
  <c r="D22" i="10"/>
  <c r="L22" i="11"/>
  <c r="J22" i="11"/>
  <c r="H22" i="11"/>
  <c r="D22" i="11"/>
  <c r="I22" i="12"/>
  <c r="H22" i="12"/>
  <c r="F22" i="12"/>
  <c r="E22" i="12"/>
  <c r="D22" i="12"/>
  <c r="C22" i="12"/>
  <c r="N22" i="13"/>
  <c r="L22" i="13"/>
  <c r="I22" i="13"/>
  <c r="H22" i="13"/>
  <c r="G22" i="13"/>
  <c r="F22" i="13"/>
  <c r="E22" i="13"/>
  <c r="D22" i="13"/>
  <c r="C22" i="13"/>
  <c r="N22" i="14"/>
  <c r="M22" i="14"/>
  <c r="L22" i="14"/>
  <c r="K22" i="14"/>
  <c r="J22" i="14"/>
  <c r="I22" i="14"/>
  <c r="G22" i="14"/>
  <c r="F22" i="14"/>
  <c r="E22" i="14"/>
  <c r="D22" i="14"/>
  <c r="C22" i="14"/>
  <c r="M22" i="15"/>
  <c r="J22" i="15"/>
  <c r="H22" i="15"/>
  <c r="G22" i="15"/>
  <c r="F22" i="15"/>
  <c r="D33" i="6"/>
  <c r="D22" i="6" s="1"/>
  <c r="C22" i="15"/>
  <c r="K22" i="102"/>
  <c r="J22" i="102"/>
  <c r="I22" i="102"/>
  <c r="H22" i="102"/>
  <c r="G22" i="102"/>
  <c r="E22" i="102"/>
  <c r="D22" i="102"/>
  <c r="C22" i="102"/>
  <c r="P22" i="65"/>
  <c r="O22" i="65"/>
  <c r="N22" i="65"/>
  <c r="M22" i="65"/>
  <c r="L22" i="65"/>
  <c r="J22" i="65"/>
  <c r="G22" i="65"/>
  <c r="F22" i="65"/>
  <c r="D22" i="65"/>
  <c r="C22" i="65"/>
  <c r="Q22" i="64"/>
  <c r="P22" i="64"/>
  <c r="O22" i="64"/>
  <c r="M22" i="64"/>
  <c r="L22" i="64"/>
  <c r="K22" i="64"/>
  <c r="J22" i="64"/>
  <c r="I22" i="64"/>
  <c r="H22" i="64"/>
  <c r="G22" i="64"/>
  <c r="F22" i="64"/>
  <c r="E22" i="64"/>
  <c r="D22" i="64"/>
  <c r="C22" i="64"/>
  <c r="K22" i="61"/>
  <c r="J22" i="61"/>
  <c r="I22" i="61"/>
  <c r="H22" i="61"/>
  <c r="G22" i="61"/>
  <c r="F22" i="61"/>
  <c r="E22" i="61"/>
  <c r="D22" i="61"/>
  <c r="C22" i="61"/>
  <c r="P22" i="105"/>
  <c r="M22" i="105"/>
  <c r="L22" i="105"/>
  <c r="K22" i="105"/>
  <c r="J22" i="105"/>
  <c r="I22" i="105"/>
  <c r="G22" i="105"/>
  <c r="F22" i="105"/>
  <c r="E22" i="105"/>
  <c r="D22" i="105"/>
  <c r="C22" i="105"/>
  <c r="P22" i="106"/>
  <c r="M22" i="106"/>
  <c r="L22" i="106"/>
  <c r="K22" i="106"/>
  <c r="J22" i="106"/>
  <c r="G22" i="106"/>
  <c r="F22" i="106"/>
  <c r="E22" i="106"/>
  <c r="D22" i="106"/>
  <c r="C22" i="106"/>
  <c r="O22" i="17"/>
  <c r="N22" i="17"/>
  <c r="M22" i="17"/>
  <c r="L22" i="17"/>
  <c r="K22" i="17"/>
  <c r="J22" i="17"/>
  <c r="I22" i="17"/>
  <c r="H22" i="17"/>
  <c r="F22" i="17"/>
  <c r="E22" i="17"/>
  <c r="D22" i="17"/>
  <c r="C22" i="17"/>
  <c r="O22" i="18"/>
  <c r="N22" i="18"/>
  <c r="M22" i="18"/>
  <c r="K22" i="18"/>
  <c r="J22" i="18"/>
  <c r="I22" i="18"/>
  <c r="H22" i="18"/>
  <c r="G22" i="18"/>
  <c r="F22" i="18"/>
  <c r="D22" i="18"/>
  <c r="C22" i="18"/>
  <c r="P22" i="73"/>
  <c r="O22" i="73"/>
  <c r="N22" i="73"/>
  <c r="M22" i="73"/>
  <c r="L22" i="73"/>
  <c r="K22" i="73"/>
  <c r="H22" i="73"/>
  <c r="G22" i="73"/>
  <c r="E22" i="73"/>
  <c r="D22" i="73"/>
  <c r="C22" i="73"/>
  <c r="Q22" i="72"/>
  <c r="P22" i="72"/>
  <c r="O22" i="72"/>
  <c r="N22" i="72"/>
  <c r="M22" i="72"/>
  <c r="K22" i="72"/>
  <c r="I22" i="72"/>
  <c r="H22" i="72"/>
  <c r="E22" i="72"/>
  <c r="D22" i="72"/>
  <c r="C22" i="72"/>
  <c r="P22" i="75"/>
  <c r="O22" i="75"/>
  <c r="N22" i="75"/>
  <c r="M22" i="75"/>
  <c r="L22" i="75"/>
  <c r="J22" i="75"/>
  <c r="I22" i="75"/>
  <c r="H22" i="75"/>
  <c r="G22" i="75"/>
  <c r="F22" i="75"/>
  <c r="E22" i="75"/>
  <c r="D22" i="75"/>
  <c r="C22" i="75"/>
  <c r="P22" i="74"/>
  <c r="O22" i="74"/>
  <c r="N22" i="74"/>
  <c r="M22" i="74"/>
  <c r="L22" i="74"/>
  <c r="K22" i="74"/>
  <c r="J22" i="74"/>
  <c r="I22" i="74"/>
  <c r="G22" i="74"/>
  <c r="F22" i="74"/>
  <c r="E22" i="74"/>
  <c r="D22" i="74"/>
  <c r="C22" i="74"/>
  <c r="P22" i="78"/>
  <c r="O22" i="78"/>
  <c r="N22" i="78"/>
  <c r="M22" i="78"/>
  <c r="L22" i="78"/>
  <c r="K22" i="78"/>
  <c r="J22" i="78"/>
  <c r="H22" i="78"/>
  <c r="G22" i="78"/>
  <c r="F22" i="78"/>
  <c r="E22" i="78"/>
  <c r="C22" i="78"/>
  <c r="M22" i="110"/>
  <c r="Q22" i="77"/>
  <c r="P22" i="77"/>
  <c r="N22" i="77"/>
  <c r="M22" i="77"/>
  <c r="L22" i="77"/>
  <c r="K22" i="77"/>
  <c r="I22" i="77"/>
  <c r="H22" i="77"/>
  <c r="F22" i="77"/>
  <c r="E22" i="77"/>
  <c r="D22" i="77"/>
  <c r="C22" i="77"/>
  <c r="J33" i="5"/>
  <c r="J22" i="5" s="1"/>
  <c r="H33" i="5"/>
  <c r="H22" i="5" s="1"/>
  <c r="K33" i="6"/>
  <c r="K22" i="6" s="1"/>
  <c r="C33" i="7"/>
  <c r="H33" i="107"/>
  <c r="F33" i="107"/>
  <c r="G33" i="130"/>
  <c r="G22" i="130" s="1"/>
  <c r="D33" i="130"/>
  <c r="M33" i="120"/>
  <c r="O22" i="105" l="1"/>
  <c r="H22" i="106"/>
  <c r="H22" i="105"/>
  <c r="Q22" i="105" s="1"/>
  <c r="N22" i="106"/>
  <c r="O22" i="106"/>
  <c r="N22" i="105"/>
  <c r="R22" i="105" s="1"/>
  <c r="C105" i="63"/>
  <c r="Q22" i="15"/>
  <c r="P22" i="15"/>
  <c r="O22" i="15"/>
  <c r="C21" i="63"/>
  <c r="C22" i="63" s="1"/>
  <c r="K33" i="5"/>
  <c r="K22" i="5" s="1"/>
  <c r="C33" i="9"/>
  <c r="C22" i="9" s="1"/>
  <c r="D33" i="9"/>
  <c r="D22" i="9" s="1"/>
  <c r="E22" i="65"/>
  <c r="I33" i="65"/>
  <c r="I22" i="65" s="1"/>
  <c r="H22" i="10"/>
  <c r="E33" i="9"/>
  <c r="E22" i="9" s="1"/>
  <c r="L22" i="102"/>
  <c r="C38" i="98"/>
  <c r="E38" i="98" s="1"/>
  <c r="E34" i="8"/>
  <c r="G33" i="9"/>
  <c r="G22" i="9" s="1"/>
  <c r="C9" i="63"/>
  <c r="L22" i="10"/>
  <c r="G33" i="7"/>
  <c r="D22" i="78"/>
  <c r="I33" i="78"/>
  <c r="C22" i="11"/>
  <c r="J33" i="9"/>
  <c r="J22" i="9" s="1"/>
  <c r="F22" i="11"/>
  <c r="L33" i="9"/>
  <c r="L22" i="9" s="1"/>
  <c r="J22" i="73"/>
  <c r="Q33" i="73"/>
  <c r="E33" i="6"/>
  <c r="C36" i="63"/>
  <c r="C37" i="63" s="1"/>
  <c r="C38" i="63"/>
  <c r="C39" i="63" s="1"/>
  <c r="C53" i="63"/>
  <c r="C54" i="63"/>
  <c r="C55" i="63"/>
  <c r="C23" i="63"/>
  <c r="C24" i="63" s="1"/>
  <c r="C25" i="63"/>
  <c r="C26" i="63" s="1"/>
  <c r="L22" i="15"/>
  <c r="F33" i="9"/>
  <c r="F22" i="9" s="1"/>
  <c r="K33" i="9"/>
  <c r="K22" i="9" s="1"/>
  <c r="M33" i="9"/>
  <c r="M22" i="9" s="1"/>
  <c r="C22" i="10"/>
  <c r="F22" i="10"/>
  <c r="H33" i="130"/>
  <c r="H22" i="130" s="1"/>
  <c r="G22" i="11"/>
  <c r="D22" i="130"/>
  <c r="G22" i="12"/>
  <c r="E22" i="15"/>
  <c r="K22" i="15" s="1"/>
  <c r="E22" i="11"/>
  <c r="G22" i="17"/>
  <c r="N22" i="15"/>
  <c r="M33" i="125"/>
  <c r="Q33" i="78"/>
  <c r="Q22" i="78" s="1"/>
  <c r="F22" i="6"/>
  <c r="N33" i="9"/>
  <c r="O33" i="9"/>
  <c r="M33" i="122"/>
  <c r="I33" i="73"/>
  <c r="I22" i="73" s="1"/>
  <c r="G33" i="6"/>
  <c r="G22" i="6" s="1"/>
  <c r="H33" i="9"/>
  <c r="H22" i="9" s="1"/>
  <c r="I33" i="9"/>
  <c r="J33" i="12"/>
  <c r="C35" i="63" s="1"/>
  <c r="Q33" i="65"/>
  <c r="F33" i="7"/>
  <c r="S22" i="105" l="1"/>
  <c r="L33" i="5"/>
  <c r="L22" i="5" s="1"/>
  <c r="C22" i="7"/>
  <c r="E28" i="8"/>
  <c r="C27" i="63"/>
  <c r="C28" i="63" s="1"/>
  <c r="I33" i="7"/>
  <c r="J34" i="8"/>
  <c r="H34" i="8"/>
  <c r="I34" i="8"/>
  <c r="O22" i="9"/>
  <c r="C29" i="63"/>
  <c r="C31" i="63" s="1"/>
  <c r="I22" i="9"/>
  <c r="C19" i="63"/>
  <c r="C20" i="63" s="1"/>
  <c r="Q22" i="73"/>
  <c r="D33" i="7"/>
  <c r="J22" i="12"/>
  <c r="N22" i="9"/>
  <c r="Q22" i="65"/>
  <c r="I22" i="78"/>
  <c r="C33" i="6" l="1"/>
  <c r="H33" i="6" s="1"/>
  <c r="I33" i="6" s="1"/>
  <c r="E22" i="6"/>
  <c r="G22" i="7"/>
  <c r="I28" i="8"/>
  <c r="F22" i="7"/>
  <c r="H28" i="8"/>
  <c r="H22" i="7"/>
  <c r="J28" i="8"/>
  <c r="K34" i="8"/>
  <c r="F34" i="8"/>
  <c r="C33" i="63"/>
  <c r="C30" i="63"/>
  <c r="E33" i="7"/>
  <c r="G34" i="8" s="1"/>
  <c r="C22" i="6" l="1"/>
  <c r="H22" i="6" s="1"/>
  <c r="I22" i="6" s="1"/>
  <c r="C11" i="63"/>
  <c r="D12" i="63" s="1"/>
  <c r="D22" i="7"/>
  <c r="F28" i="8"/>
  <c r="I22" i="7"/>
  <c r="K28" i="8"/>
  <c r="C13" i="63"/>
  <c r="C15" i="63" s="1"/>
  <c r="L41" i="101"/>
  <c r="M41" i="101" s="1"/>
  <c r="G41" i="101"/>
  <c r="H41" i="101" s="1"/>
  <c r="O41" i="101" l="1"/>
  <c r="D14" i="63"/>
  <c r="E22" i="7"/>
  <c r="G28" i="8"/>
  <c r="J33" i="6"/>
  <c r="C16" i="63" s="1"/>
  <c r="D17" i="63" s="1"/>
  <c r="C27" i="94"/>
  <c r="D27" i="94"/>
  <c r="D23" i="94"/>
  <c r="C23" i="94"/>
  <c r="D19" i="94"/>
  <c r="C19" i="94"/>
  <c r="D15" i="94"/>
  <c r="C15" i="94"/>
  <c r="D11" i="94"/>
  <c r="C11" i="94"/>
  <c r="E26" i="94"/>
  <c r="E25" i="94"/>
  <c r="E24" i="94"/>
  <c r="E27" i="94" l="1"/>
  <c r="J33" i="7"/>
  <c r="C33" i="8"/>
  <c r="J22" i="6" l="1"/>
  <c r="D34" i="8"/>
  <c r="G41" i="97"/>
  <c r="I41" i="97" s="1"/>
  <c r="N41" i="97"/>
  <c r="M32" i="125" l="1"/>
  <c r="J22" i="7"/>
  <c r="C22" i="8"/>
  <c r="D28" i="8"/>
  <c r="N32" i="9"/>
  <c r="I32" i="9"/>
  <c r="K32" i="5"/>
  <c r="L32" i="9"/>
  <c r="E32" i="6"/>
  <c r="D32" i="6"/>
  <c r="H32" i="4"/>
  <c r="J32" i="5"/>
  <c r="H32" i="5"/>
  <c r="K32" i="6"/>
  <c r="C32" i="7"/>
  <c r="E33" i="8" s="1"/>
  <c r="H32" i="107"/>
  <c r="F32" i="107"/>
  <c r="G32" i="130"/>
  <c r="D32" i="130"/>
  <c r="M32" i="120"/>
  <c r="O32" i="9" l="1"/>
  <c r="F32" i="9"/>
  <c r="D32" i="9"/>
  <c r="G32" i="7"/>
  <c r="I33" i="8" s="1"/>
  <c r="J32" i="9"/>
  <c r="Q32" i="73"/>
  <c r="J32" i="12"/>
  <c r="D32" i="7" s="1"/>
  <c r="F33" i="8" s="1"/>
  <c r="G32" i="6"/>
  <c r="Q32" i="78"/>
  <c r="I32" i="78"/>
  <c r="H32" i="130"/>
  <c r="H32" i="9"/>
  <c r="J33" i="8"/>
  <c r="F32" i="6"/>
  <c r="I32" i="73"/>
  <c r="K32" i="9"/>
  <c r="E32" i="9"/>
  <c r="M32" i="9"/>
  <c r="M32" i="122"/>
  <c r="I32" i="65"/>
  <c r="Q32" i="65"/>
  <c r="L32" i="5"/>
  <c r="C32" i="6" s="1"/>
  <c r="C32" i="9"/>
  <c r="G32" i="9"/>
  <c r="F32" i="7"/>
  <c r="H33" i="8" s="1"/>
  <c r="H32" i="6" l="1"/>
  <c r="I32" i="6" s="1"/>
  <c r="E32" i="7"/>
  <c r="G33" i="8" s="1"/>
  <c r="I32" i="7"/>
  <c r="K33" i="8" s="1"/>
  <c r="J32" i="6" l="1"/>
  <c r="C32" i="8" l="1"/>
  <c r="D33" i="8" s="1"/>
  <c r="J32" i="7"/>
  <c r="H32" i="8" l="1"/>
  <c r="I32" i="8"/>
  <c r="E32" i="8"/>
  <c r="F32" i="8" l="1"/>
  <c r="G32" i="8"/>
  <c r="J32" i="8"/>
  <c r="K32" i="8" l="1"/>
  <c r="F32" i="93"/>
  <c r="C104" i="63" l="1"/>
  <c r="L39" i="101" l="1"/>
  <c r="M39" i="101" s="1"/>
  <c r="L40" i="101"/>
  <c r="M40" i="101" s="1"/>
  <c r="G39" i="101"/>
  <c r="H39" i="101" s="1"/>
  <c r="G40" i="101"/>
  <c r="H40" i="101" s="1"/>
  <c r="N40" i="97"/>
  <c r="G40" i="97"/>
  <c r="I40" i="97" s="1"/>
  <c r="E22" i="94"/>
  <c r="E21" i="94"/>
  <c r="E20" i="94"/>
  <c r="F31" i="93"/>
  <c r="C36" i="98"/>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L14" i="83"/>
  <c r="L15" i="83" s="1"/>
  <c r="L16" i="83" s="1"/>
  <c r="L17" i="83" s="1"/>
  <c r="L18" i="83" s="1"/>
  <c r="L19" i="83" s="1"/>
  <c r="N39" i="97"/>
  <c r="N38" i="97"/>
  <c r="G38" i="97"/>
  <c r="I38" i="97" s="1"/>
  <c r="G39" i="97"/>
  <c r="I39" i="97" s="1"/>
  <c r="E19" i="94"/>
  <c r="E18" i="94"/>
  <c r="E17" i="94"/>
  <c r="E16" i="94"/>
  <c r="L38" i="101"/>
  <c r="M38" i="101" s="1"/>
  <c r="G38" i="101"/>
  <c r="H38" i="101" s="1"/>
  <c r="G19" i="130"/>
  <c r="H19" i="130" s="1"/>
  <c r="G18" i="130"/>
  <c r="H18" i="130" s="1"/>
  <c r="G17" i="130"/>
  <c r="H17" i="130" s="1"/>
  <c r="G16" i="130"/>
  <c r="H16" i="130" s="1"/>
  <c r="G15" i="130"/>
  <c r="H15" i="130" s="1"/>
  <c r="G14" i="130"/>
  <c r="H14" i="130" s="1"/>
  <c r="C35" i="98"/>
  <c r="F30" i="93"/>
  <c r="E34" i="98"/>
  <c r="E14" i="94"/>
  <c r="E13" i="94"/>
  <c r="E12"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15" i="94"/>
  <c r="D18" i="93"/>
  <c r="E18" i="93"/>
  <c r="C18" i="93"/>
  <c r="F29" i="93"/>
  <c r="E22" i="8"/>
  <c r="E10" i="94"/>
  <c r="E9" i="94"/>
  <c r="E8" i="94"/>
  <c r="I22" i="8"/>
  <c r="H22" i="8"/>
  <c r="J22" i="8"/>
  <c r="E11" i="94"/>
  <c r="K22" i="8"/>
  <c r="F22" i="8"/>
  <c r="G22" i="8"/>
  <c r="L37" i="101"/>
  <c r="M37" i="101" s="1"/>
  <c r="G37" i="101"/>
  <c r="H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L36" i="101"/>
  <c r="M36" i="101" s="1"/>
  <c r="G36" i="101"/>
  <c r="H36" i="101" s="1"/>
  <c r="E32" i="98"/>
  <c r="F27" i="93"/>
  <c r="L35" i="101"/>
  <c r="M35" i="101" s="1"/>
  <c r="G35" i="101"/>
  <c r="H35" i="101" s="1"/>
  <c r="N35" i="97"/>
  <c r="G35" i="97"/>
  <c r="I35" i="97" s="1"/>
  <c r="E31" i="98"/>
  <c r="F26" i="93"/>
  <c r="L34" i="101"/>
  <c r="M34" i="101" s="1"/>
  <c r="G34" i="101"/>
  <c r="H34" i="101" s="1"/>
  <c r="N34" i="97"/>
  <c r="G34" i="97"/>
  <c r="I34" i="97" s="1"/>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29" i="98"/>
  <c r="L33" i="101"/>
  <c r="M33" i="101" s="1"/>
  <c r="G33" i="101"/>
  <c r="H33" i="101" s="1"/>
  <c r="N33" i="97"/>
  <c r="G33" i="97"/>
  <c r="I33" i="97" s="1"/>
  <c r="F24" i="93"/>
  <c r="Y32" i="76"/>
  <c r="Y31" i="76"/>
  <c r="N32" i="97"/>
  <c r="G32" i="97"/>
  <c r="I32" i="97" s="1"/>
  <c r="F23" i="93"/>
  <c r="L31" i="101"/>
  <c r="M31" i="101" s="1"/>
  <c r="G31" i="101"/>
  <c r="H31" i="101" s="1"/>
  <c r="N31" i="97"/>
  <c r="G31" i="97"/>
  <c r="I31" i="97" s="1"/>
  <c r="F22" i="93"/>
  <c r="F30" i="101"/>
  <c r="G30" i="101" s="1"/>
  <c r="H30" i="101" s="1"/>
  <c r="L30" i="101"/>
  <c r="M30" i="101" s="1"/>
  <c r="N30" i="97"/>
  <c r="G30" i="97"/>
  <c r="I30" i="97" s="1"/>
  <c r="F21" i="93"/>
  <c r="E25" i="98"/>
  <c r="L29" i="101"/>
  <c r="M29" i="101" s="1"/>
  <c r="G29" i="101"/>
  <c r="H29" i="101" s="1"/>
  <c r="N29" i="97"/>
  <c r="G29" i="97"/>
  <c r="I29" i="97" s="1"/>
  <c r="F20" i="93"/>
  <c r="N28" i="97"/>
  <c r="G28" i="97"/>
  <c r="I28" i="97" s="1"/>
  <c r="M28" i="101"/>
  <c r="H28" i="101"/>
  <c r="O28" i="101" s="1"/>
  <c r="M27" i="101"/>
  <c r="H27" i="101"/>
  <c r="E24" i="98"/>
  <c r="E23" i="98"/>
  <c r="N27" i="97"/>
  <c r="G27" i="97"/>
  <c r="I27" i="97" s="1"/>
  <c r="N26" i="97"/>
  <c r="G26" i="97"/>
  <c r="I26" i="97" s="1"/>
  <c r="L26" i="101"/>
  <c r="M26" i="101" s="1"/>
  <c r="H26" i="101"/>
  <c r="N25" i="97"/>
  <c r="G25" i="97"/>
  <c r="I25" i="97" s="1"/>
  <c r="E20" i="98"/>
  <c r="N24" i="97"/>
  <c r="G24" i="97"/>
  <c r="I24" i="97" s="1"/>
  <c r="N23" i="97"/>
  <c r="G23" i="97"/>
  <c r="I23" i="97" s="1"/>
  <c r="E19" i="98"/>
  <c r="E18" i="98"/>
  <c r="E17" i="98"/>
  <c r="E15" i="98"/>
  <c r="E14" i="98"/>
  <c r="E13" i="98"/>
  <c r="E12" i="98"/>
  <c r="E11" i="98"/>
  <c r="E10" i="98"/>
  <c r="E9" i="98"/>
  <c r="G22" i="97"/>
  <c r="I22" i="97"/>
  <c r="N22" i="97"/>
  <c r="L21" i="101"/>
  <c r="M21" i="101" s="1"/>
  <c r="G21" i="101"/>
  <c r="H21" i="101" s="1"/>
  <c r="O21" i="101" s="1"/>
  <c r="G21" i="97"/>
  <c r="I21" i="97" s="1"/>
  <c r="N21" i="97"/>
  <c r="L20" i="101"/>
  <c r="M20" i="101" s="1"/>
  <c r="G20" i="101"/>
  <c r="H20" i="101" s="1"/>
  <c r="G20" i="97"/>
  <c r="I20" i="97" s="1"/>
  <c r="N20" i="97"/>
  <c r="N19" i="97"/>
  <c r="G19" i="97"/>
  <c r="I19" i="97" s="1"/>
  <c r="L19" i="101"/>
  <c r="M19" i="101" s="1"/>
  <c r="G19" i="101"/>
  <c r="H19" i="101" s="1"/>
  <c r="M18" i="101"/>
  <c r="H18" i="101"/>
  <c r="L18" i="97"/>
  <c r="N18" i="97" s="1"/>
  <c r="G18" i="97"/>
  <c r="I18" i="97" s="1"/>
  <c r="G17" i="97"/>
  <c r="I17" i="97" s="1"/>
  <c r="N17" i="97"/>
  <c r="G16" i="97"/>
  <c r="I16" i="97" s="1"/>
  <c r="N16" i="97"/>
  <c r="H14" i="107"/>
  <c r="F14" i="107"/>
  <c r="M16" i="101"/>
  <c r="H16" i="101"/>
  <c r="L15" i="101"/>
  <c r="M15" i="101" s="1"/>
  <c r="G15" i="101"/>
  <c r="H15" i="101" s="1"/>
  <c r="G15" i="97"/>
  <c r="I15" i="97" s="1"/>
  <c r="N15" i="97"/>
  <c r="G14" i="97"/>
  <c r="I14" i="97" s="1"/>
  <c r="N14" i="97"/>
  <c r="F12" i="93"/>
  <c r="G13" i="97"/>
  <c r="I13" i="97" s="1"/>
  <c r="N13" i="97"/>
  <c r="N12" i="97"/>
  <c r="G12" i="97"/>
  <c r="I12" i="97" s="1"/>
  <c r="O12" i="101"/>
  <c r="L11" i="101"/>
  <c r="M11" i="101" s="1"/>
  <c r="H11" i="101"/>
  <c r="N11" i="97"/>
  <c r="G11" i="97"/>
  <c r="I11" i="97" s="1"/>
  <c r="O37" i="101" l="1"/>
  <c r="O11" i="101"/>
  <c r="O29" i="101"/>
  <c r="O26" i="101"/>
  <c r="M22" i="120"/>
  <c r="F18" i="93"/>
  <c r="K22" i="125"/>
  <c r="O33" i="101"/>
  <c r="O27" i="101"/>
  <c r="O15" i="101"/>
  <c r="E23" i="94"/>
  <c r="C37" i="98"/>
  <c r="E37" i="98" s="1"/>
  <c r="E36" i="98"/>
  <c r="G22" i="110"/>
  <c r="E22" i="125"/>
  <c r="E33" i="98"/>
  <c r="E35" i="98"/>
  <c r="Y25" i="76"/>
  <c r="W15" i="76"/>
  <c r="Y18" i="76"/>
  <c r="Y23" i="76"/>
  <c r="E30" i="98"/>
  <c r="E22" i="83"/>
  <c r="O28" i="83"/>
  <c r="O29" i="83" s="1"/>
  <c r="O30" i="83" s="1"/>
  <c r="U15" i="76"/>
  <c r="V15" i="76"/>
  <c r="Y17" i="76"/>
  <c r="Y21" i="76"/>
  <c r="Y22" i="76"/>
  <c r="Y20" i="76"/>
  <c r="Y33" i="76"/>
  <c r="T15" i="76"/>
  <c r="Y26" i="76"/>
  <c r="Y16" i="76"/>
  <c r="X15" i="76"/>
  <c r="Y19" i="76"/>
  <c r="Y27" i="76"/>
  <c r="Y28" i="76"/>
  <c r="Y29" i="76"/>
  <c r="Y30" i="76"/>
  <c r="Y24" i="76"/>
  <c r="H22" i="83"/>
  <c r="L22" i="83"/>
  <c r="O22" i="83"/>
  <c r="O40" i="101"/>
  <c r="O39" i="101"/>
  <c r="O20" i="101"/>
  <c r="O34" i="101"/>
  <c r="O36" i="101"/>
  <c r="O16" i="101"/>
  <c r="O18" i="101"/>
  <c r="O19" i="101"/>
  <c r="O38" i="101"/>
  <c r="O30" i="101"/>
  <c r="O31" i="101"/>
  <c r="O35" i="101"/>
  <c r="I22" i="110" l="1"/>
  <c r="H22" i="122"/>
  <c r="D22" i="125"/>
  <c r="I22" i="83"/>
  <c r="P22" i="83"/>
  <c r="J22" i="107"/>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28" i="83"/>
  <c r="H29" i="83" s="1"/>
  <c r="H30" i="83" s="1"/>
  <c r="E28" i="83"/>
  <c r="E29" i="83" s="1"/>
  <c r="E30" i="83" s="1"/>
  <c r="D32" i="8"/>
  <c r="I30" i="83" l="1"/>
  <c r="I29" i="83"/>
  <c r="I28" i="83"/>
  <c r="Q22" i="83"/>
  <c r="M22" i="125"/>
  <c r="M22" i="122"/>
  <c r="L28" i="83" l="1"/>
  <c r="O32" i="83"/>
  <c r="O33" i="83" s="1"/>
  <c r="H32" i="83"/>
  <c r="H33" i="83" s="1"/>
  <c r="C12" i="63"/>
  <c r="P28" i="83" l="1"/>
  <c r="Q28" i="83" s="1"/>
  <c r="L29" i="83"/>
  <c r="C83" i="63"/>
  <c r="H34" i="83"/>
  <c r="H35" i="83" s="1"/>
  <c r="H36" i="83" s="1"/>
  <c r="C84" i="63"/>
  <c r="O34" i="83"/>
  <c r="O35" i="83" s="1"/>
  <c r="O36" i="83" s="1"/>
  <c r="P29" i="83" l="1"/>
  <c r="Q29" i="83" s="1"/>
  <c r="L30" i="83"/>
  <c r="P30" i="83" s="1"/>
  <c r="Q30" i="83" s="1"/>
  <c r="C17" i="63"/>
  <c r="D83" i="63"/>
  <c r="H37" i="83"/>
  <c r="H38" i="83" s="1"/>
  <c r="H39" i="83" s="1"/>
  <c r="D84" i="63"/>
  <c r="O37" i="83"/>
  <c r="O38" i="83" s="1"/>
  <c r="O39" i="83" s="1"/>
  <c r="C14" i="63"/>
  <c r="E83" i="63" l="1"/>
  <c r="H40" i="83"/>
  <c r="H41" i="83" s="1"/>
  <c r="H42" i="83" s="1"/>
  <c r="F83" i="63" s="1"/>
  <c r="E84" i="63"/>
  <c r="O40" i="83"/>
  <c r="O41" i="83" s="1"/>
  <c r="O42" i="83" s="1"/>
  <c r="F84" i="63" s="1"/>
  <c r="L32" i="83" l="1"/>
  <c r="P32" i="83" l="1"/>
  <c r="L33" i="83"/>
  <c r="L34" i="83" s="1"/>
  <c r="E32" i="83"/>
  <c r="P34" i="83" l="1"/>
  <c r="L35" i="83"/>
  <c r="P33" i="83"/>
  <c r="C85" i="63"/>
  <c r="I32" i="83"/>
  <c r="Q32" i="83" s="1"/>
  <c r="E33" i="83"/>
  <c r="E34" i="83" s="1"/>
  <c r="P35" i="83" l="1"/>
  <c r="L36" i="83"/>
  <c r="L37" i="83" s="1"/>
  <c r="I34" i="83"/>
  <c r="Q34" i="83" s="1"/>
  <c r="E35" i="83"/>
  <c r="I33" i="83"/>
  <c r="Q33" i="83" s="1"/>
  <c r="C80" i="63" s="1"/>
  <c r="C81" i="63" s="1"/>
  <c r="C82" i="63"/>
  <c r="P37" i="83" l="1"/>
  <c r="L38" i="83"/>
  <c r="P36" i="83"/>
  <c r="D85" i="63"/>
  <c r="I35" i="83"/>
  <c r="Q35" i="83" s="1"/>
  <c r="E36" i="83"/>
  <c r="E37" i="83" s="1"/>
  <c r="P38" i="83" l="1"/>
  <c r="L39" i="83"/>
  <c r="L40" i="83" s="1"/>
  <c r="I37" i="83"/>
  <c r="Q37" i="83" s="1"/>
  <c r="E38" i="83"/>
  <c r="I36" i="83"/>
  <c r="Q36" i="83" s="1"/>
  <c r="D80" i="63" s="1"/>
  <c r="D81" i="63" s="1"/>
  <c r="D82" i="63"/>
  <c r="P40" i="83" l="1"/>
  <c r="L41" i="83"/>
  <c r="I38" i="83"/>
  <c r="Q38" i="83" s="1"/>
  <c r="E39" i="83"/>
  <c r="E40" i="83" s="1"/>
  <c r="E85" i="63"/>
  <c r="P39" i="83"/>
  <c r="P41" i="83" l="1"/>
  <c r="L42" i="83"/>
  <c r="I40" i="83"/>
  <c r="Q40" i="83" s="1"/>
  <c r="E41" i="83"/>
  <c r="E82" i="63"/>
  <c r="I39" i="83"/>
  <c r="Q39" i="83" s="1"/>
  <c r="E80" i="63" s="1"/>
  <c r="E81" i="63" s="1"/>
  <c r="I41" i="83" l="1"/>
  <c r="Q41" i="83" s="1"/>
  <c r="E42" i="83"/>
  <c r="F85" i="63"/>
  <c r="P42" i="83"/>
  <c r="F82" i="63" l="1"/>
  <c r="I42" i="83"/>
  <c r="Q42" i="83" s="1"/>
  <c r="F80" i="63" s="1"/>
  <c r="F81" i="63" s="1"/>
</calcChain>
</file>

<file path=xl/sharedStrings.xml><?xml version="1.0" encoding="utf-8"?>
<sst xmlns="http://schemas.openxmlformats.org/spreadsheetml/2006/main" count="5344" uniqueCount="1778">
  <si>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</si>
  <si>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</si>
  <si>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</si>
  <si>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</si>
  <si>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</si>
  <si>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</si>
  <si>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</si>
  <si>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</si>
  <si>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</si>
  <si>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</si>
  <si>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</si>
  <si>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</si>
  <si>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</si>
  <si>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</si>
  <si>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</si>
  <si>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</si>
  <si>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</si>
  <si>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</si>
  <si>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</si>
  <si>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</si>
  <si>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</si>
  <si>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</si>
  <si>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</si>
  <si>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</si>
  <si>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</si>
  <si>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</si>
  <si>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</si>
  <si>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</si>
  <si>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</si>
  <si>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</si>
  <si>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</si>
  <si>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</si>
  <si>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</si>
  <si>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</si>
  <si>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</si>
  <si>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</si>
  <si>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</si>
  <si>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</si>
  <si>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</si>
  <si>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</si>
  <si>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</si>
  <si>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</si>
  <si>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</si>
  <si>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</si>
  <si>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</si>
  <si>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</si>
  <si>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</si>
  <si>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</si>
  <si>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</si>
  <si>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</si>
  <si>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</si>
  <si>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</si>
  <si>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</si>
  <si>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</si>
  <si>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</si>
  <si>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</si>
  <si>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</si>
  <si>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</si>
  <si>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</si>
  <si>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</si>
  <si>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</si>
  <si>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</si>
  <si>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</si>
  <si>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</si>
  <si>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</si>
  <si>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</si>
  <si>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</si>
  <si>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</si>
  <si>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</si>
  <si>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</si>
  <si>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</si>
  <si>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</si>
  <si>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</si>
  <si>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</si>
  <si>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</si>
  <si>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</si>
  <si>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</si>
  <si>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</si>
  <si>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</si>
  <si>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</si>
  <si>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</si>
  <si>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</si>
  <si>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</si>
  <si>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</si>
  <si>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</si>
  <si>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</si>
  <si>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</si>
  <si>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</si>
  <si>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</si>
  <si>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</si>
  <si>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</si>
  <si>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</si>
  <si>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</si>
  <si>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</si>
  <si>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</si>
  <si>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</si>
  <si>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</si>
  <si>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</si>
  <si>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</si>
  <si>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</si>
  <si>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</si>
  <si>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</si>
  <si>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</si>
  <si>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</si>
  <si>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</si>
  <si>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</si>
  <si>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</si>
  <si>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</si>
  <si>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</si>
  <si>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</si>
  <si>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</si>
  <si>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</si>
  <si>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</si>
  <si>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</si>
  <si>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</si>
  <si>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</si>
  <si>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</si>
  <si>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</si>
  <si>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</si>
  <si>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</si>
  <si>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</si>
  <si>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</si>
  <si>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</si>
  <si>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</si>
  <si>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</si>
  <si>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</si>
  <si>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</si>
  <si>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</si>
  <si>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</si>
  <si>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</si>
  <si>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</si>
  <si>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</si>
  <si>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</si>
  <si>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</si>
  <si>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</si>
  <si>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</si>
  <si>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</si>
  <si>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</si>
  <si>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</si>
  <si>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</si>
  <si>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</si>
  <si>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</si>
  <si>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</si>
  <si>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</si>
  <si>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</si>
  <si>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</si>
  <si>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</si>
  <si>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</si>
  <si>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</si>
  <si>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</si>
  <si>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</si>
  <si>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</si>
  <si>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</si>
  <si>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</si>
  <si>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</si>
  <si>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</si>
  <si>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</si>
  <si>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</si>
  <si>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</si>
  <si>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</si>
  <si>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</si>
  <si>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</si>
  <si>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</si>
  <si>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</si>
  <si>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</si>
  <si>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</si>
  <si>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</si>
  <si>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</si>
  <si>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</si>
  <si>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</si>
  <si>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</si>
  <si>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</si>
  <si>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</si>
  <si>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</si>
  <si>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</si>
  <si>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</si>
  <si>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</si>
  <si>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</si>
  <si>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</si>
  <si>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</si>
  <si>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</si>
  <si>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</si>
  <si>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</si>
  <si>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</si>
  <si>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</si>
  <si>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</si>
  <si>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</si>
  <si>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</si>
  <si>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</si>
  <si>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</si>
  <si>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</si>
  <si>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</si>
  <si>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</si>
  <si>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</si>
  <si>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</si>
  <si>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</si>
  <si>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</si>
  <si>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</si>
  <si>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</si>
  <si>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</si>
  <si>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</si>
  <si>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</si>
  <si>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</si>
  <si>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</si>
  <si>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</si>
  <si>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</si>
  <si>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</si>
  <si>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</si>
  <si>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</si>
  <si>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</si>
  <si>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</si>
  <si>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</si>
  <si>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</si>
  <si>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</si>
  <si>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</si>
  <si>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</si>
  <si>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</si>
  <si>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</si>
  <si>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</si>
  <si>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</si>
  <si>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</si>
  <si>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</si>
  <si>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</si>
  <si>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</si>
  <si>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</si>
  <si>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</si>
  <si>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</si>
  <si>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</si>
  <si>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</si>
  <si>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</si>
  <si>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</si>
  <si>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</si>
  <si>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</si>
  <si>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</si>
  <si>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</si>
  <si>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</si>
  <si>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</si>
  <si>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</si>
  <si>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</si>
  <si>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</si>
  <si>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</si>
  <si>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</si>
  <si>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</si>
  <si>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</si>
  <si>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</si>
  <si>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</si>
  <si>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</si>
  <si>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</si>
  <si>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</si>
  <si>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</si>
  <si>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</si>
  <si>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</si>
  <si>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</si>
  <si>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</si>
  <si>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</si>
  <si>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</si>
  <si>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</si>
  <si>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</si>
  <si>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</si>
  <si>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</si>
  <si>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</si>
  <si>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</si>
  <si>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</si>
  <si>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</si>
  <si>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</si>
  <si>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</si>
  <si>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</si>
  <si>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</si>
  <si>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</si>
  <si>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</si>
  <si>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</si>
  <si>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</si>
  <si>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</si>
  <si>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</si>
  <si>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</si>
  <si>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</si>
  <si>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</si>
  <si>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</si>
  <si>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</si>
  <si>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</si>
  <si>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</si>
  <si>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</si>
  <si>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</si>
  <si>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</si>
  <si>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</si>
  <si>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</si>
  <si>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</si>
  <si>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</si>
  <si>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</si>
  <si>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</si>
  <si>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</si>
  <si>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</si>
  <si>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</si>
  <si>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</si>
  <si>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</si>
  <si>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</si>
  <si>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</si>
  <si>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</si>
  <si>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</si>
  <si>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</si>
  <si>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</si>
  <si>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</si>
  <si>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</si>
  <si>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</si>
  <si>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</si>
  <si>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</si>
  <si>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</si>
  <si>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</si>
  <si>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</si>
  <si>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</si>
  <si>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</si>
  <si>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</si>
  <si>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</si>
  <si>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</si>
  <si>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</si>
  <si>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</si>
  <si>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</si>
  <si>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</si>
  <si>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</si>
  <si>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</si>
  <si>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</si>
  <si>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</si>
  <si>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</si>
  <si>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</si>
  <si>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</si>
  <si>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</si>
  <si>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</si>
  <si>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</si>
  <si>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</si>
  <si>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</si>
  <si>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</si>
  <si>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</si>
  <si>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</si>
  <si>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</si>
  <si>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</si>
  <si>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</si>
  <si>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</si>
  <si>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</si>
  <si>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</si>
  <si>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</si>
  <si>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</si>
  <si>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</si>
  <si>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</si>
  <si>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</si>
  <si>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</si>
  <si>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</si>
  <si>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</si>
  <si>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</si>
  <si>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</si>
  <si>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</si>
  <si>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</si>
  <si>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</si>
  <si>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</si>
  <si>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</si>
  <si>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</si>
  <si>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</si>
  <si>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</si>
  <si>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</si>
  <si>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</si>
  <si>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</si>
  <si>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</si>
  <si>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</si>
  <si>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</si>
  <si>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</si>
  <si>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</si>
  <si>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</si>
  <si>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</si>
  <si>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</si>
  <si>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</si>
  <si>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</si>
  <si>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</si>
  <si>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</si>
  <si>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</si>
  <si>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</si>
  <si>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</si>
  <si>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</si>
  <si>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</si>
  <si>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</si>
  <si>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</si>
  <si>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</si>
  <si>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</si>
  <si>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</si>
  <si>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</si>
  <si>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</si>
  <si>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</si>
  <si>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</si>
  <si>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</si>
  <si>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</si>
  <si>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</si>
  <si>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</si>
  <si>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</si>
  <si>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</si>
  <si>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</si>
  <si>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</si>
  <si>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</si>
  <si>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</si>
  <si>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</si>
  <si>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</si>
  <si>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</si>
  <si>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</si>
  <si>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</si>
  <si>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</si>
  <si>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</si>
  <si>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</si>
  <si>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</si>
  <si>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</si>
  <si>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</si>
  <si>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</si>
  <si>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</si>
  <si>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</si>
  <si>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</si>
  <si>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</si>
  <si>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</si>
  <si>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</si>
  <si>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</si>
  <si>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</si>
  <si>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</si>
  <si>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</si>
  <si>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</si>
  <si>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</si>
  <si>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</si>
  <si>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</si>
  <si>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</si>
  <si>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</si>
  <si>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</si>
  <si>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</si>
  <si>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</si>
  <si>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</si>
  <si>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</si>
  <si>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</si>
  <si>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</si>
  <si>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</si>
  <si>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</si>
  <si>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</si>
  <si>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</si>
  <si>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</si>
  <si>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</si>
  <si>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</si>
  <si>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</si>
  <si>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</si>
  <si>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</si>
  <si>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</si>
  <si>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</si>
  <si>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</si>
  <si>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</si>
  <si>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</si>
  <si>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</si>
  <si>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</si>
  <si>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</si>
  <si>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</si>
  <si>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</si>
  <si>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</si>
  <si>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</si>
  <si>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</si>
  <si>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</si>
  <si>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</si>
  <si>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</si>
  <si>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</si>
  <si>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</si>
  <si>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</si>
  <si>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</si>
  <si>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</si>
  <si>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</si>
  <si>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</si>
  <si>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</si>
  <si>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</si>
  <si>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</si>
  <si>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</si>
  <si>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</si>
  <si>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</si>
  <si>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</si>
  <si>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</si>
  <si>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</si>
  <si>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</si>
  <si>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</si>
  <si>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</si>
  <si>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</si>
  <si>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</si>
  <si>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</si>
  <si>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</si>
  <si>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</si>
  <si>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</si>
  <si>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</si>
  <si>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</si>
  <si>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</si>
  <si>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</si>
  <si>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</si>
  <si>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</si>
  <si>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</si>
  <si>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</si>
  <si>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</si>
  <si>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</si>
  <si>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</si>
  <si>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</si>
  <si>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</si>
  <si>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</si>
  <si>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</si>
  <si>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</si>
  <si>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</si>
  <si>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</si>
  <si>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</si>
  <si>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</si>
  <si>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</si>
  <si>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</si>
  <si>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</si>
  <si>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</si>
  <si>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</si>
  <si>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</si>
  <si>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</si>
  <si>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</si>
  <si>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</si>
  <si>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</si>
  <si>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</si>
  <si>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</si>
  <si>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</si>
  <si>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</si>
  <si>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</si>
  <si>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</si>
  <si>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</si>
  <si>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</si>
  <si>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</si>
  <si>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</si>
  <si>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</si>
  <si>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</si>
  <si>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</si>
  <si>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</si>
  <si>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</si>
  <si>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</si>
  <si>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</si>
  <si>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</si>
  <si>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</si>
  <si>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</si>
  <si>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</si>
  <si>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</si>
  <si>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</si>
  <si>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</si>
  <si>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</si>
  <si>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</si>
  <si>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</si>
  <si>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</si>
  <si>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</si>
  <si>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</si>
  <si>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</si>
  <si>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</si>
  <si>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</si>
  <si>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</si>
  <si>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</si>
  <si>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</si>
  <si>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</si>
  <si>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</si>
  <si>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</si>
  <si>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</si>
  <si>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</si>
  <si>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</si>
  <si>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</si>
  <si>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</si>
  <si>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</si>
  <si>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</si>
  <si>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</si>
  <si>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</si>
  <si>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</si>
  <si>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</si>
  <si>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</si>
  <si>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</si>
  <si>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</si>
  <si>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</si>
  <si>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</si>
  <si>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</si>
  <si>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</si>
  <si>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</si>
  <si>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</si>
  <si>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</si>
  <si>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</si>
  <si>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</si>
  <si>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</si>
  <si>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</si>
  <si>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</si>
  <si>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</si>
  <si>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</si>
  <si>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</si>
  <si>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</si>
  <si>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</si>
  <si>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</si>
  <si>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</si>
  <si>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</si>
  <si>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</si>
  <si>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</si>
  <si>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</si>
  <si>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</si>
  <si>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</si>
  <si>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</si>
  <si>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</si>
  <si>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</si>
  <si>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</si>
  <si>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</si>
  <si>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</si>
  <si>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</si>
  <si>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</si>
  <si>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</si>
  <si>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</si>
  <si>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</si>
  <si>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</si>
  <si>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</si>
  <si>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</si>
  <si>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</si>
  <si>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</si>
  <si>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</si>
  <si>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</si>
  <si>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</si>
  <si>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</si>
  <si>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</si>
  <si>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</si>
  <si>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</si>
  <si>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</si>
  <si>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</si>
  <si>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</si>
  <si>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</si>
  <si>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</si>
  <si>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</si>
  <si>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</si>
  <si>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</si>
  <si>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</si>
  <si>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</si>
  <si>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</si>
  <si>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</si>
  <si>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</si>
  <si>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</si>
  <si>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</si>
  <si>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</si>
  <si>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</si>
  <si>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</si>
  <si>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</si>
  <si>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</si>
  <si>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</si>
  <si>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</si>
  <si>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</si>
  <si>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</si>
  <si>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</si>
  <si>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</si>
  <si>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</si>
  <si>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</si>
  <si>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</si>
  <si>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</si>
  <si>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</si>
  <si>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</si>
  <si>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</si>
  <si>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</si>
  <si>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</si>
  <si>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</si>
  <si>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</si>
  <si>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</si>
  <si>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</si>
  <si>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</si>
  <si>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</si>
  <si>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</si>
  <si>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</si>
  <si>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</si>
  <si>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</si>
  <si>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</si>
  <si>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</si>
  <si>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</si>
  <si>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</si>
  <si>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</si>
  <si>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</si>
  <si>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</si>
  <si>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</si>
  <si>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</si>
  <si>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</si>
  <si>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</si>
  <si>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</si>
  <si>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</si>
  <si>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</si>
  <si>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</si>
  <si>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</si>
  <si>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</si>
  <si>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</si>
  <si>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</si>
  <si>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</si>
  <si>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</si>
  <si>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</si>
  <si>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</si>
  <si>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</si>
  <si>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</si>
  <si>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</si>
  <si>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</si>
  <si>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</si>
  <si>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</si>
  <si>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</si>
  <si>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</si>
  <si>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</si>
  <si>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</si>
  <si>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</si>
  <si>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</si>
  <si>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</si>
  <si>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</si>
  <si>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</si>
  <si>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</si>
  <si>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</si>
  <si>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</si>
  <si>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</si>
  <si>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</si>
  <si>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</si>
  <si>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</si>
  <si>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</si>
  <si>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</si>
  <si>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</si>
  <si>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</si>
  <si>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</si>
  <si>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</si>
  <si>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</si>
  <si>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</si>
  <si>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</si>
  <si>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</si>
  <si>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</si>
  <si>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</si>
  <si>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03.11.2024</t>
  </si>
  <si>
    <t>06.11.2024</t>
  </si>
  <si>
    <t>20.11.2024</t>
  </si>
  <si>
    <t>21.11.2024</t>
  </si>
  <si>
    <t>24.11.2024</t>
  </si>
  <si>
    <t>27.11.2024</t>
  </si>
  <si>
    <t>04.12.2024</t>
  </si>
  <si>
    <t>18.12.2024</t>
  </si>
  <si>
    <t>19.12.2024</t>
  </si>
  <si>
    <t>22.12.2024</t>
  </si>
  <si>
    <t>25.12.2024</t>
  </si>
  <si>
    <t>01.01.2025</t>
  </si>
  <si>
    <t>15.01.2025</t>
  </si>
  <si>
    <t>16.01.2025</t>
  </si>
  <si>
    <t>22.01.2025</t>
  </si>
  <si>
    <t>26.01.2025</t>
  </si>
  <si>
    <t>29.01.2025</t>
  </si>
  <si>
    <t>05.02.2025</t>
  </si>
  <si>
    <t>19.02.2025</t>
  </si>
  <si>
    <t>20.02.2025</t>
  </si>
  <si>
    <t>23.02.2025</t>
  </si>
  <si>
    <t>26.02.2025</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</si>
  <si>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</si>
  <si>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</si>
  <si>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</si>
  <si>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</si>
  <si>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</si>
  <si>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</si>
  <si>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</si>
  <si>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</si>
  <si>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</si>
  <si>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</si>
  <si>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</si>
  <si>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</si>
  <si>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</si>
  <si>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</si>
  <si>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</si>
  <si>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</si>
  <si>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</si>
  <si>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</si>
  <si>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</si>
  <si>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</si>
  <si>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</si>
  <si>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</si>
  <si>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</si>
  <si>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</si>
  <si>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</si>
  <si>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</si>
  <si>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</si>
  <si>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</si>
  <si>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</si>
  <si>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</si>
  <si>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</si>
  <si>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</si>
  <si>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</si>
  <si>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</si>
  <si>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</si>
  <si>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</si>
  <si>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</si>
  <si>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</si>
  <si>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</si>
  <si>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</si>
  <si>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</si>
  <si>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</si>
  <si>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</si>
  <si>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</si>
  <si>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</si>
  <si>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</si>
  <si>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</si>
  <si>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</si>
  <si>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</si>
  <si>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</si>
  <si>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</si>
  <si>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</si>
  <si>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</si>
  <si>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</si>
  <si>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</si>
  <si>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</si>
  <si>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</si>
  <si>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</si>
  <si>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</si>
  <si>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</si>
  <si>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</si>
  <si>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</si>
  <si>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</si>
  <si>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</si>
  <si>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</si>
  <si>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</si>
  <si>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</si>
  <si>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</si>
  <si>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</si>
  <si>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</si>
  <si>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</si>
  <si>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</si>
  <si>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</si>
  <si>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</si>
  <si>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</si>
  <si>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</si>
  <si>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</si>
  <si>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</si>
  <si>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</si>
  <si>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</si>
  <si>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</si>
  <si>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</si>
  <si>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</si>
  <si>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</si>
  <si>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</si>
  <si>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</si>
  <si>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</si>
  <si>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</si>
  <si>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</si>
  <si>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</si>
  <si>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</si>
  <si>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</si>
  <si>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</si>
  <si>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</si>
  <si>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</si>
  <si>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</si>
  <si>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</si>
  <si>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</si>
  <si>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</si>
  <si>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</si>
  <si>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</si>
  <si>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</si>
  <si>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</si>
  <si>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</si>
  <si>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</si>
  <si>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</si>
  <si>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</si>
  <si>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</si>
  <si>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</si>
  <si>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</si>
  <si>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</si>
  <si>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</si>
  <si>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</si>
  <si>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</si>
  <si>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</si>
  <si>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</si>
  <si>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</si>
  <si>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</si>
  <si>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</si>
  <si>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</si>
  <si>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</si>
  <si>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</si>
  <si>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</si>
  <si>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</si>
  <si>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</si>
  <si>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</si>
  <si>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</si>
  <si>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</si>
  <si>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</si>
  <si>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</si>
  <si>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</si>
  <si>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</si>
  <si>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</si>
  <si>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</si>
  <si>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</si>
  <si>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</si>
  <si>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</si>
  <si>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</si>
  <si>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</si>
  <si>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</si>
  <si>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</si>
  <si>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</si>
  <si>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</si>
  <si>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</si>
  <si>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</si>
  <si>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</si>
  <si>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</si>
  <si>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</si>
  <si>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</si>
  <si>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</si>
  <si>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</si>
  <si>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</si>
  <si>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</si>
  <si>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</si>
  <si>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</si>
  <si>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</si>
  <si>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</si>
  <si>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</si>
  <si>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</si>
  <si>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</si>
  <si>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</si>
  <si>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</si>
  <si>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</si>
  <si>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</si>
  <si>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</si>
  <si>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</si>
  <si>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</si>
  <si>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</si>
  <si>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</si>
  <si>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</si>
  <si>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</si>
  <si>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</si>
  <si>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</si>
  <si>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</si>
  <si>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</si>
  <si>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</si>
  <si>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</si>
  <si>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</si>
  <si>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</si>
  <si>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</si>
  <si>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</si>
  <si>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April</t>
  </si>
  <si>
    <t>June</t>
  </si>
  <si>
    <t>July</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</si>
  <si>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</si>
  <si>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</si>
  <si>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</si>
  <si>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</si>
  <si>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</si>
  <si>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</si>
  <si>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</si>
  <si>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</si>
  <si>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</si>
  <si>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</si>
  <si>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</si>
  <si>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</si>
  <si>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</si>
  <si>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</si>
  <si>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</si>
  <si>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</si>
  <si>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</si>
  <si>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</si>
  <si>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</si>
  <si>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</si>
  <si>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</si>
  <si>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</si>
  <si>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</si>
  <si>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</si>
  <si>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</si>
  <si>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</si>
  <si>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</si>
  <si>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</si>
  <si>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</si>
  <si>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</si>
  <si>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</si>
  <si>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</si>
  <si>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</si>
  <si>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</si>
  <si>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</si>
  <si>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</si>
  <si>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</si>
  <si>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</si>
  <si>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</si>
  <si>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</si>
  <si>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</si>
  <si>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</si>
  <si>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</si>
  <si>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</si>
  <si>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</si>
  <si>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</si>
  <si>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</si>
  <si>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</si>
  <si>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</si>
  <si>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</si>
  <si>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</si>
  <si>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</si>
  <si>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</si>
  <si>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</si>
  <si>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</si>
  <si>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</si>
  <si>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</si>
  <si>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</si>
  <si>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</si>
  <si>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</si>
  <si>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</si>
  <si>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</si>
  <si>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</si>
  <si>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</si>
  <si>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</si>
  <si>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</si>
  <si>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</si>
  <si>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</si>
  <si>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</si>
  <si>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</si>
  <si>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</si>
  <si>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</si>
  <si>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</si>
  <si>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</si>
  <si>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</si>
  <si>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</si>
  <si>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</si>
  <si>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</si>
  <si>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</si>
  <si>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</si>
  <si>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</si>
  <si>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</si>
  <si>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</si>
  <si>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</si>
  <si>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</si>
  <si>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</si>
  <si>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</si>
  <si>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</si>
  <si>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</si>
  <si>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</si>
  <si>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</si>
  <si>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</si>
  <si>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</si>
  <si>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</si>
  <si>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</si>
  <si>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</si>
  <si>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</si>
  <si>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</si>
  <si>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</si>
  <si>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</si>
  <si>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</si>
  <si>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</si>
  <si>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</si>
  <si>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</si>
  <si>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</si>
  <si>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</si>
  <si>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</si>
  <si>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</si>
  <si>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</si>
  <si>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</si>
  <si>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</si>
  <si>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</si>
  <si>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</si>
  <si>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</si>
  <si>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</si>
  <si>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</si>
  <si>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</si>
  <si>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</si>
  <si>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</si>
  <si>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</si>
  <si>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</si>
  <si>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</si>
  <si>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</si>
  <si>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</si>
  <si>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</si>
  <si>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</si>
  <si>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</si>
  <si>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</si>
  <si>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</si>
  <si>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</si>
  <si>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</si>
  <si>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</si>
  <si>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</si>
  <si>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</si>
  <si>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</si>
  <si>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</si>
  <si>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</si>
  <si>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</si>
  <si>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</si>
  <si>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</si>
  <si>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</si>
  <si>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</si>
  <si>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</si>
  <si>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</si>
  <si>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</si>
  <si>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</si>
  <si>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</si>
  <si>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</si>
  <si>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</si>
  <si>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</si>
  <si>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</si>
  <si>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</si>
  <si>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</si>
  <si>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</si>
  <si>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</si>
  <si>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</si>
  <si>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</si>
  <si>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</si>
  <si>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</si>
  <si>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</si>
  <si>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</si>
  <si>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</si>
  <si>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</si>
  <si>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</si>
  <si>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</si>
  <si>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</si>
  <si>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</si>
  <si>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</si>
  <si>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</si>
  <si>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</si>
  <si>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</si>
  <si>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</si>
  <si>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</si>
  <si>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</si>
  <si>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</si>
  <si>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</si>
  <si>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</si>
  <si>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</si>
  <si>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</si>
  <si>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</si>
  <si>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</si>
  <si>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</si>
  <si>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</si>
  <si>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</si>
  <si>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</si>
  <si>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</si>
  <si>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</si>
  <si>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</si>
  <si>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</si>
  <si>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</si>
  <si>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</si>
  <si>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</si>
  <si>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</si>
  <si>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</si>
  <si>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</si>
  <si>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</si>
  <si>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</si>
  <si>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</si>
  <si>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</si>
  <si>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الحسابات المقيدة وغير المقيدة للمصارف الإسلامية (مجمعة) أكتوبر 2025</t>
  </si>
  <si>
    <t>Classification of Restricted &amp; Unrestricted account for Islamic Banks (Consolidated) October 2025</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</si>
  <si>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</si>
  <si>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</si>
  <si>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</si>
  <si>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</si>
  <si>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</si>
  <si>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</si>
  <si>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</si>
  <si>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</si>
  <si>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</si>
  <si>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</si>
  <si>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</si>
  <si>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</si>
  <si>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</si>
  <si>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</si>
  <si>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</si>
  <si>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</si>
  <si>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</si>
  <si>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</si>
  <si>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</si>
  <si>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</si>
  <si>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</si>
  <si>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</si>
  <si>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</si>
  <si>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</si>
  <si>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</si>
  <si>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</si>
  <si>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</si>
  <si>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</si>
  <si>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</si>
  <si>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</si>
  <si>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</si>
  <si>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</si>
  <si>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</si>
  <si>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</si>
  <si>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</si>
  <si>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</si>
  <si>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</si>
  <si>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</si>
  <si>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</si>
  <si>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</si>
  <si>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</si>
  <si>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</si>
  <si>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</si>
  <si>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</si>
  <si>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</si>
  <si>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</si>
  <si>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</si>
  <si>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</si>
  <si>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</si>
  <si>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</si>
  <si>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</si>
  <si>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</si>
  <si>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</si>
  <si>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</si>
  <si>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</si>
  <si>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</si>
  <si>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</si>
  <si>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</si>
  <si>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</si>
  <si>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</si>
  <si>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</si>
  <si>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</si>
  <si>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</si>
  <si>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</si>
  <si>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</si>
  <si>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</si>
  <si>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</si>
  <si>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</si>
  <si>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</si>
  <si>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</si>
  <si>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</si>
  <si>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</si>
  <si>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</si>
  <si>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</si>
  <si>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</si>
  <si>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</si>
  <si>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</si>
  <si>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</si>
  <si>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</si>
  <si>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</si>
  <si>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</si>
  <si>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</si>
  <si>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</si>
  <si>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</si>
  <si>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</si>
  <si>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</si>
  <si>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</si>
  <si>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</si>
  <si>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</si>
  <si>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</si>
  <si>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</si>
  <si>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</si>
  <si>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</si>
  <si>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</si>
  <si>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</si>
  <si>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</si>
  <si>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</si>
  <si>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</si>
  <si>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</si>
  <si>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</si>
  <si>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</si>
  <si>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</si>
  <si>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</si>
  <si>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</si>
  <si>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</si>
  <si>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</si>
  <si>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</si>
  <si>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</si>
  <si>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</si>
  <si>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</si>
  <si>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</si>
  <si>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</si>
  <si>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</si>
  <si>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</si>
  <si>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</si>
  <si>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</si>
  <si>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</si>
  <si>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</si>
  <si>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</si>
  <si>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</si>
  <si>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</si>
  <si>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</si>
  <si>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</si>
  <si>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</si>
  <si>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</si>
  <si>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</si>
  <si>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</si>
  <si>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</si>
  <si>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</si>
  <si>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</si>
  <si>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</si>
  <si>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</si>
  <si>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</si>
  <si>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</si>
  <si>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</si>
  <si>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</si>
  <si>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</si>
  <si>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</si>
  <si>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</si>
  <si>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</si>
  <si>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</si>
  <si>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</si>
  <si>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</si>
  <si>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</si>
  <si>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</si>
  <si>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</si>
  <si>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</si>
  <si>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</si>
  <si>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</si>
  <si>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</si>
  <si>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</si>
  <si>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</si>
  <si>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</si>
  <si>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</si>
  <si>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</si>
  <si>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</si>
  <si>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</si>
  <si>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</si>
  <si>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</si>
  <si>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</si>
  <si>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</si>
  <si>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</si>
  <si>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</si>
  <si>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</si>
  <si>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</si>
  <si>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</si>
  <si>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</si>
  <si>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</si>
  <si>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</si>
  <si>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</si>
  <si>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</si>
  <si>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</si>
  <si>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</si>
  <si>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</si>
  <si>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</si>
  <si>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</si>
  <si>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</si>
  <si>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</si>
  <si>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</si>
  <si>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</si>
  <si>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</si>
  <si>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</si>
  <si>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</si>
  <si>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</si>
  <si>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</si>
  <si>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</si>
  <si>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</si>
  <si>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</si>
  <si>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</si>
  <si>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</si>
  <si>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</si>
  <si>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</si>
  <si>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</si>
  <si>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</si>
  <si>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</si>
  <si>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</si>
  <si>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</si>
  <si>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</si>
  <si>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</si>
  <si>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</si>
  <si>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</si>
  <si>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</si>
  <si>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</si>
  <si>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</si>
  <si>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</si>
  <si>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</si>
  <si>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</si>
  <si>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</si>
  <si>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</si>
  <si>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</si>
  <si>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</si>
  <si>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</si>
  <si>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</si>
  <si>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</si>
  <si>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</si>
  <si>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</si>
  <si>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</si>
  <si>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</si>
  <si>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</si>
  <si>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</si>
  <si>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</si>
  <si>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</si>
  <si>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</si>
  <si>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</si>
  <si>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</si>
  <si>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</si>
  <si>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</si>
  <si>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</si>
  <si>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</si>
  <si>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</si>
  <si>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</si>
  <si>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</si>
  <si>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</si>
  <si>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</si>
  <si>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</si>
  <si>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</si>
  <si>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</si>
  <si>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</si>
  <si>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</si>
  <si>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</si>
  <si>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</si>
  <si>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</si>
  <si>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</si>
  <si>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</si>
  <si>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</si>
  <si>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</si>
  <si>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</si>
  <si>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</si>
  <si>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</si>
  <si>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</si>
  <si>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</si>
  <si>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</si>
  <si>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</si>
  <si>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</si>
  <si>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</si>
  <si>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</si>
  <si>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</si>
  <si>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</si>
  <si>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</si>
  <si>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</si>
  <si>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</si>
  <si>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</si>
  <si>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</si>
  <si>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</si>
  <si>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</si>
  <si>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</si>
  <si>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</si>
  <si>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</si>
  <si>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</si>
  <si>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</si>
  <si>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</si>
  <si>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</si>
  <si>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</si>
  <si>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</si>
  <si>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</si>
  <si>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</si>
  <si>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</si>
  <si>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</si>
  <si>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</si>
  <si>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</si>
  <si>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</si>
  <si>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</si>
  <si>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</si>
  <si>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</si>
  <si>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</si>
  <si>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</si>
  <si>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</si>
  <si>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</si>
  <si>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</si>
  <si>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</si>
  <si>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</si>
  <si>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</si>
  <si>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</si>
  <si>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</si>
  <si>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Q2 2025</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</si>
  <si>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</si>
  <si>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</si>
  <si>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</si>
  <si>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</si>
  <si>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</si>
  <si>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</si>
  <si>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</si>
  <si>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</si>
  <si>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</si>
  <si>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</si>
  <si>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</si>
  <si>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</si>
  <si>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</si>
  <si>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</si>
  <si>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</si>
  <si>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</si>
  <si>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</si>
  <si>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</si>
  <si>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</si>
  <si>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</si>
  <si>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</si>
  <si>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</si>
  <si>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</si>
  <si>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</si>
  <si>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</si>
  <si>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</si>
  <si>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</si>
  <si>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</si>
  <si>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</si>
  <si>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2024*</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</si>
  <si>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</si>
  <si>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</si>
  <si>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</si>
  <si>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</si>
  <si>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</si>
  <si>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</si>
  <si>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</si>
  <si>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</si>
  <si>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</si>
  <si>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</si>
  <si>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</si>
  <si>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</si>
  <si>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</si>
  <si>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</si>
  <si>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</si>
  <si>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</si>
  <si>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</si>
  <si>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</si>
  <si>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</si>
  <si>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</si>
  <si>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</si>
  <si>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</si>
  <si>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</si>
  <si>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</si>
  <si>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</si>
  <si>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</si>
  <si>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</si>
  <si>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</si>
  <si>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</si>
  <si>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</si>
  <si>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</si>
  <si>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</si>
  <si>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</si>
  <si>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</si>
  <si>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</si>
  <si>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</si>
  <si>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</si>
  <si>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</si>
  <si>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</si>
  <si>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</si>
  <si>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</si>
  <si>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</si>
  <si>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</si>
  <si>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</si>
  <si>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</si>
  <si>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</si>
  <si>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</si>
  <si>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</si>
  <si>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</si>
  <si>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</si>
  <si>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</si>
  <si>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</si>
  <si>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</si>
  <si>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</si>
  <si>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</si>
  <si>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</si>
  <si>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</si>
  <si>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</si>
  <si>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</si>
  <si>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</si>
  <si>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</si>
  <si>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</si>
  <si>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</si>
  <si>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</si>
  <si>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</si>
  <si>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</si>
  <si>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</si>
  <si>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</si>
  <si>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</si>
  <si>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</si>
  <si>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</si>
  <si>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</si>
  <si>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</si>
  <si>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</si>
  <si>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</si>
  <si>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</si>
  <si>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</si>
  <si>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</si>
  <si>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</si>
  <si>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</si>
  <si>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</si>
  <si>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</si>
  <si>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</si>
  <si>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</si>
  <si>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</si>
  <si>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</si>
  <si>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</si>
  <si>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</si>
  <si>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</si>
  <si>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</si>
  <si>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</si>
  <si>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</si>
  <si>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</si>
  <si>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</si>
  <si>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</si>
  <si>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</si>
  <si>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</si>
  <si>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</si>
  <si>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</si>
  <si>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</si>
  <si>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</si>
  <si>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</si>
  <si>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</si>
  <si>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</si>
  <si>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</si>
  <si>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</si>
  <si>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</si>
  <si>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</si>
  <si>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</si>
  <si>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</si>
  <si>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</si>
  <si>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</si>
  <si>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</si>
  <si>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</si>
  <si>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</si>
  <si>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</si>
  <si>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</si>
  <si>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</si>
  <si>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</si>
  <si>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</si>
  <si>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</si>
  <si>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</si>
  <si>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</si>
  <si>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</si>
  <si>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</si>
  <si>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</si>
  <si>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</si>
  <si>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</si>
  <si>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</si>
  <si>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</si>
  <si>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</si>
  <si>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</si>
  <si>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</si>
  <si>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</si>
  <si>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</si>
  <si>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</si>
  <si>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</si>
  <si>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</si>
  <si>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</si>
  <si>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</si>
  <si>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</si>
  <si>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</si>
  <si>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</si>
  <si>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</si>
  <si>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</si>
  <si>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</si>
  <si>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</si>
  <si>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</si>
  <si>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</si>
  <si>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</si>
  <si>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</si>
  <si>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</si>
  <si>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</si>
  <si>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</si>
  <si>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</si>
  <si>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</si>
  <si>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</si>
  <si>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</si>
  <si>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</si>
  <si>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</si>
  <si>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</si>
  <si>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</si>
  <si>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</si>
  <si>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</si>
  <si>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</si>
  <si>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</si>
  <si>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</si>
  <si>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</si>
  <si>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</si>
  <si>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</si>
  <si>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</si>
  <si>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</si>
  <si>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</si>
  <si>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</si>
  <si>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</si>
  <si>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</si>
  <si>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</si>
  <si>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</si>
  <si>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</si>
  <si>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</si>
  <si>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</si>
  <si>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</si>
  <si>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</si>
  <si>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</si>
  <si>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</si>
  <si>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</si>
  <si>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</si>
  <si>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</si>
  <si>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</si>
  <si>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</si>
  <si>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</si>
  <si>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</si>
  <si>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</si>
  <si>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</si>
  <si>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</si>
  <si>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</si>
  <si>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</si>
  <si>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</si>
  <si>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</si>
  <si>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</si>
  <si>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</si>
  <si>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</si>
  <si>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</si>
  <si>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</si>
  <si>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</si>
  <si>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</si>
  <si>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</si>
  <si>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</si>
  <si>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</si>
  <si>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</si>
  <si>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</si>
  <si>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</si>
  <si>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</si>
  <si>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</si>
  <si>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</si>
  <si>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</si>
  <si>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</si>
  <si>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</si>
  <si>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</si>
  <si>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</si>
  <si>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</si>
  <si>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</si>
  <si>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</si>
  <si>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</si>
  <si>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</si>
  <si>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</si>
  <si>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</si>
  <si>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</si>
  <si>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</si>
  <si>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</si>
  <si>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</si>
  <si>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</si>
  <si>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</si>
  <si>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</si>
  <si>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</si>
  <si>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</si>
  <si>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</si>
  <si>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</si>
  <si>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</si>
  <si>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</si>
  <si>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</si>
  <si>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</si>
  <si>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</si>
  <si>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</si>
  <si>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</si>
  <si>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</si>
  <si>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</si>
  <si>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</si>
  <si>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</si>
  <si>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</si>
  <si>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</si>
  <si>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</si>
  <si>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</si>
  <si>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2023  Q3</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</si>
  <si>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</si>
  <si>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</si>
  <si>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</si>
  <si>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</si>
  <si>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</si>
  <si>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</si>
  <si>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</si>
  <si>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</si>
  <si>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</si>
  <si>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</si>
  <si>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</si>
  <si>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</si>
  <si>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</si>
  <si>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</si>
  <si>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</si>
  <si>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</si>
  <si>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</si>
  <si>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</si>
  <si>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</si>
  <si>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</si>
  <si>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</si>
  <si>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</si>
  <si>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</si>
  <si>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</si>
  <si>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</si>
  <si>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</si>
  <si>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</si>
  <si>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</si>
  <si>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</si>
  <si>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</si>
  <si>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</si>
  <si>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</si>
  <si>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</si>
  <si>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</si>
  <si>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</si>
  <si>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</si>
  <si>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</si>
  <si>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</si>
  <si>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</si>
  <si>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</si>
  <si>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</si>
  <si>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</si>
  <si>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</si>
  <si>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</si>
  <si>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</si>
  <si>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</si>
  <si>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</si>
  <si>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</si>
  <si>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</si>
  <si>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</si>
  <si>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</si>
  <si>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</si>
  <si>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</si>
  <si>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</si>
  <si>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</si>
  <si>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</si>
  <si>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</si>
  <si>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</si>
  <si>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أكتوبر 2025</t>
    </r>
    <r>
      <rPr>
        <b/>
        <sz val="14"/>
        <rFont val="Arial (Arabic)"/>
        <family val="2"/>
        <charset val="178"/>
      </rPr>
      <t xml:space="preserve"> - 1/</t>
    </r>
  </si>
  <si>
    <r>
      <t>Islamic Retail Banks - Rates of Profit on Personal and Business Loans by Banks -</t>
    </r>
    <r>
      <rPr>
        <b/>
        <sz val="14"/>
        <rFont val="Arial"/>
        <family val="2"/>
      </rPr>
      <t xml:space="preserve"> October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</si>
  <si>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</si>
  <si>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</si>
  <si>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أكتوبر 2025</t>
    </r>
    <r>
      <rPr>
        <b/>
        <sz val="14"/>
        <rFont val="Arial (Arabic)"/>
        <family val="2"/>
        <charset val="178"/>
      </rPr>
      <t xml:space="preserve"> - 1/</t>
    </r>
  </si>
  <si>
    <r>
      <t>Conventional Retail Banks - Interest Rates on Personal and Business Loans by Banks -</t>
    </r>
    <r>
      <rPr>
        <b/>
        <sz val="14"/>
        <rFont val="Arial"/>
        <family val="2"/>
      </rPr>
      <t xml:space="preserve"> October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</si>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</sst>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 \ \ \ ;\-#,##0\ \ \ \ ;\-\-\ \ \ "/>
    <numFmt numFmtId="230" formatCode="#,##0.0\ \ \ \ \ ;\-#,##0.0\ \ \ \ \ \ \ "/>
  </numFmts>
  <fonts count="83">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family val="2"/>
    </font>
    <font>
      <b/>
      <sz val="13"/>
      <name val="Arial"/>
      <family val="2"/>
      <charset val="178"/>
    </font>
    <font>
      <sz val="11"/>
      <name val="Calibri"/>
      <family val="2"/>
      <scheme val="minor"/>
    </font>
    <font>
      <sz val="10.5"/>
      <name val="Arial"/>
      <family val="2"/>
    </font>
    <font>
      <sz val="1"/>
      <name val="Arial"/>
      <family val="2"/>
      <charset val="178"/>
    </font>
    <font>
      <b/>
      <sz val="15"/>
      <name val="Arial"/>
      <family val="2"/>
      <charset val="178"/>
    </font>
    <font>
      <sz val="14"/>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6">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xf numFmtId="9" fontId="51" fillId="0" borderId="0" applyFont="0" applyFill="0" applyBorder="0" applyAlignment="0" applyProtection="0"/>
  </cellStyleXfs>
  <cellXfs count="2041">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226" fontId="0" fillId="0" borderId="0" xfId="30" applyNumberFormat="1" applyFont="1"/>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4" fontId="0" fillId="0" borderId="0" xfId="22" applyNumberFormat="1" applyFont="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29" fontId="22" fillId="0" borderId="11" xfId="0" applyNumberFormat="1" applyFont="1" applyFill="1" applyBorder="1" applyAlignment="1">
      <protection locked="0" hidden="1"/>
    </xf>
    <xf numFmtId="229" fontId="22" fillId="0" borderId="8" xfId="0" applyNumberFormat="1" applyFont="1" applyFill="1" applyBorder="1" applyAlignment="1">
      <protection locked="0" hidden="1"/>
    </xf>
    <xf numFmtId="230"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226" fontId="0" fillId="0" borderId="0" xfId="35" applyNumberFormat="1" applyFont="1"/>
    <xf numFmtId="168" fontId="22" fillId="0" borderId="8" xfId="26"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52"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53" fillId="0" borderId="0" xfId="29" applyFont="1"/>
    <xf numFmtId="0" fontId="31" fillId="0" borderId="23" xfId="29" applyFont="1" applyBorder="1" applyAlignment="1">
      <alignment horizontal="right" wrapText="1"/>
    </xf>
    <xf numFmtId="0" fontId="22" fillId="0" borderId="23" xfId="29" applyFont="1" applyBorder="1" applyAlignment="1">
      <alignment horizontal="right" wrapText="1"/>
    </xf>
    <xf numFmtId="0" fontId="5" fillId="0" borderId="0" xfId="29" applyFont="1" applyAlignment="1">
      <alignment horizontal="left" vertical="center"/>
    </xf>
    <xf numFmtId="166" fontId="8" fillId="0" borderId="0" xfId="0" applyFont="1" applyFill="1" applyAlignment="1">
      <alignment horizontal="centerContinuous"/>
      <protection locked="0" hidden="1"/>
    </xf>
    <xf numFmtId="166" fontId="52"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2" fillId="0" borderId="0" xfId="22" applyFont="1" applyAlignment="1">
      <alignment horizontal="centerContinuous"/>
    </xf>
    <xf numFmtId="0" fontId="52" fillId="0" borderId="0" xfId="22" applyFont="1" applyAlignment="1">
      <alignment horizontal="centerContinuous" vertical="top"/>
    </xf>
    <xf numFmtId="166" fontId="0" fillId="0" borderId="0" xfId="0" applyFill="1" applyAlignment="1">
      <alignment horizontal="centerContinuous"/>
      <protection locked="0" hidden="1"/>
    </xf>
    <xf numFmtId="166" fontId="0" fillId="0" borderId="0" xfId="0"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6"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0" fillId="0" borderId="7" xfId="0" applyNumberFormat="1" applyFill="1" applyBorder="1" applyAlignment="1" applyProtection="1"/>
    <xf numFmtId="0" fontId="0" fillId="0" borderId="7" xfId="0" applyNumberFormat="1" applyFill="1" applyBorder="1" applyAlignment="1" applyProtection="1">
      <alignment vertical="top"/>
    </xf>
    <xf numFmtId="165" fontId="0" fillId="0" borderId="0" xfId="0" applyNumberFormat="1" applyFill="1" applyAlignment="1" applyProtection="1">
      <alignment horizontal="right"/>
    </xf>
    <xf numFmtId="0" fontId="0" fillId="0" borderId="0" xfId="0" applyNumberFormat="1" applyFill="1" applyAlignment="1" applyProtection="1">
      <alignment horizontal="centerContinuous"/>
    </xf>
    <xf numFmtId="165" fontId="0" fillId="0" borderId="0" xfId="0" applyNumberForma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7"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2" fillId="0" borderId="0" xfId="8" applyFont="1" applyAlignment="1">
      <alignment horizontal="centerContinuous"/>
    </xf>
    <xf numFmtId="0" fontId="11" fillId="0" borderId="0" xfId="19" applyFont="1" applyAlignment="1">
      <alignment horizontal="centerContinuous" vertical="center"/>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212" fontId="44"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58"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58" fillId="0" borderId="11" xfId="2" applyNumberFormat="1" applyFont="1" applyFill="1" applyBorder="1" applyAlignment="1" applyProtection="1"/>
    <xf numFmtId="225" fontId="58"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7"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59" fillId="0" borderId="7" xfId="26" applyFont="1" applyFill="1" applyBorder="1" applyAlignment="1" applyProtection="1">
      <alignment vertical="center"/>
    </xf>
    <xf numFmtId="166" fontId="59" fillId="0" borderId="0" xfId="26" applyFont="1" applyFill="1" applyAlignment="1" applyProtection="1">
      <alignment vertical="center"/>
    </xf>
    <xf numFmtId="0" fontId="12" fillId="0" borderId="0" xfId="26" applyNumberFormat="1" applyFont="1" applyFill="1" applyAlignment="1" applyProtection="1">
      <alignment horizontal="center"/>
    </xf>
    <xf numFmtId="166" fontId="60"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7" fillId="0" borderId="0" xfId="0" applyNumberFormat="1" applyFont="1" applyFill="1" applyAlignment="1" applyProtection="1">
      <alignment horizontal="centerContinuous" readingOrder="1"/>
    </xf>
    <xf numFmtId="0" fontId="57"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4" fillId="0" borderId="12" xfId="0" applyFont="1" applyFill="1" applyBorder="1" applyAlignment="1" applyProtection="1">
      <alignment horizontal="center"/>
    </xf>
    <xf numFmtId="206" fontId="44" fillId="0" borderId="12" xfId="0" applyNumberFormat="1" applyFont="1" applyFill="1" applyBorder="1" applyAlignment="1" applyProtection="1">
      <alignment horizontal="center"/>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206" fontId="44"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4"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0" fillId="0" borderId="7" xfId="0"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0" fillId="0" borderId="7" xfId="0" applyNumberFormat="1" applyFill="1" applyBorder="1" applyAlignment="1" applyProtection="1">
      <alignment horizontal="right" readingOrder="2"/>
    </xf>
    <xf numFmtId="0" fontId="0" fillId="0" borderId="0" xfId="0" applyNumberForma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0" fillId="0" borderId="0" xfId="0" applyNumberForma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0" fillId="0" borderId="7" xfId="0" applyNumberFormat="1" applyFill="1" applyBorder="1" applyAlignment="1">
      <protection locked="0" hidden="1"/>
    </xf>
    <xf numFmtId="206" fontId="0" fillId="0" borderId="0" xfId="0" applyNumberForma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0" fillId="0" borderId="0" xfId="0" applyNumberFormat="1" applyFill="1" applyAlignment="1">
      <protection locked="0" hidden="1"/>
    </xf>
    <xf numFmtId="198" fontId="66" fillId="0" borderId="0" xfId="0" applyNumberFormat="1" applyFont="1" applyFill="1" applyAlignment="1">
      <alignment horizontal="right" indent="1"/>
      <protection locked="0" hidden="1"/>
    </xf>
    <xf numFmtId="206" fontId="0" fillId="0" borderId="0" xfId="0" applyNumberForma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0" xfId="26" applyNumberFormat="1" applyFont="1" applyFill="1" applyAlignment="1" applyProtection="1">
      <alignment horizontal="centerContinuous" readingOrder="2"/>
    </xf>
    <xf numFmtId="166" fontId="67"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68"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68" fillId="0" borderId="43" xfId="2" applyNumberFormat="1" applyFont="1" applyFill="1" applyBorder="1" applyAlignment="1" applyProtection="1">
      <alignment vertical="center"/>
    </xf>
    <xf numFmtId="225" fontId="68"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2"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0" fillId="0" borderId="0" xfId="0" applyNumberForma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0" fillId="0" borderId="0" xfId="0"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0" fillId="0" borderId="7" xfId="0" applyFill="1" applyBorder="1" applyAlignment="1">
      <alignment horizontal="right" readingOrder="2"/>
      <protection locked="0" hidden="1"/>
    </xf>
    <xf numFmtId="166" fontId="0" fillId="0" borderId="0" xfId="0"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0" fillId="0" borderId="13" xfId="0" applyNumberFormat="1" applyFill="1" applyBorder="1" applyAlignment="1" applyProtection="1"/>
    <xf numFmtId="0" fontId="0" fillId="0" borderId="9" xfId="0" applyNumberFormat="1" applyFill="1" applyBorder="1" applyAlignment="1" applyProtection="1"/>
    <xf numFmtId="0" fontId="0" fillId="0" borderId="19" xfId="0" applyNumberFormat="1" applyFill="1" applyBorder="1" applyAlignment="1" applyProtection="1"/>
    <xf numFmtId="0" fontId="0" fillId="0" borderId="9" xfId="0" applyNumberForma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0" fillId="0" borderId="1" xfId="0" applyNumberForma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6" fillId="0" borderId="0" xfId="0" applyFont="1" applyFill="1" applyAlignment="1">
      <alignment horizontal="centerContinuous"/>
      <protection locked="0" hidden="1"/>
    </xf>
    <xf numFmtId="166" fontId="69"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68"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0" fillId="0" borderId="0" xfId="0" applyNumberForma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0" fillId="0" borderId="0" xfId="0" applyNumberFormat="1" applyFill="1" applyAlignment="1" applyProtection="1"/>
    <xf numFmtId="0" fontId="71"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44"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4" fillId="0" borderId="8" xfId="21" applyFont="1" applyBorder="1" applyAlignment="1">
      <alignment horizont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4" fillId="0" borderId="0" xfId="0" applyFont="1" applyFill="1" applyAlignment="1">
      <protection locked="0" hidden="1"/>
    </xf>
    <xf numFmtId="166" fontId="74"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6" fillId="0" borderId="0" xfId="0" applyFont="1" applyFill="1" applyAlignment="1">
      <protection locked="0" hidden="1"/>
    </xf>
    <xf numFmtId="166" fontId="76" fillId="0" borderId="31" xfId="0" applyFont="1" applyFill="1" applyBorder="1" applyAlignment="1">
      <protection locked="0" hidden="1"/>
    </xf>
    <xf numFmtId="166" fontId="76" fillId="0" borderId="32" xfId="0" applyFont="1" applyFill="1" applyBorder="1" applyAlignment="1">
      <protection locked="0" hidden="1"/>
    </xf>
    <xf numFmtId="166" fontId="76"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7"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7" fillId="0" borderId="0" xfId="0" applyFont="1" applyFill="1" applyAlignment="1">
      <alignment horizontal="centerContinuous"/>
      <protection locked="0" hidden="1"/>
    </xf>
    <xf numFmtId="166" fontId="76" fillId="0" borderId="34" xfId="0" applyFont="1" applyFill="1" applyBorder="1" applyAlignment="1">
      <alignment vertical="top"/>
      <protection locked="0" hidden="1"/>
    </xf>
    <xf numFmtId="166" fontId="78" fillId="0" borderId="0" xfId="0" applyFont="1" applyFill="1" applyAlignment="1">
      <alignment readingOrder="1"/>
      <protection locked="0" hidden="1"/>
    </xf>
    <xf numFmtId="166" fontId="54" fillId="0" borderId="0" xfId="0" applyFont="1" applyFill="1" applyAlignment="1">
      <alignment vertical="top"/>
      <protection locked="0" hidden="1"/>
    </xf>
    <xf numFmtId="166" fontId="79" fillId="0" borderId="0" xfId="0" applyFont="1" applyFill="1" applyAlignment="1">
      <alignment horizontal="center" vertical="top"/>
      <protection locked="0" hidden="1"/>
    </xf>
    <xf numFmtId="166" fontId="80" fillId="0" borderId="0" xfId="0" applyFont="1" applyFill="1" applyAlignment="1">
      <alignment horizontal="right" readingOrder="2"/>
      <protection locked="0" hidden="1"/>
    </xf>
    <xf numFmtId="166" fontId="76" fillId="0" borderId="35" xfId="0" applyFont="1" applyFill="1" applyBorder="1" applyAlignment="1">
      <alignment vertical="top"/>
      <protection locked="0" hidden="1"/>
    </xf>
    <xf numFmtId="166" fontId="76" fillId="0" borderId="0" xfId="0" applyFont="1" applyFill="1" applyAlignment="1">
      <alignment vertical="top"/>
      <protection locked="0" hidden="1"/>
    </xf>
    <xf numFmtId="166" fontId="76" fillId="0" borderId="34" xfId="0" applyFont="1" applyFill="1" applyBorder="1" applyAlignment="1">
      <protection locked="0" hidden="1"/>
    </xf>
    <xf numFmtId="166" fontId="34" fillId="0" borderId="0" xfId="0" applyFont="1" applyFill="1" applyAlignment="1">
      <protection locked="0" hidden="1"/>
    </xf>
    <xf numFmtId="166" fontId="79" fillId="0" borderId="0" xfId="0" applyFont="1" applyFill="1" applyAlignment="1">
      <protection locked="0" hidden="1"/>
    </xf>
    <xf numFmtId="166" fontId="79" fillId="0" borderId="0" xfId="0" applyFont="1" applyFill="1" applyAlignment="1">
      <alignment horizontal="center"/>
      <protection locked="0" hidden="1"/>
    </xf>
    <xf numFmtId="166" fontId="81" fillId="0" borderId="0" xfId="0" applyFont="1" applyFill="1" applyAlignment="1">
      <alignment horizontal="right"/>
      <protection locked="0" hidden="1"/>
    </xf>
    <xf numFmtId="166" fontId="76" fillId="0" borderId="35" xfId="0" applyFont="1" applyFill="1" applyBorder="1" applyAlignment="1">
      <protection locked="0" hidden="1"/>
    </xf>
    <xf numFmtId="166" fontId="76" fillId="0" borderId="36" xfId="0" applyFont="1" applyFill="1" applyBorder="1" applyAlignment="1">
      <protection locked="0" hidden="1"/>
    </xf>
    <xf numFmtId="166" fontId="76" fillId="0" borderId="36" xfId="0" applyFont="1" applyFill="1" applyBorder="1" applyAlignment="1">
      <alignment horizontal="right"/>
      <protection locked="0" hidden="1"/>
    </xf>
    <xf numFmtId="166" fontId="82" fillId="0" borderId="36" xfId="0" applyFont="1" applyFill="1" applyBorder="1" applyAlignment="1">
      <alignment horizontal="right"/>
      <protection locked="0" hidden="1"/>
    </xf>
    <xf numFmtId="166" fontId="82"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6" fillId="0" borderId="36" xfId="0" applyFont="1" applyFill="1" applyBorder="1" applyAlignment="1">
      <alignment wrapText="1"/>
      <protection locked="0" hidden="1"/>
    </xf>
    <xf numFmtId="166" fontId="76" fillId="0" borderId="37" xfId="0" applyFont="1" applyFill="1" applyBorder="1" applyAlignment="1">
      <protection locked="0" hidden="1"/>
    </xf>
    <xf numFmtId="166" fontId="76" fillId="0" borderId="38" xfId="0" applyFont="1" applyFill="1" applyBorder="1" applyAlignment="1">
      <protection locked="0" hidden="1"/>
    </xf>
    <xf numFmtId="166" fontId="76" fillId="0" borderId="38" xfId="0" applyFont="1" applyFill="1" applyBorder="1" applyAlignment="1">
      <alignment horizontal="right"/>
      <protection locked="0" hidden="1"/>
    </xf>
    <xf numFmtId="166" fontId="76" fillId="0" borderId="39" xfId="0" applyFont="1" applyFill="1" applyBorder="1" applyAlignment="1">
      <protection locked="0" hidden="1"/>
    </xf>
    <xf numFmtId="166" fontId="76" fillId="0" borderId="0" xfId="0" applyFont="1" applyFill="1" applyAlignment="1">
      <alignment horizontal="right"/>
      <protection locked="0" hidden="1"/>
    </xf>
    <xf numFmtId="166" fontId="76"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81"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212" fontId="9" fillId="0" borderId="9" xfId="0" applyNumberFormat="1" applyFont="1" applyFill="1" applyBorder="1" applyAlignment="1" applyProtection="1">
      <alignment horizontal="right"/>
    </xf>
    <xf numFmtId="212" fontId="8" fillId="0" borderId="9" xfId="0" applyNumberFormat="1" applyFont="1" applyFill="1" applyBorder="1" applyAlignment="1" applyProtection="1">
      <alignment horizontal="right"/>
    </xf>
    <xf numFmtId="212" fontId="44" fillId="0" borderId="9" xfId="0" applyNumberFormat="1" applyFont="1" applyFill="1" applyBorder="1" applyAlignment="1" applyProtection="1">
      <alignment horizontal="right"/>
    </xf>
    <xf numFmtId="0" fontId="16" fillId="8" borderId="23" xfId="28" applyFont="1" applyFill="1" applyBorder="1" applyAlignment="1">
      <alignment horizontal="left" vertical="top" wrapText="1"/>
    </xf>
    <xf numFmtId="0" fontId="39" fillId="0" borderId="3" xfId="28" applyFont="1" applyBorder="1" applyAlignment="1">
      <alignment horizontal="center"/>
    </xf>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7" borderId="23" xfId="28" applyFont="1" applyFill="1" applyBorder="1" applyAlignment="1">
      <alignment horizontal="left"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9" borderId="23" xfId="28" applyFont="1" applyFill="1" applyBorder="1" applyAlignment="1">
      <alignment horizontal="center" vertical="center"/>
    </xf>
    <xf numFmtId="0" fontId="29" fillId="5" borderId="23" xfId="28" applyFont="1" applyFill="1" applyBorder="1" applyAlignment="1">
      <alignment horizontal="center" vertical="center"/>
    </xf>
    <xf numFmtId="0" fontId="16" fillId="5" borderId="23" xfId="28" applyFont="1" applyFill="1" applyBorder="1" applyAlignment="1">
      <alignment horizontal="left" vertical="top"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75"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39" fillId="0" borderId="12" xfId="21" applyFont="1" applyBorder="1" applyAlignment="1">
      <alignment horizontal="center" vertical="center"/>
    </xf>
    <xf numFmtId="0" fontId="39" fillId="0" borderId="11" xfId="21" applyFont="1" applyBorder="1" applyAlignment="1">
      <alignment horizontal="center" vertical="center"/>
    </xf>
    <xf numFmtId="0" fontId="39"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0" fillId="0" borderId="8" xfId="0" applyNumberForma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39" fillId="0" borderId="12" xfId="0" applyNumberFormat="1" applyFont="1" applyFill="1" applyBorder="1" applyAlignment="1" applyProtection="1">
      <alignment horizontal="center" vertical="center" wrapText="1"/>
    </xf>
    <xf numFmtId="2" fontId="39" fillId="0" borderId="11" xfId="0" applyNumberFormat="1" applyFont="1" applyFill="1" applyBorder="1" applyAlignment="1" applyProtection="1">
      <alignment horizontal="center" vertical="center" wrapText="1"/>
    </xf>
    <xf numFmtId="2" fontId="39"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2" fillId="0" borderId="11" xfId="0" applyNumberFormat="1" applyFont="1" applyFill="1" applyBorder="1" applyAlignment="1" applyProtection="1">
      <alignment horizontal="center" vertical="center" wrapText="1" readingOrder="1"/>
    </xf>
    <xf numFmtId="0" fontId="42" fillId="0" borderId="8"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0" fontId="42" fillId="0" borderId="12" xfId="0" applyNumberFormat="1" applyFont="1" applyFill="1" applyBorder="1" applyAlignment="1" applyProtection="1">
      <alignment horizontal="center" vertical="center" wrapText="1" readingOrder="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2" fillId="0" borderId="4" xfId="26" applyFont="1" applyFill="1" applyBorder="1" applyAlignment="1" applyProtection="1">
      <alignment horizontal="center" vertical="center" wrapText="1"/>
    </xf>
    <xf numFmtId="166" fontId="62" fillId="0" borderId="3" xfId="26" applyFont="1" applyFill="1" applyBorder="1" applyAlignment="1" applyProtection="1">
      <alignment horizontal="center" vertical="center" wrapText="1"/>
    </xf>
    <xf numFmtId="166" fontId="62"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3"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0" fillId="2" borderId="8" xfId="0" applyBorder="1" applyAlignment="1" applyProtection="1">
      <alignment horizontal="center" vertical="center"/>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6">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xfId="35" builtinId="5"/>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N29" sqref="N29"/>
    </sheetView>
  </sheetViews>
  <sheetFormatPr defaultColWidth="7.85546875" defaultRowHeight="13.5"/>
  <cols>
    <col min="1" max="1" width="2.28515625" style="1811" customWidth="1"/>
    <col min="2" max="2" width="76.7109375" style="1811" customWidth="1"/>
    <col min="3" max="3" width="3.7109375" style="1811" customWidth="1"/>
    <col min="4" max="4" width="5.7109375" style="1811" customWidth="1"/>
    <col min="5" max="5" width="3.85546875" style="1811" customWidth="1"/>
    <col min="6" max="6" width="76.85546875" style="1811" customWidth="1"/>
    <col min="7" max="7" width="2.28515625" style="1811" customWidth="1"/>
    <col min="8" max="16384" width="7.85546875" style="1811"/>
  </cols>
  <sheetData>
    <row r="1" spans="1:7" ht="21.2" customHeight="1" thickBot="1"/>
    <row r="2" spans="1:7" ht="9" customHeight="1">
      <c r="A2" s="1812"/>
      <c r="B2" s="1813"/>
      <c r="C2" s="1813"/>
      <c r="D2" s="1813"/>
      <c r="E2" s="1813"/>
      <c r="F2" s="1813"/>
      <c r="G2" s="1814"/>
    </row>
    <row r="3" spans="1:7" s="1819" customFormat="1" ht="18">
      <c r="A3" s="1815" t="s">
        <v>1776</v>
      </c>
      <c r="B3" s="1816"/>
      <c r="C3" s="1425"/>
      <c r="D3" s="1816"/>
      <c r="E3" s="1425"/>
      <c r="F3" s="1817"/>
      <c r="G3" s="1818"/>
    </row>
    <row r="4" spans="1:7" s="1819" customFormat="1" ht="9" customHeight="1">
      <c r="A4" s="1815"/>
      <c r="B4" s="1817"/>
      <c r="C4" s="1817"/>
      <c r="D4" s="1820"/>
      <c r="E4" s="1817"/>
      <c r="F4" s="1817"/>
      <c r="G4" s="1818"/>
    </row>
    <row r="5" spans="1:7" s="1819" customFormat="1" ht="14.85" customHeight="1">
      <c r="A5" s="1815" t="s">
        <v>1777</v>
      </c>
      <c r="B5" s="1817"/>
      <c r="C5" s="1817"/>
      <c r="D5" s="1820"/>
      <c r="E5" s="1817"/>
      <c r="F5" s="1817"/>
      <c r="G5" s="1818"/>
    </row>
    <row r="6" spans="1:7" s="1827" customFormat="1" ht="21.2" customHeight="1">
      <c r="A6" s="1821"/>
      <c r="B6" s="1822" t="s">
        <v>0</v>
      </c>
      <c r="C6" s="1823"/>
      <c r="D6" s="1824"/>
      <c r="E6" s="1823"/>
      <c r="F6" s="1825" t="s">
        <v>1</v>
      </c>
      <c r="G6" s="1826"/>
    </row>
    <row r="7" spans="1:7" ht="20.25" customHeight="1">
      <c r="A7" s="1828"/>
      <c r="B7" s="1829" t="s">
        <v>2</v>
      </c>
      <c r="C7" s="1830"/>
      <c r="D7" s="1831"/>
      <c r="E7" s="1830"/>
      <c r="F7" s="1832" t="s">
        <v>3</v>
      </c>
      <c r="G7" s="1833"/>
    </row>
    <row r="8" spans="1:7" ht="20.25" customHeight="1">
      <c r="A8" s="1828"/>
      <c r="B8" s="1834" t="s">
        <v>4</v>
      </c>
      <c r="C8" s="1834"/>
      <c r="D8" s="1835">
        <v>1</v>
      </c>
      <c r="E8" s="1834"/>
      <c r="F8" s="1836" t="s">
        <v>5</v>
      </c>
      <c r="G8" s="1833"/>
    </row>
    <row r="9" spans="1:7" ht="17.45" customHeight="1">
      <c r="A9" s="1828"/>
      <c r="B9" s="1834" t="s">
        <v>6</v>
      </c>
      <c r="C9" s="1834"/>
      <c r="D9" s="1835">
        <v>2</v>
      </c>
      <c r="E9" s="1834"/>
      <c r="F9" s="1836" t="s">
        <v>7</v>
      </c>
      <c r="G9" s="1833"/>
    </row>
    <row r="10" spans="1:7" ht="17.45" customHeight="1">
      <c r="A10" s="1828"/>
      <c r="B10" s="1834" t="s">
        <v>8</v>
      </c>
      <c r="C10" s="1834"/>
      <c r="D10" s="1835">
        <v>3</v>
      </c>
      <c r="E10" s="1834"/>
      <c r="F10" s="1836" t="s">
        <v>9</v>
      </c>
      <c r="G10" s="1833"/>
    </row>
    <row r="11" spans="1:7" ht="17.45" customHeight="1">
      <c r="A11" s="1828"/>
      <c r="B11" s="1834" t="s">
        <v>10</v>
      </c>
      <c r="C11" s="1834"/>
      <c r="D11" s="1835">
        <v>4</v>
      </c>
      <c r="E11" s="1834"/>
      <c r="F11" s="1836" t="s">
        <v>11</v>
      </c>
      <c r="G11" s="1833"/>
    </row>
    <row r="12" spans="1:7" ht="17.45" customHeight="1">
      <c r="A12" s="1828"/>
      <c r="B12" s="1834" t="s">
        <v>12</v>
      </c>
      <c r="C12" s="1834"/>
      <c r="D12" s="1835">
        <v>5</v>
      </c>
      <c r="E12" s="1834"/>
      <c r="F12" s="1836" t="s">
        <v>13</v>
      </c>
      <c r="G12" s="1833"/>
    </row>
    <row r="13" spans="1:7" ht="17.45" customHeight="1">
      <c r="A13" s="1828"/>
      <c r="B13" s="1834" t="s">
        <v>14</v>
      </c>
      <c r="C13" s="1834"/>
      <c r="D13" s="1835">
        <v>6</v>
      </c>
      <c r="E13" s="1834"/>
      <c r="F13" s="1836" t="s">
        <v>15</v>
      </c>
      <c r="G13" s="1833"/>
    </row>
    <row r="14" spans="1:7" ht="17.45" customHeight="1">
      <c r="A14" s="1828"/>
      <c r="B14" s="1834" t="s">
        <v>16</v>
      </c>
      <c r="C14" s="1834"/>
      <c r="D14" s="1835">
        <v>7</v>
      </c>
      <c r="E14" s="1834"/>
      <c r="F14" s="1836" t="s">
        <v>17</v>
      </c>
      <c r="G14" s="1833"/>
    </row>
    <row r="15" spans="1:7" ht="17.45" customHeight="1">
      <c r="A15" s="1828"/>
      <c r="B15" s="1834" t="s">
        <v>18</v>
      </c>
      <c r="C15" s="1834"/>
      <c r="D15" s="1835">
        <v>8</v>
      </c>
      <c r="E15" s="1834"/>
      <c r="F15" s="1836" t="s">
        <v>19</v>
      </c>
      <c r="G15" s="1833"/>
    </row>
    <row r="16" spans="1:7" ht="17.45" customHeight="1">
      <c r="A16" s="1828"/>
      <c r="B16" s="1834" t="s">
        <v>20</v>
      </c>
      <c r="C16" s="1834"/>
      <c r="D16" s="1835">
        <v>9</v>
      </c>
      <c r="E16" s="1834"/>
      <c r="F16" s="1836" t="s">
        <v>21</v>
      </c>
      <c r="G16" s="1833"/>
    </row>
    <row r="17" spans="1:7" ht="17.45" customHeight="1">
      <c r="A17" s="1828"/>
      <c r="B17" s="1834" t="s">
        <v>22</v>
      </c>
      <c r="C17" s="1834"/>
      <c r="D17" s="1835">
        <v>10</v>
      </c>
      <c r="E17" s="1834"/>
      <c r="F17" s="1836" t="s">
        <v>23</v>
      </c>
      <c r="G17" s="1833"/>
    </row>
    <row r="18" spans="1:7" ht="17.45" customHeight="1">
      <c r="A18" s="1828"/>
      <c r="B18" s="1834" t="s">
        <v>24</v>
      </c>
      <c r="C18" s="1834"/>
      <c r="D18" s="1835">
        <v>11</v>
      </c>
      <c r="E18" s="1834"/>
      <c r="F18" s="1836" t="s">
        <v>25</v>
      </c>
      <c r="G18" s="1833"/>
    </row>
    <row r="19" spans="1:7" ht="17.45" customHeight="1">
      <c r="A19" s="1828"/>
      <c r="B19" s="1834" t="s">
        <v>26</v>
      </c>
      <c r="C19" s="1834"/>
      <c r="D19" s="1835">
        <v>12</v>
      </c>
      <c r="E19" s="1834"/>
      <c r="F19" s="1836" t="s">
        <v>27</v>
      </c>
      <c r="G19" s="1833"/>
    </row>
    <row r="20" spans="1:7" ht="17.45" customHeight="1">
      <c r="A20" s="1828"/>
      <c r="B20" s="1834" t="s">
        <v>28</v>
      </c>
      <c r="C20" s="1834"/>
      <c r="D20" s="1835">
        <v>13</v>
      </c>
      <c r="E20" s="1834"/>
      <c r="F20" s="1837" t="s">
        <v>29</v>
      </c>
      <c r="G20" s="1833"/>
    </row>
    <row r="21" spans="1:7" s="148" customFormat="1" ht="20.25" customHeight="1">
      <c r="A21" s="1838"/>
      <c r="B21" s="1829" t="s">
        <v>30</v>
      </c>
      <c r="C21" s="1829"/>
      <c r="D21" s="1839"/>
      <c r="E21" s="1829"/>
      <c r="F21" s="1832" t="s">
        <v>31</v>
      </c>
      <c r="G21" s="1840"/>
    </row>
    <row r="22" spans="1:7" ht="20.25" customHeight="1">
      <c r="A22" s="1828"/>
      <c r="B22" s="1834" t="s">
        <v>32</v>
      </c>
      <c r="C22" s="1834"/>
      <c r="D22" s="1835">
        <v>14</v>
      </c>
      <c r="E22" s="1834"/>
      <c r="F22" s="1836" t="s">
        <v>33</v>
      </c>
      <c r="G22" s="1833"/>
    </row>
    <row r="23" spans="1:7" ht="17.45" customHeight="1">
      <c r="A23" s="1828"/>
      <c r="B23" s="1834" t="s">
        <v>34</v>
      </c>
      <c r="C23" s="1834"/>
      <c r="D23" s="1835">
        <v>15</v>
      </c>
      <c r="E23" s="1834"/>
      <c r="F23" s="1836" t="s">
        <v>35</v>
      </c>
      <c r="G23" s="1833"/>
    </row>
    <row r="24" spans="1:7" ht="17.45" customHeight="1">
      <c r="A24" s="1828"/>
      <c r="B24" s="1834" t="s">
        <v>36</v>
      </c>
      <c r="C24" s="1834"/>
      <c r="D24" s="1835">
        <v>16</v>
      </c>
      <c r="E24" s="1834"/>
      <c r="F24" s="1836" t="s">
        <v>37</v>
      </c>
      <c r="G24" s="1833"/>
    </row>
    <row r="25" spans="1:7" ht="17.45" customHeight="1">
      <c r="A25" s="1828"/>
      <c r="B25" s="1834" t="s">
        <v>38</v>
      </c>
      <c r="C25" s="1834"/>
      <c r="D25" s="1835">
        <v>17</v>
      </c>
      <c r="E25" s="1834"/>
      <c r="F25" s="1836" t="s">
        <v>39</v>
      </c>
      <c r="G25" s="1833"/>
    </row>
    <row r="26" spans="1:7" ht="17.45" customHeight="1">
      <c r="A26" s="1828"/>
      <c r="B26" s="1834" t="s">
        <v>40</v>
      </c>
      <c r="C26" s="1834"/>
      <c r="D26" s="1835">
        <v>18</v>
      </c>
      <c r="E26" s="1834"/>
      <c r="F26" s="1836" t="s">
        <v>41</v>
      </c>
      <c r="G26" s="1833"/>
    </row>
    <row r="27" spans="1:7" ht="17.45" customHeight="1">
      <c r="A27" s="1828"/>
      <c r="B27" s="1834" t="s">
        <v>42</v>
      </c>
      <c r="C27" s="1834"/>
      <c r="D27" s="1835">
        <v>19</v>
      </c>
      <c r="E27" s="1834"/>
      <c r="F27" s="1836" t="s">
        <v>43</v>
      </c>
      <c r="G27" s="1833"/>
    </row>
    <row r="28" spans="1:7" ht="17.45" customHeight="1">
      <c r="A28" s="1828"/>
      <c r="B28" s="1834" t="s">
        <v>44</v>
      </c>
      <c r="C28" s="1834"/>
      <c r="D28" s="1835">
        <v>20</v>
      </c>
      <c r="E28" s="1834"/>
      <c r="F28" s="1836" t="s">
        <v>45</v>
      </c>
      <c r="G28" s="1833"/>
    </row>
    <row r="29" spans="1:7" ht="27">
      <c r="A29" s="1828"/>
      <c r="B29" s="1841" t="s">
        <v>46</v>
      </c>
      <c r="C29" s="1834"/>
      <c r="D29" s="1835">
        <v>21</v>
      </c>
      <c r="E29" s="1834"/>
      <c r="F29" s="1836" t="s">
        <v>47</v>
      </c>
      <c r="G29" s="1833"/>
    </row>
    <row r="30" spans="1:7" ht="17.45" customHeight="1">
      <c r="A30" s="1828"/>
      <c r="B30" s="1834" t="s">
        <v>48</v>
      </c>
      <c r="C30" s="1834"/>
      <c r="D30" s="1835">
        <v>22</v>
      </c>
      <c r="E30" s="1834"/>
      <c r="F30" s="1836" t="s">
        <v>49</v>
      </c>
      <c r="G30" s="1833"/>
    </row>
    <row r="31" spans="1:7" ht="17.45" customHeight="1">
      <c r="A31" s="1828"/>
      <c r="B31" s="1834" t="s">
        <v>50</v>
      </c>
      <c r="C31" s="1834"/>
      <c r="D31" s="1835">
        <v>23</v>
      </c>
      <c r="E31" s="1834"/>
      <c r="F31" s="1836" t="s">
        <v>51</v>
      </c>
      <c r="G31" s="1833"/>
    </row>
    <row r="32" spans="1:7" s="1819" customFormat="1" ht="16.5" customHeight="1">
      <c r="A32" s="1815"/>
      <c r="B32" s="1834" t="s">
        <v>52</v>
      </c>
      <c r="C32" s="1834"/>
      <c r="D32" s="1835">
        <v>24</v>
      </c>
      <c r="E32" s="1834"/>
      <c r="F32" s="1836" t="s">
        <v>53</v>
      </c>
      <c r="G32" s="1818"/>
    </row>
    <row r="33" spans="1:7" ht="17.45" customHeight="1">
      <c r="A33" s="1828"/>
      <c r="B33" s="1834" t="s">
        <v>54</v>
      </c>
      <c r="C33" s="1834"/>
      <c r="D33" s="1835">
        <v>25</v>
      </c>
      <c r="E33" s="1834"/>
      <c r="F33" s="1836" t="s">
        <v>55</v>
      </c>
      <c r="G33" s="1833"/>
    </row>
    <row r="34" spans="1:7" ht="17.45" customHeight="1">
      <c r="A34" s="1828"/>
      <c r="B34" s="1834" t="s">
        <v>56</v>
      </c>
      <c r="C34" s="1834"/>
      <c r="D34" s="1835">
        <v>26</v>
      </c>
      <c r="E34" s="1834"/>
      <c r="F34" s="1836" t="s">
        <v>57</v>
      </c>
      <c r="G34" s="1833"/>
    </row>
    <row r="35" spans="1:7" ht="17.45" customHeight="1">
      <c r="A35" s="1828"/>
      <c r="B35" s="1834" t="s">
        <v>58</v>
      </c>
      <c r="C35" s="1834"/>
      <c r="D35" s="1835">
        <v>27</v>
      </c>
      <c r="E35" s="1834"/>
      <c r="F35" s="1836" t="s">
        <v>59</v>
      </c>
      <c r="G35" s="1833"/>
    </row>
    <row r="36" spans="1:7" s="148" customFormat="1" ht="20.25" customHeight="1">
      <c r="A36" s="1838"/>
      <c r="B36" s="1829" t="s">
        <v>60</v>
      </c>
      <c r="C36" s="1829"/>
      <c r="D36" s="1839"/>
      <c r="E36" s="1829"/>
      <c r="F36" s="1832" t="s">
        <v>61</v>
      </c>
      <c r="G36" s="1840"/>
    </row>
    <row r="37" spans="1:7" ht="20.25" customHeight="1">
      <c r="A37" s="1828"/>
      <c r="B37" s="1834" t="s">
        <v>32</v>
      </c>
      <c r="C37" s="1834"/>
      <c r="D37" s="1835">
        <v>28</v>
      </c>
      <c r="E37" s="1834"/>
      <c r="F37" s="1836" t="s">
        <v>33</v>
      </c>
      <c r="G37" s="1833"/>
    </row>
    <row r="38" spans="1:7" ht="17.45" customHeight="1">
      <c r="A38" s="1828"/>
      <c r="B38" s="1834" t="s">
        <v>34</v>
      </c>
      <c r="C38" s="1834"/>
      <c r="D38" s="1835">
        <v>29</v>
      </c>
      <c r="E38" s="1834"/>
      <c r="F38" s="1836" t="s">
        <v>35</v>
      </c>
      <c r="G38" s="1833"/>
    </row>
    <row r="39" spans="1:7" ht="17.45" customHeight="1">
      <c r="A39" s="1828"/>
      <c r="B39" s="1834" t="s">
        <v>50</v>
      </c>
      <c r="C39" s="1834"/>
      <c r="D39" s="1835">
        <v>30</v>
      </c>
      <c r="E39" s="1834"/>
      <c r="F39" s="1836" t="s">
        <v>51</v>
      </c>
      <c r="G39" s="1833"/>
    </row>
    <row r="40" spans="1:7" s="1819" customFormat="1" ht="17.45" customHeight="1">
      <c r="A40" s="1815"/>
      <c r="B40" s="1834" t="s">
        <v>52</v>
      </c>
      <c r="C40" s="1834"/>
      <c r="D40" s="1835">
        <v>31</v>
      </c>
      <c r="E40" s="1834"/>
      <c r="F40" s="1836" t="s">
        <v>53</v>
      </c>
      <c r="G40" s="1818"/>
    </row>
    <row r="41" spans="1:7" ht="7.5" customHeight="1" thickBot="1">
      <c r="A41" s="1842"/>
      <c r="B41" s="1843"/>
      <c r="C41" s="1843"/>
      <c r="D41" s="1843"/>
      <c r="E41" s="1843"/>
      <c r="F41" s="1844"/>
      <c r="G41" s="1845"/>
    </row>
    <row r="42" spans="1:7" ht="13.5" customHeight="1" thickBot="1">
      <c r="F42" s="1846"/>
    </row>
    <row r="43" spans="1:7" ht="9" customHeight="1">
      <c r="A43" s="1812"/>
      <c r="B43" s="1813"/>
      <c r="C43" s="1813"/>
      <c r="D43" s="1813"/>
      <c r="E43" s="1813"/>
      <c r="F43" s="1847"/>
      <c r="G43" s="1814"/>
    </row>
    <row r="44" spans="1:7" s="1819" customFormat="1" ht="18">
      <c r="A44" s="1815" t="s">
        <v>1776</v>
      </c>
      <c r="B44" s="1816"/>
      <c r="C44" s="1425"/>
      <c r="D44" s="1816"/>
      <c r="E44" s="1425"/>
      <c r="F44" s="1817"/>
      <c r="G44" s="1818"/>
    </row>
    <row r="45" spans="1:7" s="1819" customFormat="1" ht="14.85" customHeight="1">
      <c r="A45" s="1815"/>
      <c r="B45" s="1817"/>
      <c r="C45" s="1817"/>
      <c r="D45" s="1820"/>
      <c r="E45" s="1817"/>
      <c r="F45" s="1817"/>
      <c r="G45" s="1818"/>
    </row>
    <row r="46" spans="1:7" s="1819" customFormat="1" ht="14.85" customHeight="1">
      <c r="A46" s="1815" t="s">
        <v>1777</v>
      </c>
      <c r="B46" s="1817"/>
      <c r="C46" s="1817"/>
      <c r="D46" s="1820"/>
      <c r="E46" s="1817"/>
      <c r="F46" s="1817"/>
      <c r="G46" s="1818"/>
    </row>
    <row r="47" spans="1:7" s="148" customFormat="1" ht="20.25" customHeight="1">
      <c r="A47" s="1838"/>
      <c r="B47" s="1829" t="s">
        <v>62</v>
      </c>
      <c r="C47" s="1829"/>
      <c r="D47" s="1839"/>
      <c r="E47" s="1829"/>
      <c r="F47" s="1832" t="s">
        <v>63</v>
      </c>
      <c r="G47" s="1840"/>
    </row>
    <row r="48" spans="1:7" ht="20.25" customHeight="1">
      <c r="A48" s="1828"/>
      <c r="B48" s="1834" t="s">
        <v>32</v>
      </c>
      <c r="C48" s="1834"/>
      <c r="D48" s="1835">
        <v>32</v>
      </c>
      <c r="E48" s="1834"/>
      <c r="F48" s="1836" t="s">
        <v>33</v>
      </c>
      <c r="G48" s="1833"/>
    </row>
    <row r="49" spans="1:7" ht="17.45" customHeight="1">
      <c r="A49" s="1828"/>
      <c r="B49" s="1834" t="s">
        <v>34</v>
      </c>
      <c r="C49" s="1834"/>
      <c r="D49" s="1835">
        <v>33</v>
      </c>
      <c r="E49" s="1834"/>
      <c r="F49" s="1836" t="s">
        <v>35</v>
      </c>
      <c r="G49" s="1833"/>
    </row>
    <row r="50" spans="1:7" ht="17.45" customHeight="1">
      <c r="A50" s="1828"/>
      <c r="B50" s="1834" t="s">
        <v>50</v>
      </c>
      <c r="C50" s="1834"/>
      <c r="D50" s="1835">
        <v>34</v>
      </c>
      <c r="E50" s="1834"/>
      <c r="F50" s="1836" t="s">
        <v>51</v>
      </c>
      <c r="G50" s="1833"/>
    </row>
    <row r="51" spans="1:7" s="1819" customFormat="1" ht="17.45" customHeight="1">
      <c r="A51" s="1815"/>
      <c r="B51" s="1834" t="s">
        <v>52</v>
      </c>
      <c r="C51" s="1834"/>
      <c r="D51" s="1835">
        <v>35</v>
      </c>
      <c r="E51" s="1834"/>
      <c r="F51" s="1836" t="s">
        <v>53</v>
      </c>
      <c r="G51" s="1818"/>
    </row>
    <row r="52" spans="1:7" ht="17.45" customHeight="1">
      <c r="A52" s="1828"/>
      <c r="B52" s="1834" t="s">
        <v>64</v>
      </c>
      <c r="C52" s="1834"/>
      <c r="D52" s="1835">
        <v>36</v>
      </c>
      <c r="E52" s="1834"/>
      <c r="F52" s="1836" t="s">
        <v>65</v>
      </c>
      <c r="G52" s="1833"/>
    </row>
    <row r="53" spans="1:7" s="148" customFormat="1" ht="20.25" customHeight="1">
      <c r="A53" s="1838"/>
      <c r="B53" s="1829" t="s">
        <v>66</v>
      </c>
      <c r="C53" s="1829"/>
      <c r="D53" s="1839"/>
      <c r="E53" s="1829"/>
      <c r="F53" s="1832" t="s">
        <v>67</v>
      </c>
      <c r="G53" s="1840"/>
    </row>
    <row r="54" spans="1:7" ht="20.25" customHeight="1">
      <c r="A54" s="1828"/>
      <c r="B54" s="1834" t="s">
        <v>68</v>
      </c>
      <c r="C54" s="1834"/>
      <c r="D54" s="1835">
        <v>37</v>
      </c>
      <c r="E54" s="1834"/>
      <c r="F54" s="1836" t="s">
        <v>67</v>
      </c>
      <c r="G54" s="1833"/>
    </row>
    <row r="55" spans="1:7" ht="17.45" customHeight="1">
      <c r="A55" s="1828"/>
      <c r="B55" s="1834" t="s">
        <v>69</v>
      </c>
      <c r="C55" s="1834"/>
      <c r="D55" s="1835">
        <v>38</v>
      </c>
      <c r="E55" s="1834"/>
      <c r="F55" s="1836" t="s">
        <v>70</v>
      </c>
      <c r="G55" s="1833"/>
    </row>
    <row r="56" spans="1:7" ht="17.45" customHeight="1">
      <c r="A56" s="1828"/>
      <c r="B56" s="1834" t="s">
        <v>71</v>
      </c>
      <c r="C56" s="1834"/>
      <c r="D56" s="1835">
        <v>39</v>
      </c>
      <c r="E56" s="1834"/>
      <c r="F56" s="1836" t="s">
        <v>72</v>
      </c>
      <c r="G56" s="1833"/>
    </row>
    <row r="57" spans="1:7" ht="21.2" customHeight="1">
      <c r="A57" s="1828"/>
      <c r="B57" s="1848" t="s">
        <v>73</v>
      </c>
      <c r="C57" s="1834"/>
      <c r="D57" s="1835">
        <v>40</v>
      </c>
      <c r="E57" s="1834"/>
      <c r="F57" s="1849" t="s">
        <v>74</v>
      </c>
      <c r="G57" s="1833"/>
    </row>
    <row r="58" spans="1:7" ht="21.2" customHeight="1">
      <c r="A58" s="1828"/>
      <c r="B58" s="1848" t="s">
        <v>75</v>
      </c>
      <c r="C58" s="1834"/>
      <c r="D58" s="1835">
        <v>41</v>
      </c>
      <c r="E58" s="1834"/>
      <c r="F58" s="1849" t="s">
        <v>76</v>
      </c>
      <c r="G58" s="1833"/>
    </row>
    <row r="59" spans="1:7" ht="21.2" customHeight="1">
      <c r="A59" s="1828"/>
      <c r="B59" s="1848" t="s">
        <v>77</v>
      </c>
      <c r="C59" s="1834"/>
      <c r="D59" s="1835">
        <v>42</v>
      </c>
      <c r="E59" s="1834"/>
      <c r="F59" s="1849" t="s">
        <v>78</v>
      </c>
      <c r="G59" s="1833"/>
    </row>
    <row r="60" spans="1:7" ht="21.2" customHeight="1">
      <c r="A60" s="1828"/>
      <c r="B60" s="1848" t="s">
        <v>79</v>
      </c>
      <c r="C60" s="1834"/>
      <c r="D60" s="1835">
        <v>43</v>
      </c>
      <c r="E60" s="1834"/>
      <c r="F60" s="1849" t="s">
        <v>80</v>
      </c>
      <c r="G60" s="1833"/>
    </row>
    <row r="61" spans="1:7" s="148" customFormat="1" ht="20.25" customHeight="1">
      <c r="A61" s="1838"/>
      <c r="B61" s="1829" t="s">
        <v>81</v>
      </c>
      <c r="C61" s="1829"/>
      <c r="D61" s="1839"/>
      <c r="E61" s="1829"/>
      <c r="F61" s="1832" t="s">
        <v>82</v>
      </c>
      <c r="G61" s="1840"/>
    </row>
    <row r="62" spans="1:7" ht="20.25" customHeight="1">
      <c r="A62" s="1828"/>
      <c r="B62" s="1834" t="s">
        <v>81</v>
      </c>
      <c r="C62" s="1834"/>
      <c r="D62" s="1835">
        <v>44</v>
      </c>
      <c r="E62" s="1834"/>
      <c r="F62" s="1836" t="s">
        <v>82</v>
      </c>
      <c r="G62" s="1833"/>
    </row>
    <row r="63" spans="1:7" ht="17.45" customHeight="1">
      <c r="A63" s="1828"/>
      <c r="B63" s="1834" t="s">
        <v>83</v>
      </c>
      <c r="C63" s="1834"/>
      <c r="D63" s="1835">
        <v>45</v>
      </c>
      <c r="E63" s="1834"/>
      <c r="F63" s="1836" t="s">
        <v>84</v>
      </c>
      <c r="G63" s="1833"/>
    </row>
    <row r="64" spans="1:7" ht="17.45" customHeight="1">
      <c r="A64" s="1828"/>
      <c r="B64" s="1834" t="s">
        <v>85</v>
      </c>
      <c r="C64" s="1834"/>
      <c r="D64" s="1835">
        <v>46</v>
      </c>
      <c r="E64" s="1834"/>
      <c r="F64" s="1836" t="s">
        <v>86</v>
      </c>
      <c r="G64" s="1833"/>
    </row>
    <row r="65" spans="1:7" ht="17.45" customHeight="1">
      <c r="A65" s="1828"/>
      <c r="B65" s="1834" t="s">
        <v>87</v>
      </c>
      <c r="C65" s="1834"/>
      <c r="D65" s="1835">
        <v>47</v>
      </c>
      <c r="E65" s="1834"/>
      <c r="F65" s="1836" t="s">
        <v>88</v>
      </c>
      <c r="G65" s="1833"/>
    </row>
    <row r="66" spans="1:7" ht="17.45" customHeight="1">
      <c r="A66" s="1828"/>
      <c r="B66" s="1834" t="s">
        <v>89</v>
      </c>
      <c r="C66" s="1834"/>
      <c r="D66" s="1835">
        <v>48</v>
      </c>
      <c r="E66" s="1834"/>
      <c r="F66" s="1836" t="s">
        <v>90</v>
      </c>
      <c r="G66" s="1833"/>
    </row>
    <row r="67" spans="1:7" ht="17.45" customHeight="1">
      <c r="A67" s="1828"/>
      <c r="B67" s="1834" t="s">
        <v>91</v>
      </c>
      <c r="C67" s="1834"/>
      <c r="D67" s="1835">
        <v>49</v>
      </c>
      <c r="E67" s="1834"/>
      <c r="F67" s="1836" t="s">
        <v>92</v>
      </c>
      <c r="G67" s="1833"/>
    </row>
    <row r="68" spans="1:7" ht="17.45" customHeight="1">
      <c r="A68" s="1828"/>
      <c r="B68" s="1834" t="s">
        <v>93</v>
      </c>
      <c r="C68" s="1834"/>
      <c r="D68" s="1835">
        <v>50</v>
      </c>
      <c r="E68" s="1834"/>
      <c r="F68" s="1836" t="s">
        <v>94</v>
      </c>
      <c r="G68" s="1833"/>
    </row>
    <row r="69" spans="1:7" s="306" customFormat="1" ht="27" customHeight="1">
      <c r="A69" s="1850"/>
      <c r="B69" s="1822" t="s">
        <v>95</v>
      </c>
      <c r="D69" s="441"/>
      <c r="F69" s="1825" t="s">
        <v>96</v>
      </c>
      <c r="G69" s="1851"/>
    </row>
    <row r="70" spans="1:7" ht="21.2" customHeight="1">
      <c r="A70" s="1828"/>
      <c r="B70" s="1834" t="s">
        <v>97</v>
      </c>
      <c r="C70" s="1834"/>
      <c r="D70" s="1835">
        <v>51</v>
      </c>
      <c r="E70" s="1834"/>
      <c r="F70" s="1836" t="s">
        <v>98</v>
      </c>
      <c r="G70" s="1833"/>
    </row>
    <row r="71" spans="1:7" ht="17.25" customHeight="1">
      <c r="A71" s="1828"/>
      <c r="B71" s="1834" t="s">
        <v>99</v>
      </c>
      <c r="C71" s="1834"/>
      <c r="D71" s="1835">
        <v>52</v>
      </c>
      <c r="E71" s="1834"/>
      <c r="F71" s="1836" t="s">
        <v>100</v>
      </c>
      <c r="G71" s="1833"/>
    </row>
    <row r="72" spans="1:7" ht="17.25" customHeight="1">
      <c r="A72" s="1828"/>
      <c r="B72" s="1834" t="s">
        <v>101</v>
      </c>
      <c r="C72" s="1834"/>
      <c r="D72" s="1835">
        <v>53</v>
      </c>
      <c r="E72" s="1834"/>
      <c r="F72" s="1836" t="s">
        <v>102</v>
      </c>
      <c r="G72" s="1833"/>
    </row>
    <row r="73" spans="1:7" ht="17.25" customHeight="1">
      <c r="A73" s="1828"/>
      <c r="B73" s="1834" t="s">
        <v>103</v>
      </c>
      <c r="C73" s="1834"/>
      <c r="D73" s="1835">
        <v>54</v>
      </c>
      <c r="E73" s="1834"/>
      <c r="F73" s="1836" t="s">
        <v>104</v>
      </c>
      <c r="G73" s="1833"/>
    </row>
    <row r="74" spans="1:7" ht="21.2" customHeight="1">
      <c r="A74" s="1828"/>
      <c r="B74" s="1829" t="s">
        <v>105</v>
      </c>
      <c r="D74" s="1846"/>
      <c r="F74" s="1832" t="s">
        <v>106</v>
      </c>
      <c r="G74" s="1833"/>
    </row>
    <row r="75" spans="1:7" ht="21.2" customHeight="1">
      <c r="A75" s="1828"/>
      <c r="B75" s="1834" t="s">
        <v>107</v>
      </c>
      <c r="C75" s="1834"/>
      <c r="D75" s="1835">
        <v>55</v>
      </c>
      <c r="E75" s="1834"/>
      <c r="F75" s="1836" t="s">
        <v>108</v>
      </c>
      <c r="G75" s="1833"/>
    </row>
    <row r="76" spans="1:7" ht="17.45" customHeight="1">
      <c r="A76" s="1828"/>
      <c r="B76" s="1834" t="s">
        <v>109</v>
      </c>
      <c r="C76" s="1834"/>
      <c r="D76" s="1835">
        <v>56</v>
      </c>
      <c r="E76" s="1834"/>
      <c r="F76" s="1836" t="s">
        <v>110</v>
      </c>
      <c r="G76" s="1833"/>
    </row>
    <row r="77" spans="1:7" ht="17.45" customHeight="1">
      <c r="A77" s="1828"/>
      <c r="B77" s="1834" t="s">
        <v>111</v>
      </c>
      <c r="C77" s="1834"/>
      <c r="D77" s="1835">
        <v>57</v>
      </c>
      <c r="E77" s="1834"/>
      <c r="F77" s="1836" t="s">
        <v>112</v>
      </c>
      <c r="G77" s="1833"/>
    </row>
    <row r="78" spans="1:7" ht="17.45" customHeight="1">
      <c r="A78" s="1828"/>
      <c r="B78" s="1834" t="s">
        <v>113</v>
      </c>
      <c r="C78" s="1834"/>
      <c r="D78" s="1835">
        <v>58</v>
      </c>
      <c r="E78" s="1834"/>
      <c r="F78" s="1836" t="s">
        <v>114</v>
      </c>
      <c r="G78" s="1833"/>
    </row>
    <row r="79" spans="1:7" ht="21.2" customHeight="1">
      <c r="A79" s="1828"/>
      <c r="B79" s="1848" t="s">
        <v>115</v>
      </c>
      <c r="C79" s="1834"/>
      <c r="D79" s="1835">
        <v>59</v>
      </c>
      <c r="E79" s="1834"/>
      <c r="F79" s="1849" t="s">
        <v>116</v>
      </c>
      <c r="G79" s="1833"/>
    </row>
    <row r="80" spans="1:7" ht="9" customHeight="1" thickBot="1">
      <c r="A80" s="1842"/>
      <c r="B80" s="1843"/>
      <c r="C80" s="1843"/>
      <c r="D80" s="1843"/>
      <c r="E80" s="1843"/>
      <c r="F80" s="1843"/>
      <c r="G80" s="1845"/>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tabSelected="1" zoomScale="80" zoomScaleNormal="80" workbookViewId="0">
      <pane ySplit="12" topLeftCell="A24" activePane="bottomLeft" state="frozen"/>
      <selection activeCell="N29" sqref="N29"/>
      <selection pane="bottomLeft" activeCell="N29" sqref="N29"/>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1765</v>
      </c>
      <c r="B1" s="277"/>
      <c r="C1" s="415"/>
      <c r="D1" s="415"/>
      <c r="E1" s="415"/>
      <c r="F1" s="415"/>
      <c r="G1" s="415"/>
      <c r="H1" s="415"/>
      <c r="I1" s="415"/>
      <c r="J1" s="415"/>
      <c r="K1" s="415"/>
      <c r="L1" s="415"/>
      <c r="M1" s="415"/>
      <c r="N1" s="415"/>
      <c r="O1" s="415"/>
      <c r="P1" s="415"/>
      <c r="Q1" s="415"/>
      <c r="R1" s="415"/>
      <c r="S1" s="415"/>
    </row>
    <row r="2" spans="1:20" s="1693" customFormat="1" ht="21.75" customHeight="1">
      <c r="A2" s="1254" t="s">
        <v>17</v>
      </c>
      <c r="B2" s="1254"/>
      <c r="C2" s="1710"/>
      <c r="D2" s="1710"/>
      <c r="E2" s="1710"/>
      <c r="F2" s="1710"/>
      <c r="G2" s="1710"/>
      <c r="H2" s="1710"/>
      <c r="I2" s="1710"/>
      <c r="J2" s="1710"/>
      <c r="K2" s="1710"/>
      <c r="L2" s="1710"/>
      <c r="M2" s="1710"/>
      <c r="N2" s="1710"/>
      <c r="O2" s="1710"/>
      <c r="P2" s="1710"/>
      <c r="Q2" s="1710"/>
      <c r="R2" s="1710"/>
      <c r="S2" s="1710"/>
    </row>
    <row r="3" spans="1:20" s="416" customFormat="1" ht="18">
      <c r="A3" s="277" t="s">
        <v>552</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553</v>
      </c>
      <c r="B8" s="418"/>
      <c r="C8" s="415"/>
      <c r="D8" s="415"/>
      <c r="E8" s="415"/>
      <c r="F8" s="415"/>
      <c r="G8" s="415"/>
      <c r="H8" s="415"/>
      <c r="I8" s="415"/>
      <c r="J8" s="415"/>
      <c r="K8" s="415"/>
      <c r="L8" s="415"/>
      <c r="S8" s="419" t="s">
        <v>554</v>
      </c>
    </row>
    <row r="9" spans="1:20" s="161" customFormat="1" ht="23.85" customHeight="1">
      <c r="A9" s="1890" t="s">
        <v>379</v>
      </c>
      <c r="B9" s="1891"/>
      <c r="C9" s="420" t="s">
        <v>555</v>
      </c>
      <c r="D9" s="174"/>
      <c r="E9" s="421"/>
      <c r="F9" s="421" t="s">
        <v>455</v>
      </c>
      <c r="G9" s="422" t="s">
        <v>556</v>
      </c>
      <c r="H9" s="160"/>
      <c r="I9" s="423"/>
      <c r="J9" s="423"/>
      <c r="K9" s="423"/>
      <c r="L9" s="424" t="s">
        <v>557</v>
      </c>
      <c r="M9" s="420" t="s">
        <v>558</v>
      </c>
      <c r="N9" s="425"/>
      <c r="O9" s="425"/>
      <c r="P9" s="174"/>
      <c r="Q9" s="426"/>
      <c r="R9" s="426"/>
      <c r="S9" s="424" t="s">
        <v>559</v>
      </c>
    </row>
    <row r="10" spans="1:20" s="404" customFormat="1" ht="20.25" customHeight="1">
      <c r="A10" s="1892"/>
      <c r="B10" s="1893"/>
      <c r="C10" s="427"/>
      <c r="D10" s="428" t="s">
        <v>560</v>
      </c>
      <c r="E10" s="1100"/>
      <c r="F10" s="424" t="s">
        <v>561</v>
      </c>
      <c r="G10" s="429"/>
      <c r="H10" s="430"/>
      <c r="I10" s="430"/>
      <c r="J10" s="430"/>
      <c r="K10" s="162" t="s">
        <v>382</v>
      </c>
      <c r="L10" s="162" t="s">
        <v>382</v>
      </c>
      <c r="M10" s="431" t="s">
        <v>562</v>
      </c>
      <c r="N10" s="181"/>
      <c r="P10" s="586" t="s">
        <v>563</v>
      </c>
      <c r="Q10" s="588"/>
      <c r="S10" s="432"/>
    </row>
    <row r="11" spans="1:20" s="404" customFormat="1" ht="31.5">
      <c r="A11" s="1892"/>
      <c r="B11" s="1893"/>
      <c r="C11" s="427" t="s">
        <v>564</v>
      </c>
      <c r="D11" s="433" t="s">
        <v>565</v>
      </c>
      <c r="E11" s="434" t="s">
        <v>566</v>
      </c>
      <c r="F11" s="434" t="s">
        <v>567</v>
      </c>
      <c r="G11" s="427" t="s">
        <v>568</v>
      </c>
      <c r="H11" s="435" t="s">
        <v>569</v>
      </c>
      <c r="I11" s="435" t="s">
        <v>570</v>
      </c>
      <c r="J11" s="435" t="s">
        <v>392</v>
      </c>
      <c r="K11" s="570" t="s">
        <v>571</v>
      </c>
      <c r="L11" s="570" t="s">
        <v>572</v>
      </c>
      <c r="M11" s="427" t="s">
        <v>573</v>
      </c>
      <c r="N11" s="435" t="s">
        <v>574</v>
      </c>
      <c r="O11" s="587" t="s">
        <v>575</v>
      </c>
      <c r="P11" s="435" t="s">
        <v>576</v>
      </c>
      <c r="Q11" s="435" t="s">
        <v>392</v>
      </c>
      <c r="R11" s="435" t="s">
        <v>382</v>
      </c>
      <c r="S11" s="435" t="s">
        <v>577</v>
      </c>
    </row>
    <row r="12" spans="1:20" s="404" customFormat="1" ht="63">
      <c r="A12" s="179" t="s">
        <v>387</v>
      </c>
      <c r="B12" s="436"/>
      <c r="C12" s="437" t="s">
        <v>474</v>
      </c>
      <c r="D12" s="402" t="s">
        <v>578</v>
      </c>
      <c r="E12" s="402" t="s">
        <v>579</v>
      </c>
      <c r="F12" s="402" t="s">
        <v>580</v>
      </c>
      <c r="G12" s="402" t="s">
        <v>581</v>
      </c>
      <c r="H12" s="402" t="s">
        <v>582</v>
      </c>
      <c r="I12" s="402" t="s">
        <v>583</v>
      </c>
      <c r="J12" s="402" t="s">
        <v>584</v>
      </c>
      <c r="K12" s="571" t="s">
        <v>585</v>
      </c>
      <c r="L12" s="571" t="s">
        <v>586</v>
      </c>
      <c r="M12" s="402" t="s">
        <v>587</v>
      </c>
      <c r="N12" s="402" t="s">
        <v>588</v>
      </c>
      <c r="O12" s="402" t="s">
        <v>589</v>
      </c>
      <c r="P12" s="402" t="s">
        <v>590</v>
      </c>
      <c r="Q12" s="402" t="s">
        <v>591</v>
      </c>
      <c r="R12" s="402" t="s">
        <v>393</v>
      </c>
      <c r="S12" s="402" t="s">
        <v>592</v>
      </c>
      <c r="T12" s="438"/>
    </row>
    <row r="13" spans="1:20" ht="23.85" customHeight="1">
      <c r="A13" s="439">
        <v>2015</v>
      </c>
      <c r="B13" s="440"/>
      <c r="C13" s="1159">
        <v>0.23333805568261445</v>
      </c>
      <c r="D13" s="1160">
        <v>0.65139281212092059</v>
      </c>
      <c r="E13" s="1159" t="s">
        <v>593</v>
      </c>
      <c r="F13" s="1159" t="s">
        <v>593</v>
      </c>
      <c r="G13" s="1161">
        <v>5.6084290967103634</v>
      </c>
      <c r="H13" s="1161">
        <v>3.6333332211713847</v>
      </c>
      <c r="I13" s="1160">
        <v>5.3541886266262075</v>
      </c>
      <c r="J13" s="1160">
        <v>6.428289315982223</v>
      </c>
      <c r="K13" s="1159">
        <v>5.0305449092351751</v>
      </c>
      <c r="L13" s="1159">
        <v>5.0165909467150973</v>
      </c>
      <c r="M13" s="764">
        <v>5.8371668170385815</v>
      </c>
      <c r="N13" s="1160">
        <v>5.2849711630080982</v>
      </c>
      <c r="O13" s="1160">
        <v>3.8227796740160742</v>
      </c>
      <c r="P13" s="1159">
        <v>5.006686436872541</v>
      </c>
      <c r="Q13" s="1160">
        <v>21.967522055244526</v>
      </c>
      <c r="R13" s="1160">
        <v>5.0887035887767338</v>
      </c>
      <c r="S13" s="764">
        <v>19.977930322904573</v>
      </c>
    </row>
    <row r="14" spans="1:20" ht="17.45" customHeight="1">
      <c r="A14" s="439">
        <v>2016</v>
      </c>
      <c r="B14" s="440"/>
      <c r="C14" s="1159">
        <v>0.22493709824148378</v>
      </c>
      <c r="D14" s="1160">
        <v>0.75888842457303718</v>
      </c>
      <c r="E14" s="1159" t="s">
        <v>593</v>
      </c>
      <c r="F14" s="1159" t="s">
        <v>593</v>
      </c>
      <c r="G14" s="1161">
        <v>7.4930062599344227</v>
      </c>
      <c r="H14" s="1161">
        <v>5.7554158042046542</v>
      </c>
      <c r="I14" s="1160">
        <v>4.4790134614266952</v>
      </c>
      <c r="J14" s="1160">
        <v>6.8304533393048228</v>
      </c>
      <c r="K14" s="1159">
        <v>5.4035814410682956</v>
      </c>
      <c r="L14" s="1159">
        <v>4.9059789118415891</v>
      </c>
      <c r="M14" s="764">
        <v>5.4598388567564609</v>
      </c>
      <c r="N14" s="1160">
        <v>5.2990133996465385</v>
      </c>
      <c r="O14" s="1160">
        <v>3.0354955251205462</v>
      </c>
      <c r="P14" s="1159">
        <v>4.7965867487438487</v>
      </c>
      <c r="Q14" s="1160">
        <v>21.984905187229913</v>
      </c>
      <c r="R14" s="1160">
        <v>4.8280412688498071</v>
      </c>
      <c r="S14" s="764">
        <v>19.714060887612629</v>
      </c>
    </row>
    <row r="15" spans="1:20" ht="17.45" customHeight="1">
      <c r="A15" s="439">
        <v>2017</v>
      </c>
      <c r="B15" s="440"/>
      <c r="C15" s="1159">
        <v>0.20952586045057611</v>
      </c>
      <c r="D15" s="1160">
        <v>1.1205502745960598</v>
      </c>
      <c r="E15" s="1159" t="s">
        <v>593</v>
      </c>
      <c r="F15" s="1159" t="s">
        <v>593</v>
      </c>
      <c r="G15" s="1161">
        <v>6.2786941600733153</v>
      </c>
      <c r="H15" s="1161">
        <v>6.40973790292845</v>
      </c>
      <c r="I15" s="1160">
        <v>5.6402067461210628</v>
      </c>
      <c r="J15" s="1160">
        <v>5.9462259099067714</v>
      </c>
      <c r="K15" s="1159">
        <v>5.9878016894142547</v>
      </c>
      <c r="L15" s="1159">
        <v>5.3558650642239076</v>
      </c>
      <c r="M15" s="764">
        <v>5.2690967533673181</v>
      </c>
      <c r="N15" s="1160">
        <v>5.5537780645503103</v>
      </c>
      <c r="O15" s="1160">
        <v>3.515380444925301</v>
      </c>
      <c r="P15" s="1159">
        <v>4.9579448832672295</v>
      </c>
      <c r="Q15" s="1160">
        <v>21.784623070182271</v>
      </c>
      <c r="R15" s="1160">
        <v>5.0056111634683429</v>
      </c>
      <c r="S15" s="764">
        <v>19.619789732555223</v>
      </c>
    </row>
    <row r="16" spans="1:20" ht="17.25" customHeight="1">
      <c r="A16" s="439">
        <v>2018</v>
      </c>
      <c r="B16" s="440"/>
      <c r="C16" s="1159">
        <v>0.21263140882932008</v>
      </c>
      <c r="D16" s="1160">
        <v>1.8078571688335989</v>
      </c>
      <c r="E16" s="1159" t="s">
        <v>593</v>
      </c>
      <c r="F16" s="1159" t="s">
        <v>593</v>
      </c>
      <c r="G16" s="1161">
        <v>6.9596411312786444</v>
      </c>
      <c r="H16" s="1161">
        <v>4.9754568684801024</v>
      </c>
      <c r="I16" s="1160">
        <v>6.5468086395199174</v>
      </c>
      <c r="J16" s="1160">
        <v>6.9965321696692326</v>
      </c>
      <c r="K16" s="1159">
        <v>6.4968899622284697</v>
      </c>
      <c r="L16" s="1159">
        <v>6.3946661590933065</v>
      </c>
      <c r="M16" s="764">
        <v>5.9250114259217828</v>
      </c>
      <c r="N16" s="1159">
        <v>6.0819650943682504</v>
      </c>
      <c r="O16" s="1160">
        <v>4.6154847048785754</v>
      </c>
      <c r="P16" s="1159">
        <v>5.0999798172974664</v>
      </c>
      <c r="Q16" s="1159">
        <v>20.033874717128793</v>
      </c>
      <c r="R16" s="1159">
        <v>5.1859576032685846</v>
      </c>
      <c r="S16" s="764">
        <v>20.22315293106638</v>
      </c>
    </row>
    <row r="17" spans="1:19" ht="17.25" customHeight="1">
      <c r="A17" s="439">
        <v>2019</v>
      </c>
      <c r="B17" s="440"/>
      <c r="C17" s="1159">
        <v>0.22551722974474736</v>
      </c>
      <c r="D17" s="1160">
        <v>1.3119383468681682</v>
      </c>
      <c r="E17" s="1159" t="s">
        <v>593</v>
      </c>
      <c r="F17" s="1159" t="s">
        <v>593</v>
      </c>
      <c r="G17" s="1161">
        <v>6.1895688736941104</v>
      </c>
      <c r="H17" s="1161">
        <v>3.6679800804031331</v>
      </c>
      <c r="I17" s="1160">
        <v>5.7778695712208137</v>
      </c>
      <c r="J17" s="1160">
        <v>6.2397380535792539</v>
      </c>
      <c r="K17" s="1159">
        <v>4.870425881317975</v>
      </c>
      <c r="L17" s="1159">
        <v>4.9698827438585482</v>
      </c>
      <c r="M17" s="764">
        <v>5.3842467801922282</v>
      </c>
      <c r="N17" s="1159">
        <v>6.2745697610232476</v>
      </c>
      <c r="O17" s="1160">
        <v>4.4980024583921283</v>
      </c>
      <c r="P17" s="1159">
        <v>4.8273501981623212</v>
      </c>
      <c r="Q17" s="1159">
        <v>20.133247002488133</v>
      </c>
      <c r="R17" s="1159">
        <v>4.9118549442238875</v>
      </c>
      <c r="S17" s="764">
        <v>21.062937414893124</v>
      </c>
    </row>
    <row r="18" spans="1:19" ht="17.25" customHeight="1">
      <c r="A18" s="439">
        <v>2020</v>
      </c>
      <c r="B18" s="440"/>
      <c r="C18" s="1159">
        <v>0.18019969020984195</v>
      </c>
      <c r="D18" s="1160">
        <v>0.93531013054641798</v>
      </c>
      <c r="E18" s="1159" t="s">
        <v>593</v>
      </c>
      <c r="F18" s="1159" t="s">
        <v>593</v>
      </c>
      <c r="G18" s="1161">
        <v>6.5754592518688817</v>
      </c>
      <c r="H18" s="1161">
        <v>0.74412034783680259</v>
      </c>
      <c r="I18" s="1160">
        <v>5.8192371040683621</v>
      </c>
      <c r="J18" s="1160">
        <v>4.9640028437515582</v>
      </c>
      <c r="K18" s="1159">
        <v>2.3988355926907561</v>
      </c>
      <c r="L18" s="1159">
        <v>3.8942418326198913</v>
      </c>
      <c r="M18" s="764">
        <v>4.9982467318756152</v>
      </c>
      <c r="N18" s="1159">
        <v>6.4753715179338984</v>
      </c>
      <c r="O18" s="1160">
        <v>3.6696935670393129</v>
      </c>
      <c r="P18" s="1159">
        <v>4.6547683515984799</v>
      </c>
      <c r="Q18" s="1159">
        <v>21.022584277041904</v>
      </c>
      <c r="R18" s="1159">
        <v>4.7801557844697697</v>
      </c>
      <c r="S18" s="764">
        <v>21.033308422760467</v>
      </c>
    </row>
    <row r="19" spans="1:19" ht="17.25" customHeight="1">
      <c r="A19" s="439">
        <v>2021</v>
      </c>
      <c r="B19" s="440"/>
      <c r="C19" s="1159">
        <v>0.14601597319041784</v>
      </c>
      <c r="D19" s="1160">
        <v>0.47320712504210705</v>
      </c>
      <c r="E19" s="1159" t="s">
        <v>593</v>
      </c>
      <c r="F19" s="1159" t="s">
        <v>593</v>
      </c>
      <c r="G19" s="1161">
        <v>3.7109389432019912</v>
      </c>
      <c r="H19" s="1161">
        <v>3.1320797313445188</v>
      </c>
      <c r="I19" s="1160">
        <v>4.8371559913613309</v>
      </c>
      <c r="J19" s="1160">
        <v>4.8243739157597831</v>
      </c>
      <c r="K19" s="1159">
        <v>4.1402030355291455</v>
      </c>
      <c r="L19" s="1159">
        <v>4.3137011735169288</v>
      </c>
      <c r="M19" s="764">
        <v>4.7731469436641074</v>
      </c>
      <c r="N19" s="1159">
        <v>4.7148228526038487</v>
      </c>
      <c r="O19" s="1160">
        <v>2.8810690320245826</v>
      </c>
      <c r="P19" s="1159">
        <v>4.1158172896093097</v>
      </c>
      <c r="Q19" s="1159">
        <v>21.158823705109828</v>
      </c>
      <c r="R19" s="1159">
        <v>4.262952108560965</v>
      </c>
      <c r="S19" s="764">
        <v>20.994593522953313</v>
      </c>
    </row>
    <row r="20" spans="1:19" ht="17.25" customHeight="1">
      <c r="A20" s="439">
        <v>2022</v>
      </c>
      <c r="B20" s="440"/>
      <c r="C20" s="1159">
        <v>0.14448258427606056</v>
      </c>
      <c r="D20" s="1160">
        <v>2.0955679129739475</v>
      </c>
      <c r="E20" s="1159" t="s">
        <v>593</v>
      </c>
      <c r="F20" s="1159" t="s">
        <v>593</v>
      </c>
      <c r="G20" s="1161">
        <v>9.048055392943045</v>
      </c>
      <c r="H20" s="1161">
        <v>8.2188039058511144</v>
      </c>
      <c r="I20" s="1160">
        <v>8.6848932188877583</v>
      </c>
      <c r="J20" s="1160">
        <v>6.9395196986049834</v>
      </c>
      <c r="K20" s="1159">
        <v>7.2582717615251395</v>
      </c>
      <c r="L20" s="1159">
        <v>7.5916729764453832</v>
      </c>
      <c r="M20" s="764">
        <v>6.1785745281554254</v>
      </c>
      <c r="N20" s="1159">
        <v>4.9191491729460308</v>
      </c>
      <c r="O20" s="1160">
        <v>2.7874547353071488</v>
      </c>
      <c r="P20" s="1159">
        <v>7.1052952269034853</v>
      </c>
      <c r="Q20" s="1159">
        <v>0.5</v>
      </c>
      <c r="R20" s="1159">
        <v>6.4415867555868376</v>
      </c>
      <c r="S20" s="764">
        <v>21.226588610781018</v>
      </c>
    </row>
    <row r="21" spans="1:19" ht="17.25" customHeight="1">
      <c r="A21" s="439">
        <v>2023</v>
      </c>
      <c r="B21" s="440"/>
      <c r="C21" s="1159">
        <v>0.24150972969573109</v>
      </c>
      <c r="D21" s="1160">
        <v>2.822144124852632</v>
      </c>
      <c r="E21" s="1159">
        <v>2.7478403738126236</v>
      </c>
      <c r="F21" s="1159">
        <v>3.069885346490846</v>
      </c>
      <c r="G21" s="1161">
        <v>10.201455532143887</v>
      </c>
      <c r="H21" s="1161">
        <v>7.6522539119928146</v>
      </c>
      <c r="I21" s="1160">
        <v>9.3767733517956238</v>
      </c>
      <c r="J21" s="1160">
        <v>10.102131798065233</v>
      </c>
      <c r="K21" s="1159">
        <v>9.2667360163488048</v>
      </c>
      <c r="L21" s="1159">
        <v>9.0135974950987983</v>
      </c>
      <c r="M21" s="764">
        <v>5.4719484604558417</v>
      </c>
      <c r="N21" s="1159">
        <v>5.6946608734369999</v>
      </c>
      <c r="O21" s="1160">
        <v>8.6572655948258905</v>
      </c>
      <c r="P21" s="1159">
        <v>6.1046424271657989</v>
      </c>
      <c r="Q21" s="1159">
        <v>19.068049267132224</v>
      </c>
      <c r="R21" s="1159">
        <v>6.1430734291067672</v>
      </c>
      <c r="S21" s="764">
        <v>21.161971950465968</v>
      </c>
    </row>
    <row r="22" spans="1:19" ht="17.25" customHeight="1">
      <c r="A22" s="761">
        <v>2024</v>
      </c>
      <c r="B22" s="1075"/>
      <c r="C22" s="1079">
        <f>C27</f>
        <v>0.22379568420667423</v>
      </c>
      <c r="D22" s="1080">
        <f>D27</f>
        <v>2.3512105064979805</v>
      </c>
      <c r="E22" s="1079">
        <f t="shared" ref="E22:F22" si="0">E27</f>
        <v>2.2943258087953522</v>
      </c>
      <c r="F22" s="1079">
        <f t="shared" si="0"/>
        <v>2.2005299387286597</v>
      </c>
      <c r="G22" s="1081">
        <f t="shared" ref="G22:S22" si="1">G27</f>
        <v>6.6435635203605186</v>
      </c>
      <c r="H22" s="1081">
        <f t="shared" si="1"/>
        <v>6.5910148567563365</v>
      </c>
      <c r="I22" s="1080">
        <f t="shared" si="1"/>
        <v>6.4262486446658587</v>
      </c>
      <c r="J22" s="1080">
        <f t="shared" si="1"/>
        <v>6.5593063436582542</v>
      </c>
      <c r="K22" s="1079">
        <f t="shared" si="1"/>
        <v>6.5559913750279195</v>
      </c>
      <c r="L22" s="1079">
        <f t="shared" si="1"/>
        <v>4.5227988397944827</v>
      </c>
      <c r="M22" s="1082">
        <f t="shared" si="1"/>
        <v>5.2792130444804348</v>
      </c>
      <c r="N22" s="1079">
        <f t="shared" si="1"/>
        <v>4.8409618024466488</v>
      </c>
      <c r="O22" s="1080">
        <f t="shared" si="1"/>
        <v>6.5</v>
      </c>
      <c r="P22" s="1079">
        <f t="shared" si="1"/>
        <v>5.1498775423165402</v>
      </c>
      <c r="Q22" s="1079" t="str">
        <f t="shared" si="1"/>
        <v>N/A</v>
      </c>
      <c r="R22" s="1079">
        <f t="shared" si="1"/>
        <v>5.1575504663992779</v>
      </c>
      <c r="S22" s="1082">
        <f t="shared" si="1"/>
        <v>21.17844701143455</v>
      </c>
    </row>
    <row r="23" spans="1:19" ht="21" customHeight="1">
      <c r="A23" s="439">
        <v>2023</v>
      </c>
      <c r="B23" s="440" t="s">
        <v>238</v>
      </c>
      <c r="C23" s="1159">
        <v>0.24150972969573109</v>
      </c>
      <c r="D23" s="1160">
        <v>2.822144124852632</v>
      </c>
      <c r="E23" s="1159">
        <v>2.7478403738126236</v>
      </c>
      <c r="F23" s="1159">
        <v>3.069885346490846</v>
      </c>
      <c r="G23" s="1161">
        <v>10.201455532143887</v>
      </c>
      <c r="H23" s="1161">
        <v>7.6522539119928146</v>
      </c>
      <c r="I23" s="1160">
        <v>9.3767733517956238</v>
      </c>
      <c r="J23" s="1160">
        <v>10.102131798065233</v>
      </c>
      <c r="K23" s="1159">
        <v>9.2667360163488048</v>
      </c>
      <c r="L23" s="1159">
        <v>9.0135974950987983</v>
      </c>
      <c r="M23" s="764">
        <v>5.4719484604558417</v>
      </c>
      <c r="N23" s="1159">
        <v>5.6946608734369999</v>
      </c>
      <c r="O23" s="1160">
        <v>8.6572655948258905</v>
      </c>
      <c r="P23" s="1159">
        <v>6.1046424271657989</v>
      </c>
      <c r="Q23" s="1159">
        <v>19.068049267132224</v>
      </c>
      <c r="R23" s="1159">
        <v>6.1430734291067672</v>
      </c>
      <c r="S23" s="764">
        <v>21.161971950465968</v>
      </c>
    </row>
    <row r="24" spans="1:19" ht="21" customHeight="1">
      <c r="A24" s="439">
        <v>2024</v>
      </c>
      <c r="B24" s="440" t="s">
        <v>239</v>
      </c>
      <c r="C24" s="1159">
        <v>0.24771535484468418</v>
      </c>
      <c r="D24" s="1160">
        <v>2.7970995620746799</v>
      </c>
      <c r="E24" s="1159">
        <v>2.7134095028784113</v>
      </c>
      <c r="F24" s="1159">
        <v>2.5006809683970253</v>
      </c>
      <c r="G24" s="1161">
        <v>9.6848962736272775</v>
      </c>
      <c r="H24" s="1161">
        <v>7.3398182266226435</v>
      </c>
      <c r="I24" s="1160">
        <v>8.1007031629249511</v>
      </c>
      <c r="J24" s="1160">
        <v>8.0664736324370292</v>
      </c>
      <c r="K24" s="1159">
        <v>7.9873404919791442</v>
      </c>
      <c r="L24" s="1159">
        <v>8.2143155034111945</v>
      </c>
      <c r="M24" s="764">
        <v>5.5351366637407127</v>
      </c>
      <c r="N24" s="1159">
        <v>4.9763216679807272</v>
      </c>
      <c r="O24" s="1160">
        <v>6.2964852456687188</v>
      </c>
      <c r="P24" s="1159">
        <v>5.7584515025285699</v>
      </c>
      <c r="Q24" s="1159" t="s">
        <v>593</v>
      </c>
      <c r="R24" s="1159">
        <v>5.6667197599729207</v>
      </c>
      <c r="S24" s="764">
        <v>21.32199467901664</v>
      </c>
    </row>
    <row r="25" spans="1:19" ht="15" customHeight="1">
      <c r="A25" s="439"/>
      <c r="B25" s="440" t="s">
        <v>240</v>
      </c>
      <c r="C25" s="1159">
        <v>0.24272999405514287</v>
      </c>
      <c r="D25" s="1160">
        <v>2.9027923761985872</v>
      </c>
      <c r="E25" s="1159">
        <v>2.9030375523354821</v>
      </c>
      <c r="F25" s="1159">
        <v>2.8464750888559327</v>
      </c>
      <c r="G25" s="1161">
        <v>8.9765769191410723</v>
      </c>
      <c r="H25" s="1161">
        <v>7.4774812667894439</v>
      </c>
      <c r="I25" s="1160">
        <v>7.9815791029881176</v>
      </c>
      <c r="J25" s="1160">
        <v>7.0102888961826437</v>
      </c>
      <c r="K25" s="1159">
        <v>7.4867725362698954</v>
      </c>
      <c r="L25" s="1159">
        <v>7.740371106974429</v>
      </c>
      <c r="M25" s="764">
        <v>5.4639125649547191</v>
      </c>
      <c r="N25" s="1159">
        <v>5.1625901218238752</v>
      </c>
      <c r="O25" s="1160">
        <v>7.1407793006678117</v>
      </c>
      <c r="P25" s="1159">
        <v>5.6734408057598893</v>
      </c>
      <c r="Q25" s="1159" t="s">
        <v>593</v>
      </c>
      <c r="R25" s="1159">
        <v>5.6450008738597903</v>
      </c>
      <c r="S25" s="764">
        <v>21.093956922179299</v>
      </c>
    </row>
    <row r="26" spans="1:19" ht="15" customHeight="1">
      <c r="A26" s="439"/>
      <c r="B26" s="440" t="s">
        <v>237</v>
      </c>
      <c r="C26" s="1159">
        <v>0.22754359346262354</v>
      </c>
      <c r="D26" s="1160">
        <v>2.7985131964226513</v>
      </c>
      <c r="E26" s="1159">
        <v>2.8211868189212712</v>
      </c>
      <c r="F26" s="1159">
        <v>2.4355558612611565</v>
      </c>
      <c r="G26" s="1161">
        <v>8.6133540346801531</v>
      </c>
      <c r="H26" s="1161">
        <v>6.4716952250856945</v>
      </c>
      <c r="I26" s="1160">
        <v>8.3852994991848124</v>
      </c>
      <c r="J26" s="1160">
        <v>6.2399867312672068</v>
      </c>
      <c r="K26" s="1159">
        <v>6.5410420754638405</v>
      </c>
      <c r="L26" s="1159">
        <v>6.9820383370264238</v>
      </c>
      <c r="M26" s="764">
        <v>5.1965257087413903</v>
      </c>
      <c r="N26" s="1159">
        <v>4.8353436209964924</v>
      </c>
      <c r="O26" s="1160">
        <v>6.5114877402564479</v>
      </c>
      <c r="P26" s="1159">
        <v>5.1856886684710002</v>
      </c>
      <c r="Q26" s="1159" t="s">
        <v>593</v>
      </c>
      <c r="R26" s="1159">
        <v>5.1826455096659263</v>
      </c>
      <c r="S26" s="764">
        <v>21.163679075078477</v>
      </c>
    </row>
    <row r="27" spans="1:19" ht="15" customHeight="1">
      <c r="A27" s="439"/>
      <c r="B27" s="440" t="s">
        <v>238</v>
      </c>
      <c r="C27" s="1159">
        <v>0.22379568420667423</v>
      </c>
      <c r="D27" s="1160">
        <v>2.3512105064979805</v>
      </c>
      <c r="E27" s="1159">
        <v>2.2943258087953522</v>
      </c>
      <c r="F27" s="1159">
        <v>2.2005299387286597</v>
      </c>
      <c r="G27" s="1161">
        <v>6.6435635203605186</v>
      </c>
      <c r="H27" s="1161">
        <v>6.5910148567563365</v>
      </c>
      <c r="I27" s="1160">
        <v>6.4262486446658587</v>
      </c>
      <c r="J27" s="1160">
        <v>6.5593063436582542</v>
      </c>
      <c r="K27" s="1159">
        <v>6.5559913750279195</v>
      </c>
      <c r="L27" s="1159">
        <v>4.5227988397944827</v>
      </c>
      <c r="M27" s="764">
        <v>5.2792130444804348</v>
      </c>
      <c r="N27" s="1159">
        <v>4.8409618024466488</v>
      </c>
      <c r="O27" s="1160">
        <v>6.5</v>
      </c>
      <c r="P27" s="1159">
        <v>5.1498775423165402</v>
      </c>
      <c r="Q27" s="1159" t="s">
        <v>593</v>
      </c>
      <c r="R27" s="1159">
        <v>5.1575504663992779</v>
      </c>
      <c r="S27" s="764">
        <v>21.17844701143455</v>
      </c>
    </row>
    <row r="28" spans="1:19" ht="21" customHeight="1">
      <c r="A28" s="439">
        <v>2025</v>
      </c>
      <c r="B28" s="440" t="s">
        <v>239</v>
      </c>
      <c r="C28" s="1159">
        <f t="shared" ref="C28:S28" si="2">C36</f>
        <v>0.20424780372844314</v>
      </c>
      <c r="D28" s="1160">
        <f t="shared" si="2"/>
        <v>2.1569568665469685</v>
      </c>
      <c r="E28" s="1159">
        <f t="shared" si="2"/>
        <v>2.2084042065940541</v>
      </c>
      <c r="F28" s="1159">
        <f t="shared" si="2"/>
        <v>2.0886229140775878</v>
      </c>
      <c r="G28" s="1161">
        <f t="shared" si="2"/>
        <v>7.6077899926615205</v>
      </c>
      <c r="H28" s="1161">
        <f t="shared" si="2"/>
        <v>4.8108468594943732</v>
      </c>
      <c r="I28" s="1160">
        <f t="shared" si="2"/>
        <v>6.5607997322788085</v>
      </c>
      <c r="J28" s="1160">
        <f t="shared" si="2"/>
        <v>7.995673228089287</v>
      </c>
      <c r="K28" s="1159">
        <f t="shared" si="2"/>
        <v>7.8072850788277925</v>
      </c>
      <c r="L28" s="1159">
        <f t="shared" si="2"/>
        <v>4.8177986744771282</v>
      </c>
      <c r="M28" s="764">
        <f t="shared" si="2"/>
        <v>5.1761992472998255</v>
      </c>
      <c r="N28" s="1159">
        <f t="shared" si="2"/>
        <v>4.3846474627037129</v>
      </c>
      <c r="O28" s="1160">
        <f t="shared" si="2"/>
        <v>6.0848731513930749</v>
      </c>
      <c r="P28" s="1159">
        <f t="shared" si="2"/>
        <v>4.8461693532660854</v>
      </c>
      <c r="Q28" s="1159" t="str">
        <f t="shared" si="2"/>
        <v>N/A</v>
      </c>
      <c r="R28" s="1159">
        <f t="shared" si="2"/>
        <v>4.8894369612421249</v>
      </c>
      <c r="S28" s="764">
        <f t="shared" si="2"/>
        <v>21.052469517291591</v>
      </c>
    </row>
    <row r="29" spans="1:19" ht="15" customHeight="1">
      <c r="A29" s="439"/>
      <c r="B29" s="440" t="s">
        <v>240</v>
      </c>
      <c r="C29" s="1159">
        <f t="shared" ref="C29:S29" si="3">C39</f>
        <v>0.19870341726279336</v>
      </c>
      <c r="D29" s="1160">
        <f t="shared" si="3"/>
        <v>2.1476951446100152</v>
      </c>
      <c r="E29" s="1159">
        <f t="shared" si="3"/>
        <v>1.9511669101766729</v>
      </c>
      <c r="F29" s="1159">
        <f t="shared" si="3"/>
        <v>2.1509768907584985</v>
      </c>
      <c r="G29" s="1161">
        <f t="shared" si="3"/>
        <v>8.039291938088903</v>
      </c>
      <c r="H29" s="1161">
        <f t="shared" si="3"/>
        <v>6.4424597582757546</v>
      </c>
      <c r="I29" s="1160">
        <f t="shared" si="3"/>
        <v>6.8865673871224091</v>
      </c>
      <c r="J29" s="1160">
        <f t="shared" si="3"/>
        <v>6.9175915551320282</v>
      </c>
      <c r="K29" s="1159">
        <f t="shared" si="3"/>
        <v>6.597520196513238</v>
      </c>
      <c r="L29" s="1159">
        <f t="shared" si="3"/>
        <v>6.991144564038632</v>
      </c>
      <c r="M29" s="764">
        <f t="shared" si="3"/>
        <v>5.1909032311184031</v>
      </c>
      <c r="N29" s="1159">
        <f t="shared" si="3"/>
        <v>5.3573639225390997</v>
      </c>
      <c r="O29" s="1160">
        <f t="shared" si="3"/>
        <v>5.5172887318765786</v>
      </c>
      <c r="P29" s="1159">
        <f t="shared" si="3"/>
        <v>4.907995819298006</v>
      </c>
      <c r="Q29" s="1159" t="str">
        <f t="shared" si="3"/>
        <v>N/A</v>
      </c>
      <c r="R29" s="1159">
        <f t="shared" si="3"/>
        <v>4.938767689781181</v>
      </c>
      <c r="S29" s="764">
        <f t="shared" si="3"/>
        <v>21.063376540277918</v>
      </c>
    </row>
    <row r="30" spans="1:19" ht="15" customHeight="1">
      <c r="A30" s="761"/>
      <c r="B30" s="1075" t="s">
        <v>237</v>
      </c>
      <c r="C30" s="1079">
        <f t="shared" ref="C30:S30" si="4">C42</f>
        <v>0.19844027570018405</v>
      </c>
      <c r="D30" s="1080">
        <f t="shared" si="4"/>
        <v>2.0907100697198406</v>
      </c>
      <c r="E30" s="1079">
        <f t="shared" si="4"/>
        <v>1.8632965112164808</v>
      </c>
      <c r="F30" s="1079">
        <f t="shared" si="4"/>
        <v>2.0101091771880517</v>
      </c>
      <c r="G30" s="1081">
        <f t="shared" si="4"/>
        <v>8.5</v>
      </c>
      <c r="H30" s="1081">
        <f t="shared" si="4"/>
        <v>5.5390605839633489</v>
      </c>
      <c r="I30" s="1080">
        <f t="shared" si="4"/>
        <v>7.4476440350095876</v>
      </c>
      <c r="J30" s="1080">
        <f t="shared" si="4"/>
        <v>6.9247683731168372</v>
      </c>
      <c r="K30" s="1079">
        <f t="shared" si="4"/>
        <v>6.0520034513959535</v>
      </c>
      <c r="L30" s="1079">
        <f t="shared" si="4"/>
        <v>6.3158040666138184</v>
      </c>
      <c r="M30" s="1082">
        <f t="shared" si="4"/>
        <v>5.2570056359857036</v>
      </c>
      <c r="N30" s="1079">
        <f t="shared" si="4"/>
        <v>5.0250618019302911</v>
      </c>
      <c r="O30" s="1080">
        <f t="shared" si="4"/>
        <v>5.6093601686098369</v>
      </c>
      <c r="P30" s="1079">
        <f t="shared" si="4"/>
        <v>4.8047669723258366</v>
      </c>
      <c r="Q30" s="1079" t="str">
        <f t="shared" si="4"/>
        <v>N/A</v>
      </c>
      <c r="R30" s="1079">
        <f t="shared" si="4"/>
        <v>4.8709867170648486</v>
      </c>
      <c r="S30" s="1082">
        <f t="shared" si="4"/>
        <v>20.855640165296695</v>
      </c>
    </row>
    <row r="31" spans="1:19" ht="21" customHeight="1">
      <c r="A31" s="439">
        <v>2024</v>
      </c>
      <c r="B31" s="440" t="s">
        <v>412</v>
      </c>
      <c r="C31" s="1159">
        <v>0.22741488656015013</v>
      </c>
      <c r="D31" s="1160">
        <v>2.6111946927361926</v>
      </c>
      <c r="E31" s="1160">
        <v>2.50282171747368</v>
      </c>
      <c r="F31" s="1160">
        <v>2.2710086779174365</v>
      </c>
      <c r="G31" s="1161">
        <v>5.4284562104320999</v>
      </c>
      <c r="H31" s="1161">
        <v>5.9984844275196636</v>
      </c>
      <c r="I31" s="1160">
        <v>6.7669545707112198</v>
      </c>
      <c r="J31" s="1160">
        <v>7.1477298965725744</v>
      </c>
      <c r="K31" s="1159">
        <v>6.7120119798977926</v>
      </c>
      <c r="L31" s="1159">
        <v>7.4608286424079067</v>
      </c>
      <c r="M31" s="764">
        <v>5.4626128313840825</v>
      </c>
      <c r="N31" s="1160">
        <v>4.891167213889414</v>
      </c>
      <c r="O31" s="1160">
        <v>5.6854563615387717</v>
      </c>
      <c r="P31" s="764">
        <v>5.2605357325692337</v>
      </c>
      <c r="Q31" s="1160" t="s">
        <v>593</v>
      </c>
      <c r="R31" s="1160">
        <v>5.2710065474358538</v>
      </c>
      <c r="S31" s="764">
        <v>21.224799161521876</v>
      </c>
    </row>
    <row r="32" spans="1:19" ht="15.75">
      <c r="A32" s="439"/>
      <c r="B32" s="440" t="s">
        <v>413</v>
      </c>
      <c r="C32" s="1159">
        <v>0.2255021698794959</v>
      </c>
      <c r="D32" s="1160">
        <v>2.3663314999817291</v>
      </c>
      <c r="E32" s="1160">
        <v>2.4521161337993762</v>
      </c>
      <c r="F32" s="1160">
        <v>2.2852678200789884</v>
      </c>
      <c r="G32" s="1161">
        <v>6.5128810426701547</v>
      </c>
      <c r="H32" s="1161">
        <v>7.2599196056291087</v>
      </c>
      <c r="I32" s="1160">
        <v>6.0199935870747474</v>
      </c>
      <c r="J32" s="1160">
        <v>6.6301004237913919</v>
      </c>
      <c r="K32" s="1159">
        <v>6.8297179557439405</v>
      </c>
      <c r="L32" s="1159">
        <v>4.4996461715019915</v>
      </c>
      <c r="M32" s="764">
        <v>5.1042544439129012</v>
      </c>
      <c r="N32" s="1160">
        <v>5.2608041696989751</v>
      </c>
      <c r="O32" s="1160">
        <v>6.2492006324425295</v>
      </c>
      <c r="P32" s="764">
        <v>5.1939037169873519</v>
      </c>
      <c r="Q32" s="1160" t="s">
        <v>593</v>
      </c>
      <c r="R32" s="1160">
        <v>5.1934257012285787</v>
      </c>
      <c r="S32" s="764">
        <v>21.185542419987129</v>
      </c>
    </row>
    <row r="33" spans="1:19" ht="15.75">
      <c r="A33" s="439"/>
      <c r="B33" s="440" t="s">
        <v>414</v>
      </c>
      <c r="C33" s="1159">
        <v>0.22379568420667423</v>
      </c>
      <c r="D33" s="1160">
        <v>2.3512105064979805</v>
      </c>
      <c r="E33" s="1160">
        <v>2.2943258087953522</v>
      </c>
      <c r="F33" s="1160">
        <v>2.2005299387286597</v>
      </c>
      <c r="G33" s="1161">
        <v>6.6435635203605186</v>
      </c>
      <c r="H33" s="1161">
        <v>6.5910148567563365</v>
      </c>
      <c r="I33" s="1160">
        <v>6.4262486446658587</v>
      </c>
      <c r="J33" s="1160">
        <v>6.5593063436582542</v>
      </c>
      <c r="K33" s="1159">
        <v>6.5559913750279195</v>
      </c>
      <c r="L33" s="1159">
        <v>4.5227988397944827</v>
      </c>
      <c r="M33" s="764">
        <v>5.2792130444804348</v>
      </c>
      <c r="N33" s="1160">
        <v>4.8409618024466488</v>
      </c>
      <c r="O33" s="1160">
        <v>6.5</v>
      </c>
      <c r="P33" s="764">
        <v>5.1498775423165402</v>
      </c>
      <c r="Q33" s="1160" t="s">
        <v>593</v>
      </c>
      <c r="R33" s="1160">
        <v>5.1575504663992779</v>
      </c>
      <c r="S33" s="764">
        <v>21.17844701143455</v>
      </c>
    </row>
    <row r="34" spans="1:19" ht="21" customHeight="1">
      <c r="A34" s="439">
        <v>2025</v>
      </c>
      <c r="B34" s="440" t="s">
        <v>415</v>
      </c>
      <c r="C34" s="1159">
        <v>0.21598296276448628</v>
      </c>
      <c r="D34" s="1160">
        <v>2.3291950141603173</v>
      </c>
      <c r="E34" s="1160">
        <v>2.2725685840340502</v>
      </c>
      <c r="F34" s="1160">
        <v>2.1494782772866676</v>
      </c>
      <c r="G34" s="1161">
        <v>7.931239448308923</v>
      </c>
      <c r="H34" s="1161">
        <v>6.3421398233485364</v>
      </c>
      <c r="I34" s="1160">
        <v>6.3739207836893854</v>
      </c>
      <c r="J34" s="1160">
        <v>8.2404971178499782</v>
      </c>
      <c r="K34" s="1159">
        <v>6.5649033540127899</v>
      </c>
      <c r="L34" s="1159">
        <v>7.3682956784274403</v>
      </c>
      <c r="M34" s="764">
        <v>5.4259134950270296</v>
      </c>
      <c r="N34" s="1160">
        <v>4.7280282019382502</v>
      </c>
      <c r="O34" s="1160">
        <v>6.1079588900564188</v>
      </c>
      <c r="P34" s="764">
        <v>5.0741444780863052</v>
      </c>
      <c r="Q34" s="1160" t="s">
        <v>593</v>
      </c>
      <c r="R34" s="1160">
        <v>5.1038406294078653</v>
      </c>
      <c r="S34" s="764">
        <v>21.169922278818252</v>
      </c>
    </row>
    <row r="35" spans="1:19" ht="16.5" customHeight="1">
      <c r="A35" s="439"/>
      <c r="B35" s="440" t="s">
        <v>416</v>
      </c>
      <c r="C35" s="1159">
        <v>0.22542563614630823</v>
      </c>
      <c r="D35" s="1160">
        <v>2.3968636245922434</v>
      </c>
      <c r="E35" s="1160">
        <v>2.3596133829950299</v>
      </c>
      <c r="F35" s="1160">
        <v>2.2084223289016154</v>
      </c>
      <c r="G35" s="1161">
        <v>7.9327231317200528</v>
      </c>
      <c r="H35" s="1161">
        <v>4.3534570492267788</v>
      </c>
      <c r="I35" s="1160">
        <v>6.0424257831358554</v>
      </c>
      <c r="J35" s="1160">
        <v>7.4223365572443312</v>
      </c>
      <c r="K35" s="1159">
        <v>6.4503879313994812</v>
      </c>
      <c r="L35" s="1159">
        <v>7.322643874241149</v>
      </c>
      <c r="M35" s="764">
        <v>5.1504995752019722</v>
      </c>
      <c r="N35" s="1160">
        <v>4.10924021103874</v>
      </c>
      <c r="O35" s="1160">
        <v>5.2888638593880648</v>
      </c>
      <c r="P35" s="764">
        <v>4.8723045415376465</v>
      </c>
      <c r="Q35" s="1160" t="s">
        <v>593</v>
      </c>
      <c r="R35" s="1160">
        <v>4.9027461338941372</v>
      </c>
      <c r="S35" s="764">
        <v>21.101793381687074</v>
      </c>
    </row>
    <row r="36" spans="1:19" ht="16.5" customHeight="1">
      <c r="A36" s="439"/>
      <c r="B36" s="440" t="s">
        <v>417</v>
      </c>
      <c r="C36" s="1159">
        <v>0.20424780372844314</v>
      </c>
      <c r="D36" s="1160">
        <v>2.1569568665469685</v>
      </c>
      <c r="E36" s="1160">
        <v>2.2084042065940541</v>
      </c>
      <c r="F36" s="1160">
        <v>2.0886229140775878</v>
      </c>
      <c r="G36" s="1161">
        <v>7.6077899926615205</v>
      </c>
      <c r="H36" s="1161">
        <v>4.8108468594943732</v>
      </c>
      <c r="I36" s="1160">
        <v>6.5607997322788085</v>
      </c>
      <c r="J36" s="1160">
        <v>7.995673228089287</v>
      </c>
      <c r="K36" s="1159">
        <v>7.8072850788277925</v>
      </c>
      <c r="L36" s="1159">
        <v>4.8177986744771282</v>
      </c>
      <c r="M36" s="764">
        <v>5.1761992472998255</v>
      </c>
      <c r="N36" s="1160">
        <v>4.3846474627037129</v>
      </c>
      <c r="O36" s="1160">
        <v>6.0848731513930749</v>
      </c>
      <c r="P36" s="764">
        <v>4.8461693532660854</v>
      </c>
      <c r="Q36" s="1160" t="s">
        <v>593</v>
      </c>
      <c r="R36" s="1160">
        <v>4.8894369612421249</v>
      </c>
      <c r="S36" s="764">
        <v>21.052469517291591</v>
      </c>
    </row>
    <row r="37" spans="1:19" ht="16.5" customHeight="1">
      <c r="A37" s="439"/>
      <c r="B37" s="440" t="s">
        <v>418</v>
      </c>
      <c r="C37" s="1159">
        <v>0.20841935471460341</v>
      </c>
      <c r="D37" s="1160">
        <v>2.1612645570903952</v>
      </c>
      <c r="E37" s="1160">
        <v>2.2168450308506431</v>
      </c>
      <c r="F37" s="1160">
        <v>2.1010742549662051</v>
      </c>
      <c r="G37" s="1161">
        <v>8.3005260413858917</v>
      </c>
      <c r="H37" s="1161">
        <v>5.7134764847297443</v>
      </c>
      <c r="I37" s="1160">
        <v>6.5910148293636484</v>
      </c>
      <c r="J37" s="1160">
        <v>8.2043157670246902</v>
      </c>
      <c r="K37" s="1159">
        <v>7.4091066020011924</v>
      </c>
      <c r="L37" s="1159">
        <v>7.3742015971376622</v>
      </c>
      <c r="M37" s="764">
        <v>5.1482548608447063</v>
      </c>
      <c r="N37" s="1160">
        <v>4.0477277934539497</v>
      </c>
      <c r="O37" s="1160">
        <v>6.5862896932251136</v>
      </c>
      <c r="P37" s="764">
        <v>4.7176115277609636</v>
      </c>
      <c r="Q37" s="1160" t="s">
        <v>593</v>
      </c>
      <c r="R37" s="1160">
        <v>4.7844165461647501</v>
      </c>
      <c r="S37" s="764">
        <v>21.153728131775939</v>
      </c>
    </row>
    <row r="38" spans="1:19" ht="16.5" customHeight="1">
      <c r="A38" s="439"/>
      <c r="B38" s="440" t="s">
        <v>419</v>
      </c>
      <c r="C38" s="1159">
        <v>0.19770986908335231</v>
      </c>
      <c r="D38" s="1160">
        <v>2.1495401868772128</v>
      </c>
      <c r="E38" s="1160">
        <v>2.2736972317214956</v>
      </c>
      <c r="F38" s="1160">
        <v>2.1332809866387943</v>
      </c>
      <c r="G38" s="1161">
        <v>7.8553953293109471</v>
      </c>
      <c r="H38" s="1161">
        <v>5.8150476256149908</v>
      </c>
      <c r="I38" s="1160">
        <v>6.3957123105845604</v>
      </c>
      <c r="J38" s="1160">
        <v>6.9629229462640421</v>
      </c>
      <c r="K38" s="1159">
        <v>6.6728780652243547</v>
      </c>
      <c r="L38" s="1159">
        <v>7.2141587364102842</v>
      </c>
      <c r="M38" s="764">
        <v>5.1468700107001428</v>
      </c>
      <c r="N38" s="1160">
        <v>4.936767437451385</v>
      </c>
      <c r="O38" s="1160">
        <v>5.164115453493352</v>
      </c>
      <c r="P38" s="764">
        <v>4.7045706329455674</v>
      </c>
      <c r="Q38" s="1160" t="s">
        <v>593</v>
      </c>
      <c r="R38" s="1160">
        <v>4.8357410726273198</v>
      </c>
      <c r="S38" s="764">
        <v>21.137101959050455</v>
      </c>
    </row>
    <row r="39" spans="1:19" ht="16.5" customHeight="1">
      <c r="A39" s="439"/>
      <c r="B39" s="440" t="s">
        <v>420</v>
      </c>
      <c r="C39" s="1159">
        <v>0.19870341726279336</v>
      </c>
      <c r="D39" s="1160">
        <v>2.1476951446100152</v>
      </c>
      <c r="E39" s="1160">
        <v>1.9511669101766729</v>
      </c>
      <c r="F39" s="1160">
        <v>2.1509768907584985</v>
      </c>
      <c r="G39" s="1161">
        <v>8.039291938088903</v>
      </c>
      <c r="H39" s="1161">
        <v>6.4424597582757546</v>
      </c>
      <c r="I39" s="1160">
        <v>6.8865673871224091</v>
      </c>
      <c r="J39" s="1160">
        <v>6.9175915551320282</v>
      </c>
      <c r="K39" s="1159">
        <v>6.597520196513238</v>
      </c>
      <c r="L39" s="1159">
        <v>6.991144564038632</v>
      </c>
      <c r="M39" s="764">
        <v>5.1909032311184031</v>
      </c>
      <c r="N39" s="1160">
        <v>5.3573639225390997</v>
      </c>
      <c r="O39" s="1160">
        <v>5.5172887318765786</v>
      </c>
      <c r="P39" s="764">
        <v>4.907995819298006</v>
      </c>
      <c r="Q39" s="1160" t="s">
        <v>593</v>
      </c>
      <c r="R39" s="1160">
        <v>4.938767689781181</v>
      </c>
      <c r="S39" s="764">
        <v>21.063376540277918</v>
      </c>
    </row>
    <row r="40" spans="1:19" ht="16.5" customHeight="1">
      <c r="A40" s="439"/>
      <c r="B40" s="440" t="s">
        <v>421</v>
      </c>
      <c r="C40" s="1159">
        <v>0.19534462820873605</v>
      </c>
      <c r="D40" s="1160">
        <v>2.1204023636845637</v>
      </c>
      <c r="E40" s="1160">
        <v>2.2109575896194391</v>
      </c>
      <c r="F40" s="1160">
        <v>2.0971800529924325</v>
      </c>
      <c r="G40" s="1161">
        <v>8.4082392457902984</v>
      </c>
      <c r="H40" s="1161">
        <v>6.4960039337307318</v>
      </c>
      <c r="I40" s="1160">
        <v>6.0496608584432909</v>
      </c>
      <c r="J40" s="1160">
        <v>7.1818185784837762</v>
      </c>
      <c r="K40" s="1159">
        <v>7.1813520101087711</v>
      </c>
      <c r="L40" s="1159">
        <v>3.8602723930162339</v>
      </c>
      <c r="M40" s="764">
        <v>5.1194393961276896</v>
      </c>
      <c r="N40" s="1160">
        <v>5.2687022887725155</v>
      </c>
      <c r="O40" s="1160">
        <v>5.5034785944535116</v>
      </c>
      <c r="P40" s="764">
        <v>5.0159889116568941</v>
      </c>
      <c r="Q40" s="1160" t="s">
        <v>593</v>
      </c>
      <c r="R40" s="1160">
        <v>5.0383692400273041</v>
      </c>
      <c r="S40" s="764">
        <v>20.971282832512873</v>
      </c>
    </row>
    <row r="41" spans="1:19" ht="16.5" customHeight="1">
      <c r="A41" s="439"/>
      <c r="B41" s="440" t="s">
        <v>422</v>
      </c>
      <c r="C41" s="1159">
        <v>0.18964901574957505</v>
      </c>
      <c r="D41" s="1160">
        <v>2.1239469013761241</v>
      </c>
      <c r="E41" s="1160">
        <v>1.9559707844783119</v>
      </c>
      <c r="F41" s="1160">
        <v>1.8498043556026853</v>
      </c>
      <c r="G41" s="1161">
        <v>7.6748186050173421</v>
      </c>
      <c r="H41" s="1161">
        <v>5.5504520914067275</v>
      </c>
      <c r="I41" s="1160">
        <v>6.2772730129242129</v>
      </c>
      <c r="J41" s="1160">
        <v>7.693876363725269</v>
      </c>
      <c r="K41" s="1159">
        <v>6.1039724355591334</v>
      </c>
      <c r="L41" s="1159">
        <v>7.4319283289444078</v>
      </c>
      <c r="M41" s="764">
        <v>5.2003380320048933</v>
      </c>
      <c r="N41" s="1160">
        <v>4.7862516405316748</v>
      </c>
      <c r="O41" s="1160">
        <v>5.5</v>
      </c>
      <c r="P41" s="764">
        <v>4.8788703019663284</v>
      </c>
      <c r="Q41" s="1160" t="s">
        <v>593</v>
      </c>
      <c r="R41" s="1160">
        <v>4.9335346291373243</v>
      </c>
      <c r="S41" s="764">
        <v>20.858804255031423</v>
      </c>
    </row>
    <row r="42" spans="1:19" ht="16.5" customHeight="1">
      <c r="A42" s="439"/>
      <c r="B42" s="440" t="s">
        <v>423</v>
      </c>
      <c r="C42" s="1159">
        <v>0.19844027570018405</v>
      </c>
      <c r="D42" s="1160">
        <v>2.0907100697198406</v>
      </c>
      <c r="E42" s="1160">
        <v>1.8632965112164808</v>
      </c>
      <c r="F42" s="1160">
        <v>2.0101091771880517</v>
      </c>
      <c r="G42" s="1161">
        <v>8.5</v>
      </c>
      <c r="H42" s="1161">
        <v>5.5390605839633489</v>
      </c>
      <c r="I42" s="1160">
        <v>7.4476440350095876</v>
      </c>
      <c r="J42" s="1160">
        <v>6.9247683731168372</v>
      </c>
      <c r="K42" s="1159">
        <v>6.0520034513959535</v>
      </c>
      <c r="L42" s="1159">
        <v>6.3158040666138184</v>
      </c>
      <c r="M42" s="764">
        <v>5.2570056359857036</v>
      </c>
      <c r="N42" s="1160">
        <v>5.0250618019302911</v>
      </c>
      <c r="O42" s="1160">
        <v>5.6093601686098369</v>
      </c>
      <c r="P42" s="764">
        <v>4.8047669723258366</v>
      </c>
      <c r="Q42" s="1160" t="s">
        <v>593</v>
      </c>
      <c r="R42" s="1160">
        <v>4.8709867170648486</v>
      </c>
      <c r="S42" s="764">
        <v>20.855640165296695</v>
      </c>
    </row>
    <row r="43" spans="1:19" ht="16.5" customHeight="1">
      <c r="A43" s="439"/>
      <c r="B43" s="440" t="s">
        <v>412</v>
      </c>
      <c r="C43" s="1159">
        <v>0.19975959201642851</v>
      </c>
      <c r="D43" s="1160">
        <v>1.6586414323645056</v>
      </c>
      <c r="E43" s="1160">
        <v>1.8313123866212344</v>
      </c>
      <c r="F43" s="1160">
        <v>1.9881735830544431</v>
      </c>
      <c r="G43" s="1161">
        <v>7.9322285895952938</v>
      </c>
      <c r="H43" s="1161">
        <v>5.4012901560900639</v>
      </c>
      <c r="I43" s="1160">
        <v>6.3173697378416334</v>
      </c>
      <c r="J43" s="1160">
        <v>5.6018329101056326</v>
      </c>
      <c r="K43" s="1159">
        <v>5.7550374578125831</v>
      </c>
      <c r="L43" s="1159">
        <v>6.3496198129993875</v>
      </c>
      <c r="M43" s="764">
        <v>5.174744460299614</v>
      </c>
      <c r="N43" s="1160">
        <v>4.9948774212943929</v>
      </c>
      <c r="O43" s="1160">
        <v>5.9866190849947101</v>
      </c>
      <c r="P43" s="764">
        <v>4.775960779523075</v>
      </c>
      <c r="Q43" s="1160" t="s">
        <v>593</v>
      </c>
      <c r="R43" s="1160">
        <v>4.8469145996336085</v>
      </c>
      <c r="S43" s="764">
        <v>20.917505618250949</v>
      </c>
    </row>
    <row r="44" spans="1:19" s="306" customFormat="1" ht="20.25" customHeight="1">
      <c r="A44" s="253" t="s">
        <v>594</v>
      </c>
      <c r="B44" s="253"/>
      <c r="C44" s="253"/>
      <c r="D44" s="253"/>
      <c r="E44" s="253"/>
      <c r="F44" s="253"/>
      <c r="G44" s="253"/>
      <c r="H44" s="253"/>
      <c r="I44" s="253"/>
      <c r="J44" s="253"/>
      <c r="K44" s="253"/>
      <c r="L44" s="253"/>
      <c r="M44" s="253"/>
      <c r="N44" s="253"/>
      <c r="O44" s="253"/>
      <c r="P44" s="253"/>
      <c r="Q44" s="253"/>
      <c r="R44" s="253"/>
      <c r="S44" s="1603" t="s">
        <v>595</v>
      </c>
    </row>
    <row r="45" spans="1:19" s="306" customFormat="1" ht="14.25" customHeight="1">
      <c r="A45" s="306" t="s">
        <v>596</v>
      </c>
      <c r="L45" s="321"/>
      <c r="M45" s="321"/>
      <c r="S45" s="305" t="s">
        <v>597</v>
      </c>
    </row>
    <row r="46" spans="1:19" s="306" customFormat="1" ht="14.25" customHeight="1">
      <c r="A46" s="306" t="s">
        <v>598</v>
      </c>
      <c r="I46" s="441"/>
      <c r="J46" s="441"/>
      <c r="K46" s="441"/>
      <c r="L46" s="442"/>
      <c r="M46" s="321"/>
      <c r="S46" s="305" t="s">
        <v>599</v>
      </c>
    </row>
    <row r="47" spans="1:19" s="416" customFormat="1">
      <c r="A47" s="148" t="s">
        <v>600</v>
      </c>
      <c r="H47" s="413"/>
      <c r="I47" s="413"/>
      <c r="J47" s="413"/>
      <c r="K47" s="413"/>
      <c r="L47" s="414"/>
      <c r="M47" s="413"/>
      <c r="N47" s="413"/>
      <c r="O47" s="413"/>
      <c r="S47" s="1101" t="s">
        <v>601</v>
      </c>
    </row>
    <row r="48" spans="1:19" s="416" customFormat="1">
      <c r="A48" s="148"/>
      <c r="H48" s="413"/>
      <c r="I48" s="413"/>
      <c r="J48" s="413"/>
      <c r="K48" s="413"/>
      <c r="L48" s="414"/>
      <c r="M48" s="413"/>
      <c r="N48" s="413"/>
      <c r="O48" s="413"/>
      <c r="S48" s="1101"/>
    </row>
    <row r="49" spans="1:19">
      <c r="A49" s="387" t="s">
        <v>602</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tabSelected="1" zoomScale="70" zoomScaleNormal="70" workbookViewId="0">
      <pane ySplit="8" topLeftCell="A9" activePane="bottomLeft" state="frozen"/>
      <selection activeCell="N29" sqref="N29"/>
      <selection pane="bottomLeft" activeCell="N29" sqref="N29"/>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1762</v>
      </c>
      <c r="B1" s="387"/>
      <c r="C1" s="387"/>
      <c r="D1" s="387"/>
      <c r="E1" s="387"/>
      <c r="F1" s="387"/>
      <c r="G1" s="387"/>
      <c r="H1" s="387"/>
      <c r="I1" s="387"/>
      <c r="J1" s="387"/>
      <c r="K1" s="387"/>
      <c r="L1" s="387"/>
      <c r="M1" s="387"/>
      <c r="N1" s="387"/>
      <c r="O1" s="387"/>
    </row>
    <row r="2" spans="1:16" s="1693" customFormat="1" ht="21.75" customHeight="1">
      <c r="A2" s="1254" t="s">
        <v>1763</v>
      </c>
      <c r="B2" s="1692"/>
      <c r="C2" s="1692"/>
      <c r="D2" s="1692"/>
      <c r="E2" s="1692"/>
      <c r="F2" s="1692"/>
      <c r="G2" s="1692"/>
      <c r="H2" s="1692"/>
      <c r="I2" s="1692"/>
      <c r="J2" s="1692"/>
      <c r="K2" s="1692"/>
      <c r="L2" s="1692"/>
      <c r="M2" s="1692"/>
      <c r="N2" s="1692"/>
      <c r="O2" s="1692"/>
    </row>
    <row r="3" spans="1:16" s="416" customFormat="1" ht="18">
      <c r="A3" s="277" t="s">
        <v>1764</v>
      </c>
      <c r="B3" s="387"/>
      <c r="C3" s="387"/>
      <c r="D3" s="387"/>
      <c r="E3" s="387"/>
      <c r="F3" s="387"/>
      <c r="G3" s="387"/>
      <c r="H3" s="387"/>
      <c r="I3" s="387"/>
      <c r="J3" s="387"/>
      <c r="K3" s="387"/>
      <c r="L3" s="387"/>
      <c r="M3" s="387"/>
      <c r="N3" s="387"/>
      <c r="O3" s="387"/>
    </row>
    <row r="4" spans="1:16" s="416" customFormat="1" ht="14.25" customHeight="1">
      <c r="A4" s="1694" t="s">
        <v>553</v>
      </c>
      <c r="B4" s="415"/>
      <c r="C4" s="415"/>
      <c r="D4" s="415"/>
      <c r="E4" s="415"/>
      <c r="F4" s="415"/>
      <c r="O4" s="1695" t="s">
        <v>554</v>
      </c>
    </row>
    <row r="5" spans="1:16" s="161" customFormat="1" ht="23.85" customHeight="1">
      <c r="A5" s="1894" t="s">
        <v>406</v>
      </c>
      <c r="B5" s="1696" t="s">
        <v>603</v>
      </c>
      <c r="C5" s="160"/>
      <c r="D5" s="423"/>
      <c r="E5" s="423"/>
      <c r="F5" s="160"/>
      <c r="G5" s="1697" t="s">
        <v>604</v>
      </c>
      <c r="H5" s="1696" t="s">
        <v>605</v>
      </c>
      <c r="I5" s="425"/>
      <c r="J5" s="425"/>
      <c r="K5" s="174"/>
      <c r="L5" s="426"/>
      <c r="M5" s="426"/>
      <c r="N5" s="1697" t="s">
        <v>606</v>
      </c>
      <c r="O5" s="1897" t="s">
        <v>432</v>
      </c>
    </row>
    <row r="6" spans="1:16" s="404" customFormat="1" ht="20.25" customHeight="1">
      <c r="A6" s="1895"/>
      <c r="B6" s="1698"/>
      <c r="C6" s="430"/>
      <c r="D6" s="430"/>
      <c r="E6" s="430"/>
      <c r="F6" s="1699"/>
      <c r="G6" s="1700"/>
      <c r="H6" s="431" t="s">
        <v>562</v>
      </c>
      <c r="I6" s="181"/>
      <c r="J6" s="181"/>
      <c r="K6" s="424" t="s">
        <v>563</v>
      </c>
      <c r="L6" s="588"/>
      <c r="N6" s="432"/>
      <c r="O6" s="1898"/>
    </row>
    <row r="7" spans="1:16" s="404" customFormat="1" ht="31.5">
      <c r="A7" s="1895"/>
      <c r="B7" s="433" t="s">
        <v>568</v>
      </c>
      <c r="C7" s="435" t="s">
        <v>569</v>
      </c>
      <c r="D7" s="435" t="s">
        <v>570</v>
      </c>
      <c r="E7" s="435" t="s">
        <v>392</v>
      </c>
      <c r="F7" s="435" t="s">
        <v>382</v>
      </c>
      <c r="G7" s="435" t="s">
        <v>607</v>
      </c>
      <c r="H7" s="1700" t="s">
        <v>573</v>
      </c>
      <c r="I7" s="435" t="s">
        <v>574</v>
      </c>
      <c r="J7" s="435" t="s">
        <v>575</v>
      </c>
      <c r="K7" s="435" t="s">
        <v>576</v>
      </c>
      <c r="L7" s="435" t="s">
        <v>392</v>
      </c>
      <c r="M7" s="435" t="s">
        <v>382</v>
      </c>
      <c r="N7" s="435" t="s">
        <v>577</v>
      </c>
      <c r="O7" s="1898"/>
    </row>
    <row r="8" spans="1:16" s="404" customFormat="1" ht="47.25">
      <c r="A8" s="1896"/>
      <c r="B8" s="402" t="s">
        <v>581</v>
      </c>
      <c r="C8" s="402" t="s">
        <v>582</v>
      </c>
      <c r="D8" s="402" t="s">
        <v>583</v>
      </c>
      <c r="E8" s="402" t="s">
        <v>584</v>
      </c>
      <c r="F8" s="402" t="s">
        <v>608</v>
      </c>
      <c r="G8" s="402" t="s">
        <v>609</v>
      </c>
      <c r="H8" s="402" t="s">
        <v>587</v>
      </c>
      <c r="I8" s="402" t="s">
        <v>588</v>
      </c>
      <c r="J8" s="402" t="s">
        <v>589</v>
      </c>
      <c r="K8" s="402" t="s">
        <v>590</v>
      </c>
      <c r="L8" s="402" t="s">
        <v>610</v>
      </c>
      <c r="M8" s="402" t="s">
        <v>393</v>
      </c>
      <c r="N8" s="402" t="s">
        <v>592</v>
      </c>
      <c r="O8" s="1899"/>
      <c r="P8" s="438"/>
    </row>
    <row r="9" spans="1:16" ht="30.75" customHeight="1">
      <c r="A9" s="1701" t="s">
        <v>611</v>
      </c>
      <c r="B9" s="1702" t="s">
        <v>593</v>
      </c>
      <c r="C9" s="1702" t="s">
        <v>593</v>
      </c>
      <c r="D9" s="1702" t="s">
        <v>593</v>
      </c>
      <c r="E9" s="1702" t="s">
        <v>593</v>
      </c>
      <c r="F9" s="1702" t="s">
        <v>593</v>
      </c>
      <c r="G9" s="1702" t="s">
        <v>593</v>
      </c>
      <c r="H9" s="1702">
        <v>5.6136363636363633</v>
      </c>
      <c r="I9" s="1702">
        <v>6.75</v>
      </c>
      <c r="J9" s="1702">
        <v>6.5</v>
      </c>
      <c r="K9" s="1702">
        <v>7.2117776152158006</v>
      </c>
      <c r="L9" s="1702" t="s">
        <v>593</v>
      </c>
      <c r="M9" s="1702">
        <v>7.3202833706189407</v>
      </c>
      <c r="N9" s="1702">
        <v>19.5</v>
      </c>
      <c r="O9" s="1703" t="s">
        <v>612</v>
      </c>
    </row>
    <row r="10" spans="1:16" ht="21.2" customHeight="1">
      <c r="A10" s="1704" t="s">
        <v>613</v>
      </c>
      <c r="B10" s="1702">
        <v>7.75</v>
      </c>
      <c r="C10" s="1702">
        <v>9.5</v>
      </c>
      <c r="D10" s="1702" t="s">
        <v>593</v>
      </c>
      <c r="E10" s="1702">
        <v>5.5880853552473466</v>
      </c>
      <c r="F10" s="1702">
        <v>5.6690376015217003</v>
      </c>
      <c r="G10" s="1702" t="s">
        <v>593</v>
      </c>
      <c r="H10" s="1702">
        <v>5.1331803136292287</v>
      </c>
      <c r="I10" s="1702">
        <v>5.0919257185300824</v>
      </c>
      <c r="J10" s="1702" t="s">
        <v>593</v>
      </c>
      <c r="K10" s="1702">
        <v>5.0239298344676921</v>
      </c>
      <c r="L10" s="1702" t="s">
        <v>593</v>
      </c>
      <c r="M10" s="1702">
        <v>5.0445834346095886</v>
      </c>
      <c r="N10" s="1702" t="s">
        <v>593</v>
      </c>
      <c r="O10" s="1703" t="s">
        <v>614</v>
      </c>
    </row>
    <row r="11" spans="1:16" ht="21.2" customHeight="1">
      <c r="A11" s="1704" t="s">
        <v>615</v>
      </c>
      <c r="B11" s="1702" t="s">
        <v>593</v>
      </c>
      <c r="C11" s="1702">
        <v>5.348862937922557</v>
      </c>
      <c r="D11" s="1702">
        <v>5.523877017008286</v>
      </c>
      <c r="E11" s="1702">
        <v>2.531634446397188</v>
      </c>
      <c r="F11" s="1702">
        <v>5.3489485217792474</v>
      </c>
      <c r="G11" s="1702" t="s">
        <v>593</v>
      </c>
      <c r="H11" s="1702" t="s">
        <v>593</v>
      </c>
      <c r="I11" s="1702" t="s">
        <v>593</v>
      </c>
      <c r="J11" s="1702" t="s">
        <v>593</v>
      </c>
      <c r="K11" s="1702">
        <v>7.490296803652968</v>
      </c>
      <c r="L11" s="1702" t="s">
        <v>593</v>
      </c>
      <c r="M11" s="1702">
        <v>17.351801060522948</v>
      </c>
      <c r="N11" s="1702">
        <v>22</v>
      </c>
      <c r="O11" s="1703" t="s">
        <v>616</v>
      </c>
    </row>
    <row r="12" spans="1:16" ht="21.2" customHeight="1">
      <c r="A12" s="1704" t="s">
        <v>617</v>
      </c>
      <c r="B12" s="1702" t="s">
        <v>593</v>
      </c>
      <c r="C12" s="1702" t="s">
        <v>593</v>
      </c>
      <c r="D12" s="1702">
        <v>6.5</v>
      </c>
      <c r="E12" s="1702" t="s">
        <v>593</v>
      </c>
      <c r="F12" s="1702">
        <v>6.5</v>
      </c>
      <c r="G12" s="1702">
        <v>6.5</v>
      </c>
      <c r="H12" s="1702" t="s">
        <v>593</v>
      </c>
      <c r="I12" s="1702" t="s">
        <v>593</v>
      </c>
      <c r="J12" s="1702" t="s">
        <v>593</v>
      </c>
      <c r="K12" s="1702" t="s">
        <v>593</v>
      </c>
      <c r="L12" s="1702" t="s">
        <v>593</v>
      </c>
      <c r="M12" s="1702" t="s">
        <v>593</v>
      </c>
      <c r="N12" s="1702" t="s">
        <v>593</v>
      </c>
      <c r="O12" s="1703" t="s">
        <v>618</v>
      </c>
    </row>
    <row r="13" spans="1:16" ht="33.950000000000003" customHeight="1">
      <c r="A13" s="1701" t="s">
        <v>619</v>
      </c>
      <c r="B13" s="1702" t="s">
        <v>593</v>
      </c>
      <c r="C13" s="1702" t="s">
        <v>593</v>
      </c>
      <c r="D13" s="1702" t="s">
        <v>593</v>
      </c>
      <c r="E13" s="1702" t="s">
        <v>593</v>
      </c>
      <c r="F13" s="1702" t="s">
        <v>593</v>
      </c>
      <c r="G13" s="1702" t="s">
        <v>593</v>
      </c>
      <c r="H13" s="1702" t="s">
        <v>593</v>
      </c>
      <c r="I13" s="1702" t="s">
        <v>593</v>
      </c>
      <c r="J13" s="1702" t="s">
        <v>593</v>
      </c>
      <c r="K13" s="1702" t="s">
        <v>593</v>
      </c>
      <c r="L13" s="1702" t="s">
        <v>593</v>
      </c>
      <c r="M13" s="1702" t="s">
        <v>593</v>
      </c>
      <c r="N13" s="1702" t="s">
        <v>593</v>
      </c>
      <c r="O13" s="1703" t="s">
        <v>620</v>
      </c>
    </row>
    <row r="14" spans="1:16" ht="21.2" customHeight="1">
      <c r="A14" s="1704" t="s">
        <v>621</v>
      </c>
      <c r="B14" s="1702" t="s">
        <v>593</v>
      </c>
      <c r="C14" s="1702" t="s">
        <v>593</v>
      </c>
      <c r="D14" s="1702" t="s">
        <v>593</v>
      </c>
      <c r="E14" s="1702" t="s">
        <v>593</v>
      </c>
      <c r="F14" s="1702" t="s">
        <v>593</v>
      </c>
      <c r="G14" s="1702" t="s">
        <v>593</v>
      </c>
      <c r="H14" s="1702" t="s">
        <v>593</v>
      </c>
      <c r="I14" s="1702" t="s">
        <v>593</v>
      </c>
      <c r="J14" s="1702" t="s">
        <v>593</v>
      </c>
      <c r="K14" s="1702" t="s">
        <v>593</v>
      </c>
      <c r="L14" s="1702" t="s">
        <v>593</v>
      </c>
      <c r="M14" s="1702" t="s">
        <v>593</v>
      </c>
      <c r="N14" s="1702" t="s">
        <v>593</v>
      </c>
      <c r="O14" s="1703" t="s">
        <v>622</v>
      </c>
    </row>
    <row r="15" spans="1:16" ht="21.2" customHeight="1">
      <c r="A15" s="1704" t="s">
        <v>623</v>
      </c>
      <c r="B15" s="1702">
        <v>8.5</v>
      </c>
      <c r="C15" s="1702">
        <v>8.7914757374360164</v>
      </c>
      <c r="D15" s="1702">
        <v>7.99394657180191</v>
      </c>
      <c r="E15" s="1702">
        <v>9.0447454627516439</v>
      </c>
      <c r="F15" s="1702">
        <v>8.4616446916043486</v>
      </c>
      <c r="G15" s="1702">
        <v>7.1599830810489751</v>
      </c>
      <c r="H15" s="1702">
        <v>5.2081024639989275</v>
      </c>
      <c r="I15" s="1702">
        <v>4.6903853771704203</v>
      </c>
      <c r="J15" s="1702" t="s">
        <v>593</v>
      </c>
      <c r="K15" s="1702">
        <v>4.4626604621522263</v>
      </c>
      <c r="L15" s="1702" t="s">
        <v>593</v>
      </c>
      <c r="M15" s="1702">
        <v>8.6634023968616951</v>
      </c>
      <c r="N15" s="1702">
        <v>20.679682539217922</v>
      </c>
      <c r="O15" s="1703" t="s">
        <v>624</v>
      </c>
    </row>
    <row r="16" spans="1:16" ht="21.2" customHeight="1">
      <c r="A16" s="1704" t="s">
        <v>625</v>
      </c>
      <c r="B16" s="1702" t="s">
        <v>593</v>
      </c>
      <c r="C16" s="1702" t="s">
        <v>593</v>
      </c>
      <c r="D16" s="1702" t="s">
        <v>593</v>
      </c>
      <c r="E16" s="1702" t="s">
        <v>593</v>
      </c>
      <c r="F16" s="1702" t="s">
        <v>593</v>
      </c>
      <c r="G16" s="1702" t="s">
        <v>593</v>
      </c>
      <c r="H16" s="1702" t="s">
        <v>593</v>
      </c>
      <c r="I16" s="1702" t="s">
        <v>593</v>
      </c>
      <c r="J16" s="1702" t="s">
        <v>593</v>
      </c>
      <c r="K16" s="1702" t="s">
        <v>593</v>
      </c>
      <c r="L16" s="1702" t="s">
        <v>593</v>
      </c>
      <c r="M16" s="1702" t="s">
        <v>593</v>
      </c>
      <c r="N16" s="1702" t="s">
        <v>593</v>
      </c>
      <c r="O16" s="1703" t="s">
        <v>626</v>
      </c>
    </row>
    <row r="17" spans="1:15" ht="21.2" customHeight="1">
      <c r="A17" s="1704" t="s">
        <v>627</v>
      </c>
      <c r="B17" s="1702">
        <v>0.5</v>
      </c>
      <c r="C17" s="1702" t="s">
        <v>593</v>
      </c>
      <c r="D17" s="1702">
        <v>8.5</v>
      </c>
      <c r="E17" s="1702" t="s">
        <v>593</v>
      </c>
      <c r="F17" s="1702">
        <v>7.488155668358714</v>
      </c>
      <c r="G17" s="1702" t="s">
        <v>593</v>
      </c>
      <c r="H17" s="1702" t="s">
        <v>593</v>
      </c>
      <c r="I17" s="1702" t="s">
        <v>593</v>
      </c>
      <c r="J17" s="1702" t="s">
        <v>593</v>
      </c>
      <c r="K17" s="1702">
        <v>5.8896576886267393</v>
      </c>
      <c r="L17" s="1702" t="s">
        <v>593</v>
      </c>
      <c r="M17" s="1702">
        <v>17.015138432564907</v>
      </c>
      <c r="N17" s="1702">
        <v>22</v>
      </c>
      <c r="O17" s="1703" t="s">
        <v>628</v>
      </c>
    </row>
    <row r="18" spans="1:15" ht="21.2" customHeight="1">
      <c r="A18" s="1704" t="s">
        <v>629</v>
      </c>
      <c r="B18" s="1702" t="s">
        <v>593</v>
      </c>
      <c r="C18" s="1702">
        <v>5.5</v>
      </c>
      <c r="D18" s="1702">
        <v>4.5</v>
      </c>
      <c r="E18" s="1702" t="s">
        <v>593</v>
      </c>
      <c r="F18" s="1702">
        <v>5.2412921348314603</v>
      </c>
      <c r="G18" s="1702" t="s">
        <v>593</v>
      </c>
      <c r="H18" s="1702" t="s">
        <v>593</v>
      </c>
      <c r="I18" s="1702" t="s">
        <v>593</v>
      </c>
      <c r="J18" s="1702" t="s">
        <v>593</v>
      </c>
      <c r="K18" s="1702" t="s">
        <v>593</v>
      </c>
      <c r="L18" s="1702" t="s">
        <v>593</v>
      </c>
      <c r="M18" s="1702">
        <v>13.297216731813554</v>
      </c>
      <c r="N18" s="1702">
        <v>13.297216731813554</v>
      </c>
      <c r="O18" s="1703" t="s">
        <v>630</v>
      </c>
    </row>
    <row r="19" spans="1:15" ht="21.2" customHeight="1">
      <c r="A19" s="1704" t="s">
        <v>631</v>
      </c>
      <c r="B19" s="1702" t="s">
        <v>593</v>
      </c>
      <c r="C19" s="1702" t="s">
        <v>593</v>
      </c>
      <c r="D19" s="1702" t="s">
        <v>593</v>
      </c>
      <c r="E19" s="1702" t="s">
        <v>593</v>
      </c>
      <c r="F19" s="1702" t="s">
        <v>593</v>
      </c>
      <c r="G19" s="1702" t="s">
        <v>593</v>
      </c>
      <c r="H19" s="1702" t="s">
        <v>593</v>
      </c>
      <c r="I19" s="1702" t="s">
        <v>593</v>
      </c>
      <c r="J19" s="1702">
        <v>5.5</v>
      </c>
      <c r="K19" s="1702" t="s">
        <v>593</v>
      </c>
      <c r="L19" s="1702" t="s">
        <v>593</v>
      </c>
      <c r="M19" s="1702">
        <v>5.5</v>
      </c>
      <c r="N19" s="1702" t="s">
        <v>593</v>
      </c>
      <c r="O19" s="1703" t="s">
        <v>632</v>
      </c>
    </row>
    <row r="20" spans="1:15" ht="21.2" customHeight="1">
      <c r="A20" s="1704" t="s">
        <v>633</v>
      </c>
      <c r="B20" s="1702" t="s">
        <v>593</v>
      </c>
      <c r="C20" s="1702">
        <v>6.5</v>
      </c>
      <c r="D20" s="1702" t="s">
        <v>593</v>
      </c>
      <c r="E20" s="1702">
        <v>7.5</v>
      </c>
      <c r="F20" s="1702">
        <v>7.2614496963601312</v>
      </c>
      <c r="G20" s="1702" t="s">
        <v>593</v>
      </c>
      <c r="H20" s="1702" t="s">
        <v>593</v>
      </c>
      <c r="I20" s="1702" t="s">
        <v>593</v>
      </c>
      <c r="J20" s="1702" t="s">
        <v>593</v>
      </c>
      <c r="K20" s="1702" t="s">
        <v>593</v>
      </c>
      <c r="L20" s="1702" t="s">
        <v>593</v>
      </c>
      <c r="M20" s="1702" t="s">
        <v>593</v>
      </c>
      <c r="N20" s="1702" t="s">
        <v>593</v>
      </c>
      <c r="O20" s="1703" t="s">
        <v>634</v>
      </c>
    </row>
    <row r="21" spans="1:15" ht="21.2" customHeight="1">
      <c r="A21" s="1704" t="s">
        <v>635</v>
      </c>
      <c r="B21" s="1702" t="s">
        <v>593</v>
      </c>
      <c r="C21" s="1702" t="s">
        <v>593</v>
      </c>
      <c r="D21" s="1702" t="s">
        <v>593</v>
      </c>
      <c r="E21" s="1702" t="s">
        <v>593</v>
      </c>
      <c r="F21" s="1702" t="s">
        <v>593</v>
      </c>
      <c r="G21" s="1702" t="s">
        <v>593</v>
      </c>
      <c r="H21" s="1702" t="s">
        <v>593</v>
      </c>
      <c r="I21" s="1702" t="s">
        <v>593</v>
      </c>
      <c r="J21" s="1702">
        <v>5.5</v>
      </c>
      <c r="K21" s="1702" t="s">
        <v>593</v>
      </c>
      <c r="L21" s="1702" t="s">
        <v>593</v>
      </c>
      <c r="M21" s="1702">
        <v>5.5</v>
      </c>
      <c r="N21" s="1702" t="s">
        <v>593</v>
      </c>
      <c r="O21" s="1703" t="s">
        <v>636</v>
      </c>
    </row>
    <row r="22" spans="1:15" ht="21.2" customHeight="1">
      <c r="A22" s="1704" t="s">
        <v>637</v>
      </c>
      <c r="B22" s="1702" t="s">
        <v>593</v>
      </c>
      <c r="C22" s="1702" t="s">
        <v>593</v>
      </c>
      <c r="D22" s="1702" t="s">
        <v>593</v>
      </c>
      <c r="E22" s="1702" t="s">
        <v>593</v>
      </c>
      <c r="F22" s="1702" t="s">
        <v>593</v>
      </c>
      <c r="G22" s="1702" t="s">
        <v>593</v>
      </c>
      <c r="H22" s="1702">
        <v>2.5</v>
      </c>
      <c r="I22" s="1702" t="s">
        <v>593</v>
      </c>
      <c r="J22" s="1702" t="s">
        <v>593</v>
      </c>
      <c r="K22" s="1702" t="s">
        <v>593</v>
      </c>
      <c r="L22" s="1702" t="s">
        <v>593</v>
      </c>
      <c r="M22" s="1702">
        <v>2.5</v>
      </c>
      <c r="N22" s="1702" t="s">
        <v>593</v>
      </c>
      <c r="O22" s="1703" t="s">
        <v>638</v>
      </c>
    </row>
    <row r="23" spans="1:15" ht="21.2" customHeight="1">
      <c r="A23" s="1704" t="s">
        <v>639</v>
      </c>
      <c r="B23" s="1702" t="s">
        <v>593</v>
      </c>
      <c r="C23" s="1702" t="s">
        <v>593</v>
      </c>
      <c r="D23" s="1702" t="s">
        <v>593</v>
      </c>
      <c r="E23" s="1702" t="s">
        <v>593</v>
      </c>
      <c r="F23" s="1702" t="s">
        <v>593</v>
      </c>
      <c r="G23" s="1702" t="s">
        <v>593</v>
      </c>
      <c r="H23" s="1702" t="s">
        <v>593</v>
      </c>
      <c r="I23" s="1702" t="s">
        <v>593</v>
      </c>
      <c r="J23" s="1702" t="s">
        <v>593</v>
      </c>
      <c r="K23" s="1702" t="s">
        <v>593</v>
      </c>
      <c r="L23" s="1702" t="s">
        <v>593</v>
      </c>
      <c r="M23" s="1702" t="s">
        <v>593</v>
      </c>
      <c r="N23" s="1702" t="s">
        <v>593</v>
      </c>
      <c r="O23" s="1703" t="s">
        <v>640</v>
      </c>
    </row>
    <row r="24" spans="1:15" ht="21.2" customHeight="1">
      <c r="A24" s="1704" t="s">
        <v>641</v>
      </c>
      <c r="B24" s="1702">
        <v>6.5</v>
      </c>
      <c r="C24" s="1702">
        <v>4.5</v>
      </c>
      <c r="D24" s="1702">
        <v>6.9319506342132327</v>
      </c>
      <c r="E24" s="1702">
        <v>5.5900399791413173</v>
      </c>
      <c r="F24" s="1702">
        <v>5.0260845855550169</v>
      </c>
      <c r="G24" s="1702" t="s">
        <v>593</v>
      </c>
      <c r="H24" s="1702" t="s">
        <v>593</v>
      </c>
      <c r="I24" s="1702" t="s">
        <v>593</v>
      </c>
      <c r="J24" s="1702" t="s">
        <v>593</v>
      </c>
      <c r="K24" s="1702">
        <v>0.5</v>
      </c>
      <c r="L24" s="1702" t="s">
        <v>593</v>
      </c>
      <c r="M24" s="1702">
        <v>0.5</v>
      </c>
      <c r="N24" s="1702" t="s">
        <v>593</v>
      </c>
      <c r="O24" s="1703" t="s">
        <v>642</v>
      </c>
    </row>
    <row r="25" spans="1:15" ht="21.2" customHeight="1">
      <c r="A25" s="1704" t="s">
        <v>643</v>
      </c>
      <c r="B25" s="1702" t="s">
        <v>593</v>
      </c>
      <c r="C25" s="1702" t="s">
        <v>593</v>
      </c>
      <c r="D25" s="1702" t="s">
        <v>593</v>
      </c>
      <c r="E25" s="1702" t="s">
        <v>593</v>
      </c>
      <c r="F25" s="1702" t="s">
        <v>593</v>
      </c>
      <c r="G25" s="1702" t="s">
        <v>593</v>
      </c>
      <c r="H25" s="1702" t="s">
        <v>593</v>
      </c>
      <c r="I25" s="1702" t="s">
        <v>593</v>
      </c>
      <c r="J25" s="1702" t="s">
        <v>593</v>
      </c>
      <c r="K25" s="1702" t="s">
        <v>593</v>
      </c>
      <c r="L25" s="1702" t="s">
        <v>593</v>
      </c>
      <c r="M25" s="1702" t="s">
        <v>593</v>
      </c>
      <c r="N25" s="1702" t="s">
        <v>593</v>
      </c>
      <c r="O25" s="1703" t="s">
        <v>644</v>
      </c>
    </row>
    <row r="26" spans="1:15" ht="21.2" customHeight="1">
      <c r="A26" s="1704" t="s">
        <v>645</v>
      </c>
      <c r="B26" s="1702" t="s">
        <v>593</v>
      </c>
      <c r="C26" s="1702" t="s">
        <v>593</v>
      </c>
      <c r="D26" s="1702" t="s">
        <v>593</v>
      </c>
      <c r="E26" s="1702" t="s">
        <v>593</v>
      </c>
      <c r="F26" s="1702" t="s">
        <v>593</v>
      </c>
      <c r="G26" s="1702" t="s">
        <v>593</v>
      </c>
      <c r="H26" s="1702" t="s">
        <v>593</v>
      </c>
      <c r="I26" s="1702" t="s">
        <v>593</v>
      </c>
      <c r="J26" s="1702" t="s">
        <v>593</v>
      </c>
      <c r="K26" s="1702" t="s">
        <v>593</v>
      </c>
      <c r="L26" s="1702" t="s">
        <v>593</v>
      </c>
      <c r="M26" s="1702">
        <v>22</v>
      </c>
      <c r="N26" s="1702">
        <v>22</v>
      </c>
      <c r="O26" s="1703" t="s">
        <v>646</v>
      </c>
    </row>
    <row r="27" spans="1:15" ht="21.2" customHeight="1">
      <c r="A27" s="1704" t="s">
        <v>647</v>
      </c>
      <c r="B27" s="1702">
        <v>9.104651162790697</v>
      </c>
      <c r="C27" s="1702">
        <v>8.7521739130434781</v>
      </c>
      <c r="D27" s="1702">
        <v>9.3207171314741029</v>
      </c>
      <c r="E27" s="1702">
        <v>7.6246556473829203</v>
      </c>
      <c r="F27" s="1702">
        <v>8.1091844056445819</v>
      </c>
      <c r="G27" s="1702" t="s">
        <v>593</v>
      </c>
      <c r="H27" s="1702" t="s">
        <v>593</v>
      </c>
      <c r="I27" s="1702" t="s">
        <v>593</v>
      </c>
      <c r="J27" s="1702" t="s">
        <v>593</v>
      </c>
      <c r="K27" s="1702" t="s">
        <v>593</v>
      </c>
      <c r="L27" s="1702" t="s">
        <v>593</v>
      </c>
      <c r="M27" s="1702" t="s">
        <v>593</v>
      </c>
      <c r="N27" s="1702" t="s">
        <v>593</v>
      </c>
      <c r="O27" s="1703" t="s">
        <v>648</v>
      </c>
    </row>
    <row r="28" spans="1:15" s="164" customFormat="1" ht="30.2" customHeight="1">
      <c r="A28" s="1705" t="s">
        <v>649</v>
      </c>
      <c r="B28" s="1706">
        <v>7.9322285895952938</v>
      </c>
      <c r="C28" s="1706">
        <v>5.4012901560900639</v>
      </c>
      <c r="D28" s="1706">
        <v>6.3173697378416334</v>
      </c>
      <c r="E28" s="1706">
        <v>5.6018329101056326</v>
      </c>
      <c r="F28" s="1706">
        <v>5.7550374578125831</v>
      </c>
      <c r="G28" s="1706">
        <v>7.1586919981170194</v>
      </c>
      <c r="H28" s="1706">
        <v>5.174744460299614</v>
      </c>
      <c r="I28" s="1706">
        <v>4.9948774212943929</v>
      </c>
      <c r="J28" s="1706">
        <v>5.9866190849947101</v>
      </c>
      <c r="K28" s="1706">
        <v>4.775960779523075</v>
      </c>
      <c r="L28" s="1706" t="s">
        <v>593</v>
      </c>
      <c r="M28" s="1706">
        <v>4.8469145996336085</v>
      </c>
      <c r="N28" s="1706">
        <v>20.917505618250949</v>
      </c>
      <c r="O28" s="1707" t="s">
        <v>650</v>
      </c>
    </row>
    <row r="29" spans="1:15" s="306" customFormat="1" ht="20.25" customHeight="1">
      <c r="A29" s="253" t="s">
        <v>651</v>
      </c>
      <c r="B29" s="253"/>
      <c r="C29" s="253"/>
      <c r="D29" s="253"/>
      <c r="E29" s="253"/>
      <c r="F29" s="253"/>
      <c r="G29" s="253"/>
      <c r="H29" s="253"/>
      <c r="I29" s="253"/>
      <c r="J29" s="253"/>
      <c r="K29" s="253"/>
      <c r="L29" s="253"/>
      <c r="M29" s="253"/>
      <c r="N29" s="253"/>
      <c r="O29" s="1603" t="s">
        <v>652</v>
      </c>
    </row>
    <row r="30" spans="1:15" s="306" customFormat="1" ht="14.25" customHeight="1">
      <c r="A30" s="306" t="s">
        <v>653</v>
      </c>
      <c r="O30" s="305" t="s">
        <v>654</v>
      </c>
    </row>
    <row r="31" spans="1:15" s="306" customFormat="1" ht="14.25" customHeight="1">
      <c r="A31" s="306" t="s">
        <v>655</v>
      </c>
      <c r="F31" s="321"/>
      <c r="G31" s="321"/>
      <c r="O31" s="305" t="s">
        <v>656</v>
      </c>
    </row>
    <row r="32" spans="1:15" s="306" customFormat="1" ht="14.25">
      <c r="A32" s="306" t="s">
        <v>657</v>
      </c>
      <c r="O32" s="305" t="s">
        <v>658</v>
      </c>
    </row>
    <row r="33" spans="1:15" s="306" customFormat="1" ht="14.25" customHeight="1">
      <c r="A33" s="306" t="s">
        <v>659</v>
      </c>
      <c r="D33" s="441"/>
      <c r="E33" s="441"/>
      <c r="F33" s="442"/>
      <c r="G33" s="321"/>
      <c r="O33" s="305" t="s">
        <v>660</v>
      </c>
    </row>
    <row r="34" spans="1:15" s="416" customFormat="1" ht="13.7" customHeight="1">
      <c r="A34" s="306"/>
      <c r="B34" s="306"/>
      <c r="C34" s="306"/>
      <c r="D34" s="306"/>
      <c r="E34" s="413"/>
      <c r="F34" s="414"/>
      <c r="G34" s="413"/>
      <c r="H34" s="413"/>
      <c r="I34" s="413"/>
      <c r="J34" s="306"/>
      <c r="K34" s="306"/>
      <c r="L34" s="306"/>
      <c r="M34" s="306"/>
      <c r="N34" s="305"/>
      <c r="O34" s="1708"/>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09" t="s">
        <v>661</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tabSelected="1" zoomScale="80" zoomScaleNormal="80" workbookViewId="0">
      <pane ySplit="12" topLeftCell="A23" activePane="bottomLeft" state="frozen"/>
      <selection activeCell="N29" sqref="N29"/>
      <selection pane="bottomLeft" activeCell="N29" sqref="N29"/>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1761</v>
      </c>
      <c r="B1" s="277"/>
      <c r="C1" s="415"/>
      <c r="D1" s="415"/>
      <c r="E1" s="415"/>
      <c r="F1" s="415"/>
      <c r="G1" s="415"/>
      <c r="H1" s="415"/>
      <c r="I1" s="415"/>
      <c r="J1" s="415"/>
      <c r="K1" s="415"/>
      <c r="L1" s="415"/>
      <c r="M1" s="415"/>
      <c r="N1" s="415"/>
      <c r="O1" s="415"/>
      <c r="P1" s="415"/>
      <c r="Q1" s="415"/>
      <c r="R1" s="415"/>
      <c r="S1" s="415"/>
    </row>
    <row r="2" spans="1:20" s="1693" customFormat="1" ht="21.75" customHeight="1">
      <c r="A2" s="1254" t="s">
        <v>21</v>
      </c>
      <c r="B2" s="1254"/>
      <c r="C2" s="1710"/>
      <c r="D2" s="1710"/>
      <c r="E2" s="1710"/>
      <c r="F2" s="1710"/>
      <c r="G2" s="1710"/>
      <c r="H2" s="1710"/>
      <c r="I2" s="1710"/>
      <c r="J2" s="1710"/>
      <c r="K2" s="1710"/>
      <c r="L2" s="1710"/>
      <c r="M2" s="1710"/>
      <c r="N2" s="1710"/>
      <c r="O2" s="1710"/>
      <c r="P2" s="1710"/>
      <c r="Q2" s="1710"/>
      <c r="R2" s="1710"/>
      <c r="S2" s="1710"/>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553</v>
      </c>
      <c r="B8" s="418"/>
      <c r="C8" s="415"/>
      <c r="D8" s="415"/>
      <c r="E8" s="415"/>
      <c r="F8" s="415"/>
      <c r="G8" s="415"/>
      <c r="H8" s="415"/>
      <c r="I8" s="415"/>
      <c r="J8" s="415"/>
      <c r="K8" s="415"/>
      <c r="L8" s="415"/>
      <c r="S8" s="419" t="s">
        <v>554</v>
      </c>
    </row>
    <row r="9" spans="1:20" s="161" customFormat="1" ht="23.85" customHeight="1">
      <c r="A9" s="1890" t="s">
        <v>379</v>
      </c>
      <c r="B9" s="1891"/>
      <c r="C9" s="420" t="s">
        <v>555</v>
      </c>
      <c r="D9" s="174"/>
      <c r="E9" s="421"/>
      <c r="F9" s="421" t="s">
        <v>455</v>
      </c>
      <c r="G9" s="422" t="s">
        <v>556</v>
      </c>
      <c r="H9" s="160"/>
      <c r="I9" s="423"/>
      <c r="J9" s="423"/>
      <c r="K9" s="423"/>
      <c r="L9" s="424" t="s">
        <v>557</v>
      </c>
      <c r="M9" s="420" t="s">
        <v>558</v>
      </c>
      <c r="N9" s="425"/>
      <c r="O9" s="425"/>
      <c r="P9" s="174"/>
      <c r="Q9" s="426"/>
      <c r="R9" s="426"/>
      <c r="S9" s="424" t="s">
        <v>559</v>
      </c>
    </row>
    <row r="10" spans="1:20" s="404" customFormat="1" ht="20.25" customHeight="1">
      <c r="A10" s="1892"/>
      <c r="B10" s="1893"/>
      <c r="C10" s="427"/>
      <c r="D10" s="428" t="s">
        <v>560</v>
      </c>
      <c r="E10" s="1100"/>
      <c r="F10" s="424" t="s">
        <v>561</v>
      </c>
      <c r="G10" s="429"/>
      <c r="H10" s="430"/>
      <c r="I10" s="430"/>
      <c r="J10" s="430"/>
      <c r="K10" s="162" t="s">
        <v>382</v>
      </c>
      <c r="L10" s="162" t="s">
        <v>382</v>
      </c>
      <c r="M10" s="431" t="s">
        <v>562</v>
      </c>
      <c r="N10" s="181"/>
      <c r="P10" s="586" t="s">
        <v>563</v>
      </c>
      <c r="Q10" s="588"/>
      <c r="S10" s="432"/>
    </row>
    <row r="11" spans="1:20" s="404" customFormat="1" ht="31.5">
      <c r="A11" s="1892"/>
      <c r="B11" s="1893"/>
      <c r="C11" s="427" t="s">
        <v>564</v>
      </c>
      <c r="D11" s="433" t="s">
        <v>565</v>
      </c>
      <c r="E11" s="434" t="s">
        <v>566</v>
      </c>
      <c r="F11" s="434" t="s">
        <v>567</v>
      </c>
      <c r="G11" s="427" t="s">
        <v>568</v>
      </c>
      <c r="H11" s="435" t="s">
        <v>569</v>
      </c>
      <c r="I11" s="435" t="s">
        <v>570</v>
      </c>
      <c r="J11" s="435" t="s">
        <v>392</v>
      </c>
      <c r="K11" s="570" t="s">
        <v>571</v>
      </c>
      <c r="L11" s="570" t="s">
        <v>572</v>
      </c>
      <c r="M11" s="427" t="s">
        <v>573</v>
      </c>
      <c r="N11" s="435" t="s">
        <v>574</v>
      </c>
      <c r="O11" s="587" t="s">
        <v>575</v>
      </c>
      <c r="P11" s="435" t="s">
        <v>576</v>
      </c>
      <c r="Q11" s="435" t="s">
        <v>392</v>
      </c>
      <c r="R11" s="435" t="s">
        <v>382</v>
      </c>
      <c r="S11" s="435" t="s">
        <v>577</v>
      </c>
    </row>
    <row r="12" spans="1:20" s="404" customFormat="1" ht="63">
      <c r="A12" s="179" t="s">
        <v>387</v>
      </c>
      <c r="B12" s="436"/>
      <c r="C12" s="437" t="s">
        <v>474</v>
      </c>
      <c r="D12" s="402" t="s">
        <v>578</v>
      </c>
      <c r="E12" s="402" t="s">
        <v>662</v>
      </c>
      <c r="F12" s="402" t="s">
        <v>580</v>
      </c>
      <c r="G12" s="402" t="s">
        <v>581</v>
      </c>
      <c r="H12" s="402" t="s">
        <v>582</v>
      </c>
      <c r="I12" s="402" t="s">
        <v>583</v>
      </c>
      <c r="J12" s="402" t="s">
        <v>584</v>
      </c>
      <c r="K12" s="571" t="s">
        <v>585</v>
      </c>
      <c r="L12" s="571" t="s">
        <v>586</v>
      </c>
      <c r="M12" s="402" t="s">
        <v>587</v>
      </c>
      <c r="N12" s="402" t="s">
        <v>588</v>
      </c>
      <c r="O12" s="402" t="s">
        <v>589</v>
      </c>
      <c r="P12" s="402" t="s">
        <v>590</v>
      </c>
      <c r="Q12" s="402" t="s">
        <v>591</v>
      </c>
      <c r="R12" s="402" t="s">
        <v>393</v>
      </c>
      <c r="S12" s="402" t="s">
        <v>592</v>
      </c>
      <c r="T12" s="438"/>
    </row>
    <row r="13" spans="1:20" ht="23.85" hidden="1" customHeight="1">
      <c r="A13" s="439">
        <v>2015</v>
      </c>
      <c r="B13" s="440"/>
      <c r="C13" s="1159"/>
      <c r="D13" s="1160"/>
      <c r="E13" s="1159"/>
      <c r="F13" s="1159"/>
      <c r="G13" s="1161"/>
      <c r="H13" s="1161"/>
      <c r="I13" s="1160"/>
      <c r="J13" s="1160"/>
      <c r="K13" s="1159"/>
      <c r="L13" s="1159"/>
      <c r="M13" s="764"/>
      <c r="N13" s="1160"/>
      <c r="O13" s="1160"/>
      <c r="P13" s="1159"/>
      <c r="Q13" s="1160"/>
      <c r="R13" s="1160"/>
      <c r="S13" s="764"/>
    </row>
    <row r="14" spans="1:20" ht="17.45" hidden="1" customHeight="1">
      <c r="A14" s="439">
        <v>2016</v>
      </c>
      <c r="B14" s="440"/>
      <c r="C14" s="1159"/>
      <c r="D14" s="1160"/>
      <c r="E14" s="1159"/>
      <c r="F14" s="1159"/>
      <c r="G14" s="1161"/>
      <c r="H14" s="1161"/>
      <c r="I14" s="1160"/>
      <c r="J14" s="1160"/>
      <c r="K14" s="1159"/>
      <c r="L14" s="1159"/>
      <c r="M14" s="764"/>
      <c r="N14" s="1160"/>
      <c r="O14" s="1160"/>
      <c r="P14" s="1159"/>
      <c r="Q14" s="1160"/>
      <c r="R14" s="1160"/>
      <c r="S14" s="764"/>
    </row>
    <row r="15" spans="1:20" ht="17.45" hidden="1" customHeight="1">
      <c r="A15" s="439">
        <v>2017</v>
      </c>
      <c r="B15" s="440"/>
      <c r="C15" s="1159"/>
      <c r="D15" s="1160"/>
      <c r="E15" s="1159"/>
      <c r="F15" s="1159"/>
      <c r="G15" s="1161"/>
      <c r="H15" s="1161"/>
      <c r="I15" s="1160"/>
      <c r="J15" s="1160"/>
      <c r="K15" s="1159"/>
      <c r="L15" s="1159"/>
      <c r="M15" s="764"/>
      <c r="N15" s="1160"/>
      <c r="O15" s="1160"/>
      <c r="P15" s="1159"/>
      <c r="Q15" s="1160"/>
      <c r="R15" s="1160"/>
      <c r="S15" s="764"/>
    </row>
    <row r="16" spans="1:20" ht="17.25" hidden="1" customHeight="1">
      <c r="A16" s="439">
        <v>2018</v>
      </c>
      <c r="B16" s="440"/>
      <c r="C16" s="1159"/>
      <c r="D16" s="1160"/>
      <c r="E16" s="1159"/>
      <c r="F16" s="1159"/>
      <c r="G16" s="1161"/>
      <c r="H16" s="1161"/>
      <c r="I16" s="1160"/>
      <c r="J16" s="1160"/>
      <c r="K16" s="1159"/>
      <c r="L16" s="1159"/>
      <c r="M16" s="764"/>
      <c r="N16" s="1159"/>
      <c r="O16" s="1160"/>
      <c r="P16" s="1159"/>
      <c r="Q16" s="1159"/>
      <c r="R16" s="1159"/>
      <c r="S16" s="764"/>
    </row>
    <row r="17" spans="1:19" ht="17.25" hidden="1" customHeight="1">
      <c r="A17" s="439">
        <v>2019</v>
      </c>
      <c r="B17" s="440"/>
      <c r="C17" s="1159"/>
      <c r="D17" s="1160"/>
      <c r="E17" s="1159"/>
      <c r="F17" s="1159"/>
      <c r="G17" s="1161"/>
      <c r="H17" s="1161"/>
      <c r="I17" s="1160"/>
      <c r="J17" s="1160"/>
      <c r="K17" s="1159"/>
      <c r="L17" s="1159"/>
      <c r="M17" s="764"/>
      <c r="N17" s="1159"/>
      <c r="O17" s="1160"/>
      <c r="P17" s="1159"/>
      <c r="Q17" s="1159"/>
      <c r="R17" s="1159"/>
      <c r="S17" s="764"/>
    </row>
    <row r="18" spans="1:19" ht="17.25" hidden="1" customHeight="1">
      <c r="A18" s="439">
        <v>2020</v>
      </c>
      <c r="B18" s="440"/>
      <c r="C18" s="1159"/>
      <c r="D18" s="1160"/>
      <c r="E18" s="1159"/>
      <c r="F18" s="1159"/>
      <c r="G18" s="1161"/>
      <c r="H18" s="1161"/>
      <c r="I18" s="1160"/>
      <c r="J18" s="1160"/>
      <c r="K18" s="1159"/>
      <c r="L18" s="1159"/>
      <c r="M18" s="764"/>
      <c r="N18" s="1159"/>
      <c r="O18" s="1160"/>
      <c r="P18" s="1159"/>
      <c r="Q18" s="1159"/>
      <c r="R18" s="1159"/>
      <c r="S18" s="764"/>
    </row>
    <row r="19" spans="1:19" ht="17.25" hidden="1" customHeight="1">
      <c r="A19" s="439">
        <v>2021</v>
      </c>
      <c r="B19" s="440"/>
      <c r="C19" s="1159"/>
      <c r="D19" s="1160"/>
      <c r="E19" s="1159"/>
      <c r="F19" s="1159"/>
      <c r="G19" s="1161"/>
      <c r="H19" s="1161"/>
      <c r="I19" s="1160"/>
      <c r="J19" s="1160"/>
      <c r="K19" s="1159"/>
      <c r="L19" s="1159"/>
      <c r="M19" s="764"/>
      <c r="N19" s="1159"/>
      <c r="O19" s="1160"/>
      <c r="P19" s="1159"/>
      <c r="Q19" s="1159"/>
      <c r="R19" s="1159"/>
      <c r="S19" s="764"/>
    </row>
    <row r="20" spans="1:19" ht="17.25" hidden="1" customHeight="1">
      <c r="A20" s="439">
        <v>2022</v>
      </c>
      <c r="B20" s="440"/>
      <c r="C20" s="1159" t="e">
        <v>#REF!</v>
      </c>
      <c r="D20" s="1160" t="e">
        <v>#REF!</v>
      </c>
      <c r="E20" s="1159"/>
      <c r="F20" s="1159"/>
      <c r="G20" s="1161" t="e">
        <v>#REF!</v>
      </c>
      <c r="H20" s="1161" t="e">
        <v>#REF!</v>
      </c>
      <c r="I20" s="1160" t="e">
        <v>#REF!</v>
      </c>
      <c r="J20" s="1160" t="e">
        <v>#REF!</v>
      </c>
      <c r="K20" s="1159" t="e">
        <v>#REF!</v>
      </c>
      <c r="L20" s="1159" t="e">
        <v>#REF!</v>
      </c>
      <c r="M20" s="764" t="e">
        <v>#REF!</v>
      </c>
      <c r="N20" s="1159" t="e">
        <v>#REF!</v>
      </c>
      <c r="O20" s="1160" t="e">
        <v>#REF!</v>
      </c>
      <c r="P20" s="1159" t="e">
        <v>#REF!</v>
      </c>
      <c r="Q20" s="1159" t="e">
        <v>#REF!</v>
      </c>
      <c r="R20" s="1159" t="e">
        <v>#REF!</v>
      </c>
      <c r="S20" s="764" t="e">
        <v>#REF!</v>
      </c>
    </row>
    <row r="21" spans="1:19" ht="21" customHeight="1">
      <c r="A21" s="439">
        <v>2023</v>
      </c>
      <c r="B21" s="440"/>
      <c r="C21" s="1159">
        <v>3.9922758122879584E-2</v>
      </c>
      <c r="D21" s="1160">
        <v>1.9625160424073045</v>
      </c>
      <c r="E21" s="1159">
        <v>2.1270398517598497</v>
      </c>
      <c r="F21" s="1159">
        <v>2.5030472262610517</v>
      </c>
      <c r="G21" s="1161">
        <v>7.4814025081724758</v>
      </c>
      <c r="H21" s="1161">
        <v>7.5055387398947966</v>
      </c>
      <c r="I21" s="1160">
        <v>7.0500983053323445</v>
      </c>
      <c r="J21" s="1160">
        <v>6.7962987708302292</v>
      </c>
      <c r="K21" s="1159">
        <v>7.3002657373731985</v>
      </c>
      <c r="L21" s="1159">
        <v>7.3073176523956391</v>
      </c>
      <c r="M21" s="764">
        <v>6.7028579601038079</v>
      </c>
      <c r="N21" s="1159">
        <v>6.3815433926636702</v>
      </c>
      <c r="O21" s="1160">
        <v>7.0771762156946325</v>
      </c>
      <c r="P21" s="1159">
        <v>6.7183556816790615</v>
      </c>
      <c r="Q21" s="1159">
        <v>5.6669813013124335</v>
      </c>
      <c r="R21" s="1159">
        <v>6.60436986246365</v>
      </c>
      <c r="S21" s="764">
        <v>18.140051151691296</v>
      </c>
    </row>
    <row r="22" spans="1:19" ht="21" customHeight="1">
      <c r="A22" s="761">
        <v>2024</v>
      </c>
      <c r="B22" s="1075"/>
      <c r="C22" s="1079">
        <f t="shared" ref="C22:S22" si="0">C27</f>
        <v>7.1187508755291562E-2</v>
      </c>
      <c r="D22" s="1080">
        <f t="shared" si="0"/>
        <v>2.1521765513803404</v>
      </c>
      <c r="E22" s="1079">
        <f t="shared" si="0"/>
        <v>2.4762423264652726</v>
      </c>
      <c r="F22" s="1079">
        <f t="shared" si="0"/>
        <v>2.6596763745829821</v>
      </c>
      <c r="G22" s="1081">
        <f t="shared" si="0"/>
        <v>7.5514931265496266</v>
      </c>
      <c r="H22" s="1081">
        <f t="shared" si="0"/>
        <v>7.3717383780402974</v>
      </c>
      <c r="I22" s="1080">
        <f t="shared" si="0"/>
        <v>8.18285805610304</v>
      </c>
      <c r="J22" s="1080">
        <f t="shared" si="0"/>
        <v>5.5199595961827379</v>
      </c>
      <c r="K22" s="1079">
        <f t="shared" si="0"/>
        <v>6.965018645530785</v>
      </c>
      <c r="L22" s="1079">
        <f t="shared" si="0"/>
        <v>7.2284532862586603</v>
      </c>
      <c r="M22" s="1082">
        <f t="shared" si="0"/>
        <v>6.3144549429983678</v>
      </c>
      <c r="N22" s="1079">
        <f t="shared" si="0"/>
        <v>6.2113251637655731</v>
      </c>
      <c r="O22" s="1080">
        <f t="shared" si="0"/>
        <v>5.3606651043769515</v>
      </c>
      <c r="P22" s="1079">
        <f t="shared" si="0"/>
        <v>6.093350122649178</v>
      </c>
      <c r="Q22" s="1079">
        <f t="shared" si="0"/>
        <v>6.0539159623782002</v>
      </c>
      <c r="R22" s="1079">
        <f t="shared" si="0"/>
        <v>6.2433035915785213</v>
      </c>
      <c r="S22" s="1082">
        <f t="shared" si="0"/>
        <v>19.286970023009534</v>
      </c>
    </row>
    <row r="23" spans="1:19" ht="21" customHeight="1">
      <c r="A23" s="439">
        <v>2023</v>
      </c>
      <c r="B23" s="440" t="s">
        <v>238</v>
      </c>
      <c r="C23" s="1159">
        <v>3.9922758122879584E-2</v>
      </c>
      <c r="D23" s="1160">
        <v>1.9625160424073045</v>
      </c>
      <c r="E23" s="1159">
        <v>2.1270398517598497</v>
      </c>
      <c r="F23" s="1159">
        <v>2.5030472262610517</v>
      </c>
      <c r="G23" s="1161">
        <v>7.4814025081724758</v>
      </c>
      <c r="H23" s="1161">
        <v>7.5055387398947966</v>
      </c>
      <c r="I23" s="1160">
        <v>7.0500983053323445</v>
      </c>
      <c r="J23" s="1160">
        <v>6.7962987708302292</v>
      </c>
      <c r="K23" s="1159">
        <v>7.3002657373731985</v>
      </c>
      <c r="L23" s="1159">
        <v>7.3073176523956391</v>
      </c>
      <c r="M23" s="764">
        <v>6.7028579601038079</v>
      </c>
      <c r="N23" s="1159">
        <v>6.3815433926636702</v>
      </c>
      <c r="O23" s="1160">
        <v>7.0771762156946325</v>
      </c>
      <c r="P23" s="1159">
        <v>6.7183556816790615</v>
      </c>
      <c r="Q23" s="1159">
        <v>5.6669813013124335</v>
      </c>
      <c r="R23" s="1159">
        <v>6.60436986246365</v>
      </c>
      <c r="S23" s="764">
        <v>18.140051151691296</v>
      </c>
    </row>
    <row r="24" spans="1:19" ht="21" customHeight="1">
      <c r="A24" s="439">
        <v>2024</v>
      </c>
      <c r="B24" s="440" t="s">
        <v>239</v>
      </c>
      <c r="C24" s="1159">
        <v>8.4958085997100863E-2</v>
      </c>
      <c r="D24" s="1160">
        <v>1.9518428731445359</v>
      </c>
      <c r="E24" s="1159">
        <v>2.3707713877097483</v>
      </c>
      <c r="F24" s="1159">
        <v>2.6112421572020299</v>
      </c>
      <c r="G24" s="1161">
        <v>9.636669565831518</v>
      </c>
      <c r="H24" s="1161">
        <v>8.2764723241968809</v>
      </c>
      <c r="I24" s="1160">
        <v>8.7572780619362351</v>
      </c>
      <c r="J24" s="1160">
        <v>7.0281978815186701</v>
      </c>
      <c r="K24" s="1159">
        <v>8.9326785875198436</v>
      </c>
      <c r="L24" s="1159">
        <v>8.8270695134484374</v>
      </c>
      <c r="M24" s="764">
        <v>6.3899023294132684</v>
      </c>
      <c r="N24" s="1159">
        <v>5.2980456557791014</v>
      </c>
      <c r="O24" s="1160">
        <v>6.2709609038024814</v>
      </c>
      <c r="P24" s="1159">
        <v>6.759153162441212</v>
      </c>
      <c r="Q24" s="1159">
        <v>6.2158238337629701</v>
      </c>
      <c r="R24" s="1159">
        <v>6.4249042832906085</v>
      </c>
      <c r="S24" s="764">
        <v>18.323536862366613</v>
      </c>
    </row>
    <row r="25" spans="1:19" ht="15" customHeight="1">
      <c r="A25" s="439"/>
      <c r="B25" s="440" t="s">
        <v>240</v>
      </c>
      <c r="C25" s="1159">
        <v>6.3561846738642125E-2</v>
      </c>
      <c r="D25" s="1160">
        <v>2.6307644975444062</v>
      </c>
      <c r="E25" s="1159">
        <v>3.0764328104116503</v>
      </c>
      <c r="F25" s="1159">
        <v>3.3915083298106361</v>
      </c>
      <c r="G25" s="1161">
        <v>7.4227782326710035</v>
      </c>
      <c r="H25" s="1161">
        <v>8.2511202859824078</v>
      </c>
      <c r="I25" s="1160">
        <v>8.4819789857316721</v>
      </c>
      <c r="J25" s="1160">
        <v>7.897998272652389</v>
      </c>
      <c r="K25" s="1159">
        <v>7.8422252915559527</v>
      </c>
      <c r="L25" s="1159">
        <v>7.8534739780394638</v>
      </c>
      <c r="M25" s="764">
        <v>6.5493091350163075</v>
      </c>
      <c r="N25" s="1159">
        <v>5.4447831922962466</v>
      </c>
      <c r="O25" s="1160">
        <v>6.4639107946288217</v>
      </c>
      <c r="P25" s="1159">
        <v>5.6142392050066041</v>
      </c>
      <c r="Q25" s="1159">
        <v>5.7412195287443986</v>
      </c>
      <c r="R25" s="1159">
        <v>6.0888715629601142</v>
      </c>
      <c r="S25" s="764">
        <v>18.242122257860469</v>
      </c>
    </row>
    <row r="26" spans="1:19" ht="15" customHeight="1">
      <c r="A26" s="439"/>
      <c r="B26" s="440" t="s">
        <v>237</v>
      </c>
      <c r="C26" s="1159">
        <v>6.4474307622687022E-2</v>
      </c>
      <c r="D26" s="1160">
        <v>2.4152066573456512</v>
      </c>
      <c r="E26" s="1159">
        <v>2.8417616019730509</v>
      </c>
      <c r="F26" s="1159">
        <v>3.1300791443375715</v>
      </c>
      <c r="G26" s="1161">
        <v>8.3155421953896962</v>
      </c>
      <c r="H26" s="1161">
        <v>7.8415177510941527</v>
      </c>
      <c r="I26" s="1160">
        <v>7.7723115090207511</v>
      </c>
      <c r="J26" s="1160">
        <v>7.6163709060080143</v>
      </c>
      <c r="K26" s="1159">
        <v>7.7505658404426772</v>
      </c>
      <c r="L26" s="1159">
        <v>7.8178180816244813</v>
      </c>
      <c r="M26" s="764">
        <v>6.0143882255297374</v>
      </c>
      <c r="N26" s="1159">
        <v>6.0616676285906284</v>
      </c>
      <c r="O26" s="1160">
        <v>6.3693682988314491</v>
      </c>
      <c r="P26" s="1159">
        <v>6.1591133583603561</v>
      </c>
      <c r="Q26" s="1159">
        <v>6.0718797925802059</v>
      </c>
      <c r="R26" s="1159">
        <v>6.2570818319298551</v>
      </c>
      <c r="S26" s="764">
        <v>19.513899516001672</v>
      </c>
    </row>
    <row r="27" spans="1:19" ht="15" customHeight="1">
      <c r="A27" s="439"/>
      <c r="B27" s="440" t="s">
        <v>238</v>
      </c>
      <c r="C27" s="1159">
        <v>7.1187508755291562E-2</v>
      </c>
      <c r="D27" s="1160">
        <v>2.1521765513803404</v>
      </c>
      <c r="E27" s="1159">
        <v>2.4762423264652726</v>
      </c>
      <c r="F27" s="1159">
        <v>2.6596763745829821</v>
      </c>
      <c r="G27" s="1161">
        <v>7.5514931265496266</v>
      </c>
      <c r="H27" s="1161">
        <v>7.3717383780402974</v>
      </c>
      <c r="I27" s="1160">
        <v>8.18285805610304</v>
      </c>
      <c r="J27" s="1160">
        <v>5.5199595961827379</v>
      </c>
      <c r="K27" s="1159">
        <v>6.965018645530785</v>
      </c>
      <c r="L27" s="1159">
        <v>7.2284532862586603</v>
      </c>
      <c r="M27" s="764">
        <v>6.3144549429983678</v>
      </c>
      <c r="N27" s="1159">
        <v>6.2113251637655731</v>
      </c>
      <c r="O27" s="1160">
        <v>5.3606651043769515</v>
      </c>
      <c r="P27" s="1159">
        <v>6.093350122649178</v>
      </c>
      <c r="Q27" s="1159">
        <v>6.0539159623782002</v>
      </c>
      <c r="R27" s="1159">
        <v>6.2433035915785213</v>
      </c>
      <c r="S27" s="764">
        <v>19.286970023009534</v>
      </c>
    </row>
    <row r="28" spans="1:19" ht="21" customHeight="1">
      <c r="A28" s="439">
        <v>2025</v>
      </c>
      <c r="B28" s="440" t="s">
        <v>239</v>
      </c>
      <c r="C28" s="1159">
        <f t="shared" ref="C28:S28" si="1">C36</f>
        <v>7.0273680873252156E-2</v>
      </c>
      <c r="D28" s="1160">
        <f t="shared" si="1"/>
        <v>2.1093002656926969</v>
      </c>
      <c r="E28" s="1159">
        <f t="shared" si="1"/>
        <v>2.4383818777937942</v>
      </c>
      <c r="F28" s="1159">
        <f t="shared" si="1"/>
        <v>2.6406241406091255</v>
      </c>
      <c r="G28" s="1161">
        <f t="shared" si="1"/>
        <v>6.7492442318529422</v>
      </c>
      <c r="H28" s="1161">
        <f t="shared" si="1"/>
        <v>7.1153583924193384</v>
      </c>
      <c r="I28" s="1160">
        <f t="shared" si="1"/>
        <v>7.2057165876457274</v>
      </c>
      <c r="J28" s="1160">
        <f t="shared" si="1"/>
        <v>5.9557732233379026</v>
      </c>
      <c r="K28" s="1159">
        <f t="shared" si="1"/>
        <v>6.5508340488038153</v>
      </c>
      <c r="L28" s="1159">
        <f t="shared" si="1"/>
        <v>6.7762969463412537</v>
      </c>
      <c r="M28" s="764">
        <f t="shared" si="1"/>
        <v>4.9312288851155586</v>
      </c>
      <c r="N28" s="1159">
        <f t="shared" si="1"/>
        <v>5.9652008195105566</v>
      </c>
      <c r="O28" s="1160">
        <f t="shared" si="1"/>
        <v>5.1793662131629921</v>
      </c>
      <c r="P28" s="1159">
        <f t="shared" si="1"/>
        <v>5.5020268223107056</v>
      </c>
      <c r="Q28" s="1159">
        <f t="shared" si="1"/>
        <v>5.9100917743279684</v>
      </c>
      <c r="R28" s="1159">
        <f t="shared" si="1"/>
        <v>5.6925117849707867</v>
      </c>
      <c r="S28" s="764">
        <f t="shared" si="1"/>
        <v>19.555783111752344</v>
      </c>
    </row>
    <row r="29" spans="1:19" ht="15" customHeight="1">
      <c r="A29" s="439"/>
      <c r="B29" s="440" t="s">
        <v>240</v>
      </c>
      <c r="C29" s="1159">
        <f t="shared" ref="C29:S29" si="2">C39</f>
        <v>6.998536002820778E-2</v>
      </c>
      <c r="D29" s="1160">
        <f t="shared" si="2"/>
        <v>2.0652469040851811</v>
      </c>
      <c r="E29" s="1159">
        <f t="shared" si="2"/>
        <v>2.5474222429589117</v>
      </c>
      <c r="F29" s="1159">
        <f t="shared" si="2"/>
        <v>2.6837541850458515</v>
      </c>
      <c r="G29" s="1161">
        <f t="shared" si="2"/>
        <v>7.0722419832337504</v>
      </c>
      <c r="H29" s="1161">
        <f t="shared" si="2"/>
        <v>8.1463337928738149</v>
      </c>
      <c r="I29" s="1160">
        <f t="shared" si="2"/>
        <v>6.0053727679715792</v>
      </c>
      <c r="J29" s="1160">
        <f t="shared" si="2"/>
        <v>7.0664367928475373</v>
      </c>
      <c r="K29" s="1159">
        <f t="shared" si="2"/>
        <v>6.9472610275935978</v>
      </c>
      <c r="L29" s="1159">
        <f t="shared" si="2"/>
        <v>7.0772207334504085</v>
      </c>
      <c r="M29" s="764">
        <f t="shared" si="2"/>
        <v>5.1292081373590213</v>
      </c>
      <c r="N29" s="1159">
        <f t="shared" si="2"/>
        <v>5.6769390443696137</v>
      </c>
      <c r="O29" s="1160">
        <f t="shared" si="2"/>
        <v>6.4422328346276929</v>
      </c>
      <c r="P29" s="1159">
        <f t="shared" si="2"/>
        <v>5.2846593752654778</v>
      </c>
      <c r="Q29" s="1159">
        <f t="shared" si="2"/>
        <v>5.7739304314997115</v>
      </c>
      <c r="R29" s="1159">
        <f t="shared" si="2"/>
        <v>5.7642394435130537</v>
      </c>
      <c r="S29" s="764">
        <f t="shared" si="2"/>
        <v>19.533190880820197</v>
      </c>
    </row>
    <row r="30" spans="1:19" ht="15" customHeight="1">
      <c r="A30" s="761"/>
      <c r="B30" s="1075" t="s">
        <v>237</v>
      </c>
      <c r="C30" s="1079">
        <f t="shared" ref="C30:S30" si="3">C42</f>
        <v>7.1041095499979362E-2</v>
      </c>
      <c r="D30" s="1080">
        <f t="shared" si="3"/>
        <v>1.9810578650108477</v>
      </c>
      <c r="E30" s="1079">
        <f t="shared" si="3"/>
        <v>2.4004020753007764</v>
      </c>
      <c r="F30" s="1079">
        <f t="shared" si="3"/>
        <v>2.5291907588431801</v>
      </c>
      <c r="G30" s="1081">
        <f t="shared" si="3"/>
        <v>7.7005115298605959</v>
      </c>
      <c r="H30" s="1081">
        <f t="shared" si="3"/>
        <v>6.9251697688130944</v>
      </c>
      <c r="I30" s="1080">
        <f t="shared" si="3"/>
        <v>6.7176618723111767</v>
      </c>
      <c r="J30" s="1080">
        <f t="shared" si="3"/>
        <v>6.8391451127305114</v>
      </c>
      <c r="K30" s="1079">
        <f t="shared" si="3"/>
        <v>7.0855114698477806</v>
      </c>
      <c r="L30" s="1079">
        <f t="shared" si="3"/>
        <v>7.2975378784382583</v>
      </c>
      <c r="M30" s="1082">
        <f t="shared" si="3"/>
        <v>5.0734761224267713</v>
      </c>
      <c r="N30" s="1079">
        <f t="shared" si="3"/>
        <v>5.7121180110710821</v>
      </c>
      <c r="O30" s="1080">
        <f t="shared" si="3"/>
        <v>4.8357924438619246</v>
      </c>
      <c r="P30" s="1079">
        <f t="shared" si="3"/>
        <v>5.2366551899740461</v>
      </c>
      <c r="Q30" s="1079">
        <f t="shared" si="3"/>
        <v>5.1761365280206295</v>
      </c>
      <c r="R30" s="1079">
        <f t="shared" si="3"/>
        <v>5.3181538001015936</v>
      </c>
      <c r="S30" s="1082">
        <f t="shared" si="3"/>
        <v>19.511887008799551</v>
      </c>
    </row>
    <row r="31" spans="1:19" ht="20.25" customHeight="1">
      <c r="A31" s="439">
        <v>2024</v>
      </c>
      <c r="B31" s="440" t="s">
        <v>412</v>
      </c>
      <c r="C31" s="1159">
        <v>7.0639721850285803E-2</v>
      </c>
      <c r="D31" s="1160">
        <v>2.3200518603407612</v>
      </c>
      <c r="E31" s="1160">
        <v>2.5939598058370952</v>
      </c>
      <c r="F31" s="1160">
        <v>2.8655662821619865</v>
      </c>
      <c r="G31" s="1161">
        <v>7.9605712501342296</v>
      </c>
      <c r="H31" s="1161">
        <v>6.2276092596593582</v>
      </c>
      <c r="I31" s="1160">
        <v>7.2862685285759188</v>
      </c>
      <c r="J31" s="1160">
        <v>7.3570591108506003</v>
      </c>
      <c r="K31" s="1159">
        <v>7.42728041288958</v>
      </c>
      <c r="L31" s="1159">
        <v>7.4426568087929139</v>
      </c>
      <c r="M31" s="764">
        <v>5.5155140182392151</v>
      </c>
      <c r="N31" s="1160">
        <v>6.0364598717976286</v>
      </c>
      <c r="O31" s="1160">
        <v>5.5992603429886865</v>
      </c>
      <c r="P31" s="764">
        <v>6.449026718371818</v>
      </c>
      <c r="Q31" s="1160">
        <v>5.9597833895731052</v>
      </c>
      <c r="R31" s="1160">
        <v>6.2123294705250798</v>
      </c>
      <c r="S31" s="764">
        <v>19.445228090645703</v>
      </c>
    </row>
    <row r="32" spans="1:19" ht="15.75">
      <c r="A32" s="439"/>
      <c r="B32" s="440" t="s">
        <v>413</v>
      </c>
      <c r="C32" s="1159">
        <v>7.074630482806793E-2</v>
      </c>
      <c r="D32" s="1160">
        <v>2.2061785525177067</v>
      </c>
      <c r="E32" s="1160">
        <v>2.540581894883077</v>
      </c>
      <c r="F32" s="1160">
        <v>2.7612582978118221</v>
      </c>
      <c r="G32" s="1161">
        <v>7.4500858523205116</v>
      </c>
      <c r="H32" s="1161">
        <v>8.5495923940483252</v>
      </c>
      <c r="I32" s="1160">
        <v>8.3781903626501055</v>
      </c>
      <c r="J32" s="1160">
        <v>4.2631328635076668</v>
      </c>
      <c r="K32" s="1159">
        <v>6.4451391326542531</v>
      </c>
      <c r="L32" s="1159">
        <v>6.6258103094493581</v>
      </c>
      <c r="M32" s="764">
        <v>5.1426580147292578</v>
      </c>
      <c r="N32" s="1160">
        <v>5.6569613734341448</v>
      </c>
      <c r="O32" s="1160">
        <v>5.7925777945422823</v>
      </c>
      <c r="P32" s="764">
        <v>6.0946086780746489</v>
      </c>
      <c r="Q32" s="1160">
        <v>5.7046448782633945</v>
      </c>
      <c r="R32" s="1160">
        <v>5.9014541092175294</v>
      </c>
      <c r="S32" s="764">
        <v>19.470975266613941</v>
      </c>
    </row>
    <row r="33" spans="1:19" ht="15.75">
      <c r="A33" s="439"/>
      <c r="B33" s="440" t="s">
        <v>414</v>
      </c>
      <c r="C33" s="1159">
        <v>7.1187508755291562E-2</v>
      </c>
      <c r="D33" s="1160">
        <v>2.1521765513803404</v>
      </c>
      <c r="E33" s="1160">
        <v>2.4762423264652726</v>
      </c>
      <c r="F33" s="1160">
        <v>2.6596763745829821</v>
      </c>
      <c r="G33" s="1161">
        <v>7.5514931265496266</v>
      </c>
      <c r="H33" s="1161">
        <v>7.3717383780402974</v>
      </c>
      <c r="I33" s="1160">
        <v>8.18285805610304</v>
      </c>
      <c r="J33" s="1160">
        <v>5.5199595961827379</v>
      </c>
      <c r="K33" s="1159">
        <v>6.965018645530785</v>
      </c>
      <c r="L33" s="1159">
        <v>7.2284532862586603</v>
      </c>
      <c r="M33" s="764">
        <v>6.3144549429983678</v>
      </c>
      <c r="N33" s="1160">
        <v>6.2113251637655731</v>
      </c>
      <c r="O33" s="1160">
        <v>5.3606651043769515</v>
      </c>
      <c r="P33" s="764">
        <v>6.093350122649178</v>
      </c>
      <c r="Q33" s="1160">
        <v>6.0539159623782002</v>
      </c>
      <c r="R33" s="1160">
        <v>6.2433035915785213</v>
      </c>
      <c r="S33" s="764">
        <v>19.286970023009534</v>
      </c>
    </row>
    <row r="34" spans="1:19" ht="20.25" customHeight="1">
      <c r="A34" s="439">
        <v>2025</v>
      </c>
      <c r="B34" s="440" t="s">
        <v>415</v>
      </c>
      <c r="C34" s="1159">
        <v>7.0846341371191821E-2</v>
      </c>
      <c r="D34" s="1160">
        <v>2.1125615497755188</v>
      </c>
      <c r="E34" s="1160">
        <v>2.4578693620690784</v>
      </c>
      <c r="F34" s="1160">
        <v>2.650247661202545</v>
      </c>
      <c r="G34" s="1161">
        <v>7.3426013714460217</v>
      </c>
      <c r="H34" s="1161">
        <v>7.6274318461315866</v>
      </c>
      <c r="I34" s="1160">
        <v>7.3880326626872659</v>
      </c>
      <c r="J34" s="1160">
        <v>7.5396528817722936</v>
      </c>
      <c r="K34" s="1159">
        <v>7.3754566915211122</v>
      </c>
      <c r="L34" s="1159">
        <v>7.3821298882484596</v>
      </c>
      <c r="M34" s="764">
        <v>5.4595286978162552</v>
      </c>
      <c r="N34" s="1160">
        <v>5.8390573848830103</v>
      </c>
      <c r="O34" s="1160">
        <v>5.3733039706434091</v>
      </c>
      <c r="P34" s="764">
        <v>6.0207934228477082</v>
      </c>
      <c r="Q34" s="1160">
        <v>6.0517522040621143</v>
      </c>
      <c r="R34" s="1160">
        <v>6.0442311586408115</v>
      </c>
      <c r="S34" s="764">
        <v>19.50138802018224</v>
      </c>
    </row>
    <row r="35" spans="1:19" ht="15.75" customHeight="1">
      <c r="A35" s="439"/>
      <c r="B35" s="440" t="s">
        <v>416</v>
      </c>
      <c r="C35" s="1159">
        <v>7.0545118562099163E-2</v>
      </c>
      <c r="D35" s="1160">
        <v>2.1035087695836383</v>
      </c>
      <c r="E35" s="1160">
        <v>2.4594975019432477</v>
      </c>
      <c r="F35" s="1160">
        <v>2.6453818190406251</v>
      </c>
      <c r="G35" s="1161">
        <v>6.7509236073644781</v>
      </c>
      <c r="H35" s="1161">
        <v>8.0290271679024308</v>
      </c>
      <c r="I35" s="1160">
        <v>7.8209121499302841</v>
      </c>
      <c r="J35" s="1160">
        <v>3.9703658786626845</v>
      </c>
      <c r="K35" s="1159">
        <v>5.3175875133201895</v>
      </c>
      <c r="L35" s="1159">
        <v>5.470636821941687</v>
      </c>
      <c r="M35" s="764">
        <v>5.6767394062906238</v>
      </c>
      <c r="N35" s="1160">
        <v>6.5562079768732602</v>
      </c>
      <c r="O35" s="1160">
        <v>5.8348747800262091</v>
      </c>
      <c r="P35" s="764">
        <v>5.5836956112043223</v>
      </c>
      <c r="Q35" s="1160">
        <v>5.8284335057837566</v>
      </c>
      <c r="R35" s="1160">
        <v>5.8765935714419655</v>
      </c>
      <c r="S35" s="764">
        <v>19.540240016568127</v>
      </c>
    </row>
    <row r="36" spans="1:19" ht="15.75" customHeight="1">
      <c r="A36" s="439"/>
      <c r="B36" s="440" t="s">
        <v>417</v>
      </c>
      <c r="C36" s="1159">
        <v>7.0273680873252156E-2</v>
      </c>
      <c r="D36" s="1160">
        <v>2.1093002656926969</v>
      </c>
      <c r="E36" s="1160">
        <v>2.4383818777937942</v>
      </c>
      <c r="F36" s="1160">
        <v>2.6406241406091255</v>
      </c>
      <c r="G36" s="1161">
        <v>6.7492442318529422</v>
      </c>
      <c r="H36" s="1161">
        <v>7.1153583924193384</v>
      </c>
      <c r="I36" s="1160">
        <v>7.2057165876457274</v>
      </c>
      <c r="J36" s="1160">
        <v>5.9557732233379026</v>
      </c>
      <c r="K36" s="1159">
        <v>6.5508340488038153</v>
      </c>
      <c r="L36" s="1159">
        <v>6.7762969463412537</v>
      </c>
      <c r="M36" s="764">
        <v>4.9312288851155586</v>
      </c>
      <c r="N36" s="1160">
        <v>5.9652008195105566</v>
      </c>
      <c r="O36" s="1160">
        <v>5.1793662131629921</v>
      </c>
      <c r="P36" s="764">
        <v>5.5020268223107056</v>
      </c>
      <c r="Q36" s="1160">
        <v>5.9100917743279684</v>
      </c>
      <c r="R36" s="1160">
        <v>5.6925117849707867</v>
      </c>
      <c r="S36" s="764">
        <v>19.555783111752344</v>
      </c>
    </row>
    <row r="37" spans="1:19" ht="15.75" customHeight="1">
      <c r="A37" s="439"/>
      <c r="B37" s="440" t="s">
        <v>418</v>
      </c>
      <c r="C37" s="1159">
        <v>7.0913528209968518E-2</v>
      </c>
      <c r="D37" s="1160">
        <v>2.1118423959025572</v>
      </c>
      <c r="E37" s="1160">
        <v>2.4584893178097937</v>
      </c>
      <c r="F37" s="1160">
        <v>2.6494721799665655</v>
      </c>
      <c r="G37" s="1161">
        <v>5.6003233073765628</v>
      </c>
      <c r="H37" s="1161">
        <v>6.8703215009514036</v>
      </c>
      <c r="I37" s="1160">
        <v>7.0558958181757871</v>
      </c>
      <c r="J37" s="1160">
        <v>3.8506586103305915</v>
      </c>
      <c r="K37" s="1159">
        <v>4.699832249736823</v>
      </c>
      <c r="L37" s="1159">
        <v>5.2894940087470825</v>
      </c>
      <c r="M37" s="764">
        <v>5.470181429154005</v>
      </c>
      <c r="N37" s="1160">
        <v>6.0745617610349649</v>
      </c>
      <c r="O37" s="1160">
        <v>5.0198263089347366</v>
      </c>
      <c r="P37" s="764">
        <v>5.5052878123851308</v>
      </c>
      <c r="Q37" s="1160">
        <v>6.0523833750737985</v>
      </c>
      <c r="R37" s="1160">
        <v>5.8271180265004734</v>
      </c>
      <c r="S37" s="764">
        <v>19.5316187797468</v>
      </c>
    </row>
    <row r="38" spans="1:19" ht="15.75" customHeight="1">
      <c r="A38" s="439"/>
      <c r="B38" s="440" t="s">
        <v>419</v>
      </c>
      <c r="C38" s="1159">
        <v>6.7009720949785648E-2</v>
      </c>
      <c r="D38" s="1160">
        <v>2.0485029266166142</v>
      </c>
      <c r="E38" s="1160">
        <v>2.5261038602703438</v>
      </c>
      <c r="F38" s="1160">
        <v>2.6522973981843858</v>
      </c>
      <c r="G38" s="1161">
        <v>6.6536121929336689</v>
      </c>
      <c r="H38" s="1161">
        <v>8.1148371143300633</v>
      </c>
      <c r="I38" s="1160">
        <v>7.0608903134316918</v>
      </c>
      <c r="J38" s="1160">
        <v>6.554584540881863</v>
      </c>
      <c r="K38" s="1159">
        <v>6.7008642091222423</v>
      </c>
      <c r="L38" s="1159">
        <v>6.7972641498773685</v>
      </c>
      <c r="M38" s="764">
        <v>5.3014660830704452</v>
      </c>
      <c r="N38" s="1160">
        <v>6.1232480532333717</v>
      </c>
      <c r="O38" s="1160">
        <v>4.2570398091184849</v>
      </c>
      <c r="P38" s="764">
        <v>4.3202346799723932</v>
      </c>
      <c r="Q38" s="1160">
        <v>5.6195413624037576</v>
      </c>
      <c r="R38" s="1160">
        <v>5.0781055374252979</v>
      </c>
      <c r="S38" s="764">
        <v>19.293623560716124</v>
      </c>
    </row>
    <row r="39" spans="1:19" ht="15.75" customHeight="1">
      <c r="A39" s="439"/>
      <c r="B39" s="440" t="s">
        <v>420</v>
      </c>
      <c r="C39" s="1159">
        <v>6.998536002820778E-2</v>
      </c>
      <c r="D39" s="1160">
        <v>2.0652469040851811</v>
      </c>
      <c r="E39" s="1160">
        <v>2.5474222429589117</v>
      </c>
      <c r="F39" s="1160">
        <v>2.6837541850458515</v>
      </c>
      <c r="G39" s="1161">
        <v>7.0722419832337504</v>
      </c>
      <c r="H39" s="1161">
        <v>8.1463337928738149</v>
      </c>
      <c r="I39" s="1160">
        <v>6.0053727679715792</v>
      </c>
      <c r="J39" s="1160">
        <v>7.0664367928475373</v>
      </c>
      <c r="K39" s="1159">
        <v>6.9472610275935978</v>
      </c>
      <c r="L39" s="1159">
        <v>7.0772207334504085</v>
      </c>
      <c r="M39" s="764">
        <v>5.1292081373590213</v>
      </c>
      <c r="N39" s="1160">
        <v>5.6769390443696137</v>
      </c>
      <c r="O39" s="1160">
        <v>6.4422328346276929</v>
      </c>
      <c r="P39" s="764">
        <v>5.2846593752654778</v>
      </c>
      <c r="Q39" s="1160">
        <v>5.7739304314997115</v>
      </c>
      <c r="R39" s="1160">
        <v>5.7642394435130537</v>
      </c>
      <c r="S39" s="764">
        <v>19.533190880820197</v>
      </c>
    </row>
    <row r="40" spans="1:19" ht="15.75" customHeight="1">
      <c r="A40" s="439"/>
      <c r="B40" s="440" t="s">
        <v>421</v>
      </c>
      <c r="C40" s="1159">
        <v>6.9965295542776737E-2</v>
      </c>
      <c r="D40" s="1160">
        <v>2.0498767816047523</v>
      </c>
      <c r="E40" s="1160">
        <v>2.5280624568053378</v>
      </c>
      <c r="F40" s="1160">
        <v>2.659308140894078</v>
      </c>
      <c r="G40" s="1161">
        <v>6.9188624413689688</v>
      </c>
      <c r="H40" s="1161">
        <v>8.1036338305718321</v>
      </c>
      <c r="I40" s="1160">
        <v>6.861157246945254</v>
      </c>
      <c r="J40" s="1160">
        <v>6.8469469269436445</v>
      </c>
      <c r="K40" s="1159">
        <v>6.9620100546866039</v>
      </c>
      <c r="L40" s="1159">
        <v>7.0783245111283977</v>
      </c>
      <c r="M40" s="764">
        <v>4.9647361227345401</v>
      </c>
      <c r="N40" s="1160">
        <v>5.2638008998386869</v>
      </c>
      <c r="O40" s="1160">
        <v>5.5839412290277259</v>
      </c>
      <c r="P40" s="764">
        <v>5.3060324396765406</v>
      </c>
      <c r="Q40" s="1160">
        <v>5.3937896496784727</v>
      </c>
      <c r="R40" s="1160">
        <v>5.4183819659251515</v>
      </c>
      <c r="S40" s="764">
        <v>19.413547371908294</v>
      </c>
    </row>
    <row r="41" spans="1:19" ht="15.75" customHeight="1">
      <c r="A41" s="439"/>
      <c r="B41" s="440" t="s">
        <v>422</v>
      </c>
      <c r="C41" s="1159">
        <v>7.0252265079156273E-2</v>
      </c>
      <c r="D41" s="1160">
        <v>1.9964332694963318</v>
      </c>
      <c r="E41" s="1160">
        <v>2.4807432063697963</v>
      </c>
      <c r="F41" s="1160">
        <v>2.6218846694914939</v>
      </c>
      <c r="G41" s="1161">
        <v>7.1973008497470774</v>
      </c>
      <c r="H41" s="1161">
        <v>7.7913884616473981</v>
      </c>
      <c r="I41" s="1160">
        <v>6.5823178386870582</v>
      </c>
      <c r="J41" s="1160">
        <v>6.0202800218032211</v>
      </c>
      <c r="K41" s="1159">
        <v>6.7097405552295353</v>
      </c>
      <c r="L41" s="1159">
        <v>7.0260568045091478</v>
      </c>
      <c r="M41" s="764">
        <v>5.567522278911035</v>
      </c>
      <c r="N41" s="1160">
        <v>5.6205077848000684</v>
      </c>
      <c r="O41" s="1160">
        <v>5.2973428260331668</v>
      </c>
      <c r="P41" s="764">
        <v>5.1506930939588953</v>
      </c>
      <c r="Q41" s="1160">
        <v>5.3217789248639349</v>
      </c>
      <c r="R41" s="1160">
        <v>5.4331041715404673</v>
      </c>
      <c r="S41" s="764">
        <v>19.489806046221776</v>
      </c>
    </row>
    <row r="42" spans="1:19" ht="15.75" customHeight="1">
      <c r="A42" s="439"/>
      <c r="B42" s="440" t="s">
        <v>423</v>
      </c>
      <c r="C42" s="1159">
        <v>7.1041095499979362E-2</v>
      </c>
      <c r="D42" s="1160">
        <v>1.9810578650108477</v>
      </c>
      <c r="E42" s="1160">
        <v>2.4004020753007764</v>
      </c>
      <c r="F42" s="1160">
        <v>2.5291907588431801</v>
      </c>
      <c r="G42" s="1161">
        <v>7.7005115298605959</v>
      </c>
      <c r="H42" s="1161">
        <v>6.9251697688130944</v>
      </c>
      <c r="I42" s="1160">
        <v>6.7176618723111767</v>
      </c>
      <c r="J42" s="1160">
        <v>6.8391451127305114</v>
      </c>
      <c r="K42" s="1159">
        <v>7.0855114698477806</v>
      </c>
      <c r="L42" s="1159">
        <v>7.2975378784382583</v>
      </c>
      <c r="M42" s="764">
        <v>5.0734761224267713</v>
      </c>
      <c r="N42" s="1160">
        <v>5.7121180110710821</v>
      </c>
      <c r="O42" s="1160">
        <v>4.8357924438619246</v>
      </c>
      <c r="P42" s="764">
        <v>5.2366551899740461</v>
      </c>
      <c r="Q42" s="1160">
        <v>5.1761365280206295</v>
      </c>
      <c r="R42" s="1160">
        <v>5.3181538001015936</v>
      </c>
      <c r="S42" s="764">
        <v>19.511887008799551</v>
      </c>
    </row>
    <row r="43" spans="1:19" ht="15.75" customHeight="1">
      <c r="A43" s="439"/>
      <c r="B43" s="440" t="s">
        <v>412</v>
      </c>
      <c r="C43" s="1159">
        <v>7.0749016511049062E-2</v>
      </c>
      <c r="D43" s="1160">
        <v>1.9413204972772444</v>
      </c>
      <c r="E43" s="1160">
        <v>2.2788977397342425</v>
      </c>
      <c r="F43" s="1160">
        <v>2.3954312559420732</v>
      </c>
      <c r="G43" s="1161">
        <v>6.3542382923520142</v>
      </c>
      <c r="H43" s="1161">
        <v>7.5493777416445074</v>
      </c>
      <c r="I43" s="1160">
        <v>7.6932221537891836</v>
      </c>
      <c r="J43" s="1160">
        <v>5.8060277943705891</v>
      </c>
      <c r="K43" s="1159">
        <v>6.3443793175910326</v>
      </c>
      <c r="L43" s="1159">
        <v>6.4095847204295264</v>
      </c>
      <c r="M43" s="764">
        <v>5.5272864559014927</v>
      </c>
      <c r="N43" s="1160">
        <v>5.7643189509822825</v>
      </c>
      <c r="O43" s="1160">
        <v>4.6380474802679501</v>
      </c>
      <c r="P43" s="764">
        <v>5.2729519117562287</v>
      </c>
      <c r="Q43" s="1160">
        <v>5.0291504774318163</v>
      </c>
      <c r="R43" s="1160">
        <v>5.3611761618152913</v>
      </c>
      <c r="S43" s="764">
        <v>19.410609413768118</v>
      </c>
    </row>
    <row r="44" spans="1:19" s="306" customFormat="1" ht="20.25" customHeight="1">
      <c r="A44" s="253" t="s">
        <v>594</v>
      </c>
      <c r="B44" s="253"/>
      <c r="C44" s="253"/>
      <c r="D44" s="253"/>
      <c r="E44" s="253"/>
      <c r="F44" s="253"/>
      <c r="G44" s="253"/>
      <c r="H44" s="253"/>
      <c r="I44" s="253"/>
      <c r="J44" s="253"/>
      <c r="K44" s="253"/>
      <c r="L44" s="253"/>
      <c r="M44" s="253"/>
      <c r="N44" s="253"/>
      <c r="O44" s="253"/>
      <c r="P44" s="253"/>
      <c r="Q44" s="253"/>
      <c r="R44" s="253"/>
      <c r="S44" s="1603" t="s">
        <v>595</v>
      </c>
    </row>
    <row r="45" spans="1:19" s="306" customFormat="1" ht="14.25" customHeight="1">
      <c r="A45" s="306" t="s">
        <v>596</v>
      </c>
      <c r="L45" s="321"/>
      <c r="M45" s="321"/>
      <c r="S45" s="305" t="s">
        <v>597</v>
      </c>
    </row>
    <row r="46" spans="1:19" s="306" customFormat="1" ht="14.25" customHeight="1">
      <c r="A46" s="306" t="s">
        <v>598</v>
      </c>
      <c r="I46" s="441"/>
      <c r="J46" s="441"/>
      <c r="K46" s="441"/>
      <c r="L46" s="442"/>
      <c r="M46" s="321"/>
      <c r="S46" s="305" t="s">
        <v>599</v>
      </c>
    </row>
    <row r="47" spans="1:19" s="416" customFormat="1">
      <c r="A47" s="148"/>
      <c r="H47" s="413"/>
      <c r="I47" s="413"/>
      <c r="J47" s="413"/>
      <c r="K47" s="413"/>
      <c r="L47" s="414"/>
      <c r="M47" s="413"/>
      <c r="N47" s="413"/>
      <c r="O47" s="413"/>
      <c r="S47" s="1101"/>
    </row>
    <row r="48" spans="1:19" s="416" customFormat="1">
      <c r="A48" s="148"/>
      <c r="H48" s="413"/>
      <c r="I48" s="413"/>
      <c r="J48" s="413"/>
      <c r="K48" s="413"/>
      <c r="L48" s="414"/>
      <c r="M48" s="413"/>
      <c r="N48" s="413"/>
      <c r="O48" s="413"/>
      <c r="S48" s="1101"/>
    </row>
    <row r="49" spans="1:19">
      <c r="A49" s="387" t="s">
        <v>663</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tabSelected="1" zoomScale="70" zoomScaleNormal="70" workbookViewId="0">
      <pane ySplit="8" topLeftCell="A9" activePane="bottomLeft" state="frozen"/>
      <selection activeCell="N29" sqref="N29"/>
      <selection pane="bottomLeft" activeCell="N29" sqref="N29"/>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1758</v>
      </c>
      <c r="B1" s="387"/>
      <c r="C1" s="387"/>
      <c r="D1" s="387"/>
      <c r="E1" s="387"/>
      <c r="F1" s="387"/>
      <c r="G1" s="387"/>
      <c r="H1" s="387"/>
      <c r="I1" s="387"/>
      <c r="J1" s="387"/>
      <c r="K1" s="387"/>
      <c r="L1" s="387"/>
      <c r="M1" s="387"/>
      <c r="N1" s="387"/>
      <c r="O1" s="387"/>
    </row>
    <row r="2" spans="1:16" s="1693" customFormat="1" ht="21.75" customHeight="1">
      <c r="A2" s="1254" t="s">
        <v>1759</v>
      </c>
      <c r="B2" s="1692"/>
      <c r="C2" s="1692"/>
      <c r="D2" s="1692"/>
      <c r="E2" s="1692"/>
      <c r="F2" s="1692"/>
      <c r="G2" s="1692"/>
      <c r="H2" s="1692"/>
      <c r="I2" s="1692"/>
      <c r="J2" s="1692"/>
      <c r="K2" s="1692"/>
      <c r="L2" s="1692"/>
      <c r="M2" s="1692"/>
      <c r="N2" s="1692"/>
      <c r="O2" s="1692"/>
    </row>
    <row r="3" spans="1:16" s="416" customFormat="1" ht="18">
      <c r="A3" s="277" t="s">
        <v>1760</v>
      </c>
      <c r="B3" s="387"/>
      <c r="C3" s="387"/>
      <c r="D3" s="387"/>
      <c r="E3" s="387"/>
      <c r="F3" s="387"/>
      <c r="G3" s="387"/>
      <c r="H3" s="387"/>
      <c r="I3" s="387"/>
      <c r="J3" s="387"/>
      <c r="K3" s="387"/>
      <c r="L3" s="387"/>
      <c r="M3" s="387"/>
      <c r="N3" s="387"/>
      <c r="O3" s="387"/>
    </row>
    <row r="4" spans="1:16" s="416" customFormat="1" ht="14.25" customHeight="1">
      <c r="A4" s="1694" t="s">
        <v>553</v>
      </c>
      <c r="B4" s="415"/>
      <c r="C4" s="415"/>
      <c r="D4" s="415"/>
      <c r="E4" s="415"/>
      <c r="F4" s="415"/>
      <c r="O4" s="1695" t="s">
        <v>554</v>
      </c>
    </row>
    <row r="5" spans="1:16" s="161" customFormat="1" ht="23.85" customHeight="1">
      <c r="A5" s="1894" t="s">
        <v>406</v>
      </c>
      <c r="B5" s="1696" t="s">
        <v>603</v>
      </c>
      <c r="C5" s="160"/>
      <c r="D5" s="423"/>
      <c r="E5" s="423"/>
      <c r="F5" s="160"/>
      <c r="G5" s="1697" t="s">
        <v>604</v>
      </c>
      <c r="H5" s="1696" t="s">
        <v>605</v>
      </c>
      <c r="I5" s="425"/>
      <c r="J5" s="425"/>
      <c r="K5" s="174"/>
      <c r="L5" s="426"/>
      <c r="M5" s="426"/>
      <c r="N5" s="1697" t="s">
        <v>606</v>
      </c>
      <c r="O5" s="1897" t="s">
        <v>432</v>
      </c>
    </row>
    <row r="6" spans="1:16" s="404" customFormat="1" ht="20.25" customHeight="1">
      <c r="A6" s="1895"/>
      <c r="B6" s="1698"/>
      <c r="C6" s="430"/>
      <c r="D6" s="430"/>
      <c r="E6" s="430"/>
      <c r="F6" s="1699"/>
      <c r="G6" s="1700"/>
      <c r="H6" s="431" t="s">
        <v>562</v>
      </c>
      <c r="I6" s="181"/>
      <c r="J6" s="181"/>
      <c r="K6" s="424" t="s">
        <v>563</v>
      </c>
      <c r="L6" s="588"/>
      <c r="N6" s="432"/>
      <c r="O6" s="1898"/>
    </row>
    <row r="7" spans="1:16" s="404" customFormat="1" ht="31.5">
      <c r="A7" s="1895"/>
      <c r="B7" s="433" t="s">
        <v>568</v>
      </c>
      <c r="C7" s="435" t="s">
        <v>569</v>
      </c>
      <c r="D7" s="435" t="s">
        <v>570</v>
      </c>
      <c r="E7" s="435" t="s">
        <v>392</v>
      </c>
      <c r="F7" s="435" t="s">
        <v>382</v>
      </c>
      <c r="G7" s="435" t="s">
        <v>607</v>
      </c>
      <c r="H7" s="1700" t="s">
        <v>573</v>
      </c>
      <c r="I7" s="435" t="s">
        <v>574</v>
      </c>
      <c r="J7" s="435" t="s">
        <v>575</v>
      </c>
      <c r="K7" s="435" t="s">
        <v>576</v>
      </c>
      <c r="L7" s="435" t="s">
        <v>392</v>
      </c>
      <c r="M7" s="435" t="s">
        <v>382</v>
      </c>
      <c r="N7" s="435" t="s">
        <v>577</v>
      </c>
      <c r="O7" s="1898"/>
    </row>
    <row r="8" spans="1:16" s="404" customFormat="1" ht="47.25">
      <c r="A8" s="1896"/>
      <c r="B8" s="402" t="s">
        <v>581</v>
      </c>
      <c r="C8" s="402" t="s">
        <v>582</v>
      </c>
      <c r="D8" s="402" t="s">
        <v>583</v>
      </c>
      <c r="E8" s="402" t="s">
        <v>584</v>
      </c>
      <c r="F8" s="402" t="s">
        <v>608</v>
      </c>
      <c r="G8" s="402" t="s">
        <v>609</v>
      </c>
      <c r="H8" s="402" t="s">
        <v>587</v>
      </c>
      <c r="I8" s="402" t="s">
        <v>588</v>
      </c>
      <c r="J8" s="402" t="s">
        <v>589</v>
      </c>
      <c r="K8" s="402" t="s">
        <v>590</v>
      </c>
      <c r="L8" s="402" t="s">
        <v>610</v>
      </c>
      <c r="M8" s="402" t="s">
        <v>393</v>
      </c>
      <c r="N8" s="402" t="s">
        <v>592</v>
      </c>
      <c r="O8" s="1899"/>
      <c r="P8" s="438"/>
    </row>
    <row r="9" spans="1:16" ht="33.75" customHeight="1">
      <c r="A9" s="1701" t="s">
        <v>664</v>
      </c>
      <c r="B9" s="1702">
        <v>7.9908643696980297</v>
      </c>
      <c r="C9" s="1160" t="s">
        <v>593</v>
      </c>
      <c r="D9" s="1702">
        <v>8.3578118914645181</v>
      </c>
      <c r="E9" s="1702">
        <v>7.3417178643229013</v>
      </c>
      <c r="F9" s="1702">
        <v>7.843763662541658</v>
      </c>
      <c r="G9" s="1702" t="s">
        <v>593</v>
      </c>
      <c r="H9" s="1702">
        <v>5.7825870092873162</v>
      </c>
      <c r="I9" s="1702" t="s">
        <v>593</v>
      </c>
      <c r="J9" s="1702" t="s">
        <v>593</v>
      </c>
      <c r="K9" s="1702">
        <v>4.8731381233613531</v>
      </c>
      <c r="L9" s="1702" t="s">
        <v>593</v>
      </c>
      <c r="M9" s="1702">
        <v>9.8963922158819599</v>
      </c>
      <c r="N9" s="1702">
        <v>19.5</v>
      </c>
      <c r="O9" s="1703" t="s">
        <v>665</v>
      </c>
    </row>
    <row r="10" spans="1:16" ht="21" customHeight="1">
      <c r="A10" s="1701" t="s">
        <v>666</v>
      </c>
      <c r="B10" s="1702">
        <v>6.6793370315951188</v>
      </c>
      <c r="C10" s="1702">
        <v>6.7120721265277412</v>
      </c>
      <c r="D10" s="1702">
        <v>7.5413044140816448</v>
      </c>
      <c r="E10" s="1702">
        <v>6.3671845198740318</v>
      </c>
      <c r="F10" s="1702">
        <v>6.7203607401324374</v>
      </c>
      <c r="G10" s="1702">
        <v>18.8748741604714</v>
      </c>
      <c r="H10" s="1702">
        <v>5.68670961423254</v>
      </c>
      <c r="I10" s="1702">
        <v>5.1580383288325828</v>
      </c>
      <c r="J10" s="1702">
        <v>5.6123443124132288</v>
      </c>
      <c r="K10" s="1702">
        <v>3.6923535006683457</v>
      </c>
      <c r="L10" s="1702">
        <v>4.6508980565170361</v>
      </c>
      <c r="M10" s="1702">
        <v>5.0069850827927711</v>
      </c>
      <c r="N10" s="1702">
        <v>18.189436232643917</v>
      </c>
      <c r="O10" s="1703" t="s">
        <v>667</v>
      </c>
    </row>
    <row r="11" spans="1:16" ht="21" customHeight="1">
      <c r="A11" s="1704" t="s">
        <v>668</v>
      </c>
      <c r="B11" s="1702">
        <v>2.5</v>
      </c>
      <c r="C11" s="1702">
        <v>8.1418810887454285</v>
      </c>
      <c r="D11" s="1702">
        <v>7.6930093870186997</v>
      </c>
      <c r="E11" s="1702">
        <v>5.5259208900604646</v>
      </c>
      <c r="F11" s="1702">
        <v>5.6967581920476658</v>
      </c>
      <c r="G11" s="1702">
        <v>7.5</v>
      </c>
      <c r="H11" s="1702">
        <v>5.585681712933293</v>
      </c>
      <c r="I11" s="1702">
        <v>4.8276347574134153</v>
      </c>
      <c r="J11" s="1702">
        <v>2.6913854791414065</v>
      </c>
      <c r="K11" s="1702">
        <v>4.7231921941926815</v>
      </c>
      <c r="L11" s="1702">
        <v>0.5</v>
      </c>
      <c r="M11" s="1702">
        <v>5.2741316241197636</v>
      </c>
      <c r="N11" s="1702">
        <v>19.5</v>
      </c>
      <c r="O11" s="1703" t="s">
        <v>669</v>
      </c>
    </row>
    <row r="12" spans="1:16" ht="21.2" customHeight="1">
      <c r="A12" s="1704" t="s">
        <v>670</v>
      </c>
      <c r="B12" s="1702">
        <v>7.5</v>
      </c>
      <c r="C12" s="1702">
        <v>7.5</v>
      </c>
      <c r="D12" s="1702">
        <v>6.803971297785476</v>
      </c>
      <c r="E12" s="1702">
        <v>7.0288482958342611</v>
      </c>
      <c r="F12" s="1702">
        <v>7.0711317307347832</v>
      </c>
      <c r="G12" s="1702" t="s">
        <v>593</v>
      </c>
      <c r="H12" s="1702" t="s">
        <v>593</v>
      </c>
      <c r="I12" s="1702" t="s">
        <v>593</v>
      </c>
      <c r="J12" s="1702" t="s">
        <v>593</v>
      </c>
      <c r="K12" s="1702" t="s">
        <v>593</v>
      </c>
      <c r="L12" s="1702" t="s">
        <v>593</v>
      </c>
      <c r="M12" s="1702" t="s">
        <v>593</v>
      </c>
      <c r="N12" s="1702" t="s">
        <v>593</v>
      </c>
      <c r="O12" s="1703" t="s">
        <v>671</v>
      </c>
    </row>
    <row r="13" spans="1:16" ht="21.2" customHeight="1">
      <c r="A13" s="1704" t="s">
        <v>672</v>
      </c>
      <c r="B13" s="1702">
        <v>5.5510627949088276</v>
      </c>
      <c r="C13" s="1702" t="s">
        <v>593</v>
      </c>
      <c r="D13" s="1702">
        <v>7.6358647481239856</v>
      </c>
      <c r="E13" s="1702">
        <v>7.6961450926012089</v>
      </c>
      <c r="F13" s="1702">
        <v>5.7932451803156368</v>
      </c>
      <c r="G13" s="1702">
        <v>7.5895299817210313</v>
      </c>
      <c r="H13" s="1702">
        <v>5.7665784385944416</v>
      </c>
      <c r="I13" s="1702">
        <v>4.5</v>
      </c>
      <c r="J13" s="1702">
        <v>6.1403557006156504</v>
      </c>
      <c r="K13" s="1702">
        <v>4.789412315048776</v>
      </c>
      <c r="L13" s="1702" t="s">
        <v>593</v>
      </c>
      <c r="M13" s="1702">
        <v>5.490830870710842</v>
      </c>
      <c r="N13" s="1702">
        <v>11.5</v>
      </c>
      <c r="O13" s="1703" t="s">
        <v>673</v>
      </c>
    </row>
    <row r="14" spans="1:16" ht="21.2" customHeight="1">
      <c r="A14" s="1704" t="s">
        <v>674</v>
      </c>
      <c r="B14" s="1702">
        <v>8.784512884645908</v>
      </c>
      <c r="C14" s="1702">
        <v>8.4088946507068592</v>
      </c>
      <c r="D14" s="1702">
        <v>7.8229805837394855</v>
      </c>
      <c r="E14" s="1702">
        <v>7.6687159614963205</v>
      </c>
      <c r="F14" s="1702">
        <v>7.9524978011070804</v>
      </c>
      <c r="G14" s="1702">
        <v>5.76268115942029</v>
      </c>
      <c r="H14" s="1702">
        <v>4.555522170304636</v>
      </c>
      <c r="I14" s="1702">
        <v>7.32194248845666</v>
      </c>
      <c r="J14" s="1702">
        <v>4.5</v>
      </c>
      <c r="K14" s="1702">
        <v>5.9098489062761255</v>
      </c>
      <c r="L14" s="1702">
        <v>17.163039769252066</v>
      </c>
      <c r="M14" s="1702">
        <v>6.1376458129213738</v>
      </c>
      <c r="N14" s="1702">
        <v>20.938593008229663</v>
      </c>
      <c r="O14" s="1703" t="s">
        <v>675</v>
      </c>
    </row>
    <row r="15" spans="1:16" s="164" customFormat="1" ht="30.2" customHeight="1">
      <c r="A15" s="1705" t="s">
        <v>649</v>
      </c>
      <c r="B15" s="1706">
        <v>6.3542382923520142</v>
      </c>
      <c r="C15" s="1706">
        <v>7.5493777416445074</v>
      </c>
      <c r="D15" s="1706">
        <v>7.6932221537891836</v>
      </c>
      <c r="E15" s="1706">
        <v>5.8060277943705891</v>
      </c>
      <c r="F15" s="1706">
        <v>6.3443793175910326</v>
      </c>
      <c r="G15" s="1706">
        <v>6.815792193074353</v>
      </c>
      <c r="H15" s="1706">
        <v>5.5272864559014927</v>
      </c>
      <c r="I15" s="1706">
        <v>5.7643189509822825</v>
      </c>
      <c r="J15" s="1706">
        <v>4.6380474802679501</v>
      </c>
      <c r="K15" s="1706">
        <v>5.2729519117562287</v>
      </c>
      <c r="L15" s="1706">
        <v>5.0291504774318163</v>
      </c>
      <c r="M15" s="1706">
        <v>5.3611761618152913</v>
      </c>
      <c r="N15" s="1706">
        <v>19.410609413768118</v>
      </c>
      <c r="O15" s="1707" t="s">
        <v>650</v>
      </c>
    </row>
    <row r="16" spans="1:16" s="306" customFormat="1" ht="20.25" customHeight="1">
      <c r="A16" s="253" t="s">
        <v>676</v>
      </c>
      <c r="B16" s="253"/>
      <c r="C16" s="253"/>
      <c r="D16" s="253"/>
      <c r="E16" s="253"/>
      <c r="F16" s="253"/>
      <c r="G16" s="253"/>
      <c r="H16" s="253"/>
      <c r="I16" s="253"/>
      <c r="J16" s="253"/>
      <c r="K16" s="253"/>
      <c r="L16" s="253"/>
      <c r="M16" s="253"/>
      <c r="N16" s="253"/>
      <c r="O16" s="1603" t="s">
        <v>677</v>
      </c>
    </row>
    <row r="17" spans="1:15" s="306" customFormat="1" ht="14.25" customHeight="1">
      <c r="A17" s="306" t="s">
        <v>653</v>
      </c>
      <c r="O17" s="305" t="s">
        <v>678</v>
      </c>
    </row>
    <row r="18" spans="1:15" s="306" customFormat="1" ht="14.25" customHeight="1">
      <c r="A18" s="306" t="s">
        <v>655</v>
      </c>
      <c r="F18" s="321"/>
      <c r="G18" s="321"/>
      <c r="O18" s="305" t="s">
        <v>656</v>
      </c>
    </row>
    <row r="19" spans="1:15" s="306" customFormat="1" ht="14.25">
      <c r="A19" s="306" t="s">
        <v>657</v>
      </c>
      <c r="O19" s="305" t="s">
        <v>658</v>
      </c>
    </row>
    <row r="20" spans="1:15" s="306" customFormat="1" ht="14.25" customHeight="1">
      <c r="A20" s="306" t="s">
        <v>659</v>
      </c>
      <c r="D20" s="441"/>
      <c r="E20" s="441"/>
      <c r="F20" s="442"/>
      <c r="G20" s="321"/>
      <c r="O20" s="305" t="s">
        <v>660</v>
      </c>
    </row>
    <row r="21" spans="1:15" s="416" customFormat="1" ht="13.7" customHeight="1">
      <c r="A21" s="306" t="s">
        <v>679</v>
      </c>
      <c r="B21" s="306"/>
      <c r="C21" s="306"/>
      <c r="D21" s="306"/>
      <c r="E21" s="413"/>
      <c r="F21" s="414"/>
      <c r="G21" s="413"/>
      <c r="H21" s="413"/>
      <c r="I21" s="413"/>
      <c r="J21" s="306"/>
      <c r="K21" s="306"/>
      <c r="L21" s="306"/>
      <c r="M21" s="306"/>
      <c r="N21" s="305"/>
      <c r="O21" s="1708" t="s">
        <v>680</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09" t="s">
        <v>681</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tabSelected="1" zoomScale="79" zoomScaleNormal="79" workbookViewId="0">
      <pane ySplit="11" topLeftCell="A49" activePane="bottomLeft" state="frozen"/>
      <selection activeCell="N29" sqref="N29"/>
      <selection pane="bottomLeft" activeCell="N29" sqref="N29"/>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08" t="s">
        <v>1757</v>
      </c>
      <c r="B1" s="444"/>
      <c r="C1" s="444"/>
      <c r="D1" s="444"/>
      <c r="E1" s="444"/>
      <c r="F1" s="444"/>
      <c r="G1" s="1900" t="s">
        <v>682</v>
      </c>
    </row>
    <row r="2" spans="1:7" ht="18">
      <c r="A2" s="1687" t="s">
        <v>25</v>
      </c>
      <c r="B2" s="444"/>
      <c r="C2" s="444"/>
      <c r="D2" s="444"/>
      <c r="E2" s="444"/>
      <c r="F2" s="444"/>
      <c r="G2" s="1900"/>
    </row>
    <row r="3" spans="1:7" ht="18">
      <c r="A3" s="446" t="s">
        <v>24</v>
      </c>
      <c r="B3" s="444"/>
      <c r="C3" s="444"/>
      <c r="D3" s="444"/>
      <c r="E3" s="444"/>
      <c r="F3" s="444"/>
      <c r="G3" s="1900"/>
    </row>
    <row r="4" spans="1:7" s="448" customFormat="1" ht="12.75" customHeight="1">
      <c r="A4" s="446"/>
      <c r="B4" s="447"/>
      <c r="C4" s="447"/>
      <c r="D4" s="447"/>
      <c r="E4" s="447"/>
      <c r="F4" s="447"/>
      <c r="G4" s="1900"/>
    </row>
    <row r="5" spans="1:7" ht="15.75">
      <c r="A5" s="449"/>
      <c r="B5" s="450" t="s">
        <v>683</v>
      </c>
      <c r="C5" s="450" t="s">
        <v>335</v>
      </c>
      <c r="D5" s="450" t="s">
        <v>684</v>
      </c>
      <c r="E5" s="450" t="s">
        <v>685</v>
      </c>
      <c r="F5" s="451" t="s">
        <v>286</v>
      </c>
      <c r="G5" s="1900"/>
    </row>
    <row r="6" spans="1:7" ht="15.75">
      <c r="A6" s="452"/>
      <c r="B6" s="453" t="s">
        <v>686</v>
      </c>
      <c r="C6" s="453" t="s">
        <v>687</v>
      </c>
      <c r="D6" s="453" t="s">
        <v>688</v>
      </c>
      <c r="E6" s="453" t="s">
        <v>689</v>
      </c>
      <c r="F6" s="454" t="s">
        <v>690</v>
      </c>
      <c r="G6" s="1900"/>
    </row>
    <row r="7" spans="1:7" ht="15.75">
      <c r="A7" s="452" t="s">
        <v>691</v>
      </c>
      <c r="B7" s="453" t="s">
        <v>692</v>
      </c>
      <c r="C7" s="453" t="s">
        <v>692</v>
      </c>
      <c r="D7" s="453" t="s">
        <v>693</v>
      </c>
      <c r="E7" s="453" t="s">
        <v>694</v>
      </c>
      <c r="F7" s="454" t="s">
        <v>695</v>
      </c>
      <c r="G7" s="1900"/>
    </row>
    <row r="8" spans="1:7" ht="15.75">
      <c r="A8" s="455" t="s">
        <v>696</v>
      </c>
      <c r="B8" s="456" t="s">
        <v>393</v>
      </c>
      <c r="C8" s="456" t="s">
        <v>697</v>
      </c>
      <c r="D8" s="456" t="s">
        <v>698</v>
      </c>
      <c r="E8" s="456" t="s">
        <v>699</v>
      </c>
      <c r="F8" s="457" t="s">
        <v>700</v>
      </c>
      <c r="G8" s="1900"/>
    </row>
    <row r="9" spans="1:7" ht="15.75">
      <c r="A9" s="455" t="s">
        <v>701</v>
      </c>
      <c r="B9" s="456" t="s">
        <v>702</v>
      </c>
      <c r="C9" s="456" t="s">
        <v>703</v>
      </c>
      <c r="D9" s="456" t="s">
        <v>704</v>
      </c>
      <c r="E9" s="456" t="s">
        <v>705</v>
      </c>
      <c r="F9" s="457" t="s">
        <v>706</v>
      </c>
      <c r="G9" s="1900"/>
    </row>
    <row r="10" spans="1:7" ht="15.75">
      <c r="A10" s="455"/>
      <c r="B10" s="456" t="s">
        <v>707</v>
      </c>
      <c r="C10" s="456" t="s">
        <v>708</v>
      </c>
      <c r="D10" s="456" t="s">
        <v>709</v>
      </c>
      <c r="E10" s="456" t="s">
        <v>710</v>
      </c>
      <c r="F10" s="457" t="s">
        <v>711</v>
      </c>
      <c r="G10" s="1900"/>
    </row>
    <row r="11" spans="1:7" s="461" customFormat="1" ht="15.75">
      <c r="A11" s="458"/>
      <c r="B11" s="459" t="s">
        <v>712</v>
      </c>
      <c r="C11" s="459" t="s">
        <v>712</v>
      </c>
      <c r="D11" s="459" t="s">
        <v>713</v>
      </c>
      <c r="E11" s="459" t="s">
        <v>714</v>
      </c>
      <c r="F11" s="460" t="s">
        <v>714</v>
      </c>
      <c r="G11" s="1900"/>
    </row>
    <row r="12" spans="1:7" ht="20.25" customHeight="1">
      <c r="A12" s="1688" t="s">
        <v>715</v>
      </c>
      <c r="B12" s="1689">
        <v>35.5</v>
      </c>
      <c r="C12" s="1689">
        <v>35</v>
      </c>
      <c r="D12" s="1690">
        <v>97.150999999999996</v>
      </c>
      <c r="E12" s="1691">
        <v>5.8</v>
      </c>
      <c r="F12" s="1691">
        <v>4.4268000000000001</v>
      </c>
      <c r="G12" s="1900"/>
    </row>
    <row r="13" spans="1:7" ht="12.75" customHeight="1">
      <c r="A13" s="1688" t="s">
        <v>716</v>
      </c>
      <c r="B13" s="1689">
        <v>76.069528000000005</v>
      </c>
      <c r="C13" s="1689">
        <v>70</v>
      </c>
      <c r="D13" s="1690">
        <v>98.534999999999997</v>
      </c>
      <c r="E13" s="1691">
        <v>5.88</v>
      </c>
      <c r="F13" s="1691">
        <v>4.5542999999999996</v>
      </c>
      <c r="G13" s="1900"/>
    </row>
    <row r="14" spans="1:7" ht="12.75" customHeight="1">
      <c r="A14" s="1688" t="s">
        <v>717</v>
      </c>
      <c r="B14" s="1689">
        <v>98.866769000000005</v>
      </c>
      <c r="C14" s="1689">
        <v>70</v>
      </c>
      <c r="D14" s="1690">
        <v>98.567999999999998</v>
      </c>
      <c r="E14" s="1691">
        <v>5.75</v>
      </c>
      <c r="F14" s="1691">
        <v>4.4911000000000003</v>
      </c>
      <c r="G14" s="1900"/>
    </row>
    <row r="15" spans="1:7" ht="12.75" customHeight="1">
      <c r="A15" s="1688" t="s">
        <v>718</v>
      </c>
      <c r="B15" s="1689">
        <v>195.625899</v>
      </c>
      <c r="C15" s="1689">
        <v>100</v>
      </c>
      <c r="D15" s="1690">
        <v>94.83</v>
      </c>
      <c r="E15" s="1691">
        <v>5.39</v>
      </c>
      <c r="F15" s="1691">
        <v>4.2884000000000002</v>
      </c>
      <c r="G15" s="1900"/>
    </row>
    <row r="16" spans="1:7" ht="12.75" customHeight="1">
      <c r="A16" s="1688" t="s">
        <v>719</v>
      </c>
      <c r="B16" s="1689">
        <v>67.423636000000002</v>
      </c>
      <c r="C16" s="1689">
        <v>35</v>
      </c>
      <c r="D16" s="1690">
        <v>97.236000000000004</v>
      </c>
      <c r="E16" s="1691">
        <v>5.62</v>
      </c>
      <c r="F16" s="1691">
        <v>4.4305000000000003</v>
      </c>
      <c r="G16" s="1900"/>
    </row>
    <row r="17" spans="1:7" ht="12.75" customHeight="1">
      <c r="A17" s="1688" t="s">
        <v>720</v>
      </c>
      <c r="B17" s="1689">
        <v>76.443374000000006</v>
      </c>
      <c r="C17" s="1689">
        <v>70</v>
      </c>
      <c r="D17" s="1690">
        <v>98.555000000000007</v>
      </c>
      <c r="E17" s="1691">
        <v>5.8</v>
      </c>
      <c r="F17" s="1691">
        <v>4.5209000000000001</v>
      </c>
      <c r="G17" s="1900"/>
    </row>
    <row r="18" spans="1:7" ht="20.25" customHeight="1">
      <c r="A18" s="1688" t="s">
        <v>721</v>
      </c>
      <c r="B18" s="1689">
        <v>95.588975000000005</v>
      </c>
      <c r="C18" s="1689">
        <v>70</v>
      </c>
      <c r="D18" s="1690">
        <v>98.563000000000002</v>
      </c>
      <c r="E18" s="1691">
        <v>5.77</v>
      </c>
      <c r="F18" s="1691">
        <v>4.4661999999999997</v>
      </c>
      <c r="G18" s="1900"/>
    </row>
    <row r="19" spans="1:7" ht="12.75" customHeight="1">
      <c r="A19" s="1688" t="s">
        <v>722</v>
      </c>
      <c r="B19" s="1689">
        <v>70</v>
      </c>
      <c r="C19" s="1689">
        <v>70</v>
      </c>
      <c r="D19" s="1690">
        <v>98.546000000000006</v>
      </c>
      <c r="E19" s="1691">
        <v>5.83</v>
      </c>
      <c r="F19" s="1691">
        <v>4.3487</v>
      </c>
      <c r="G19" s="1900"/>
    </row>
    <row r="20" spans="1:7" ht="12.75" customHeight="1">
      <c r="A20" s="1688" t="s">
        <v>723</v>
      </c>
      <c r="B20" s="1689">
        <v>137.322078</v>
      </c>
      <c r="C20" s="1689">
        <v>100</v>
      </c>
      <c r="D20" s="1690">
        <v>94.804000000000002</v>
      </c>
      <c r="E20" s="1691">
        <v>5.42</v>
      </c>
      <c r="F20" s="1691">
        <v>4.1486999999999998</v>
      </c>
      <c r="G20" s="1900"/>
    </row>
    <row r="21" spans="1:7" ht="12.75" customHeight="1">
      <c r="A21" s="1688" t="s">
        <v>724</v>
      </c>
      <c r="B21" s="1689">
        <v>35.753999999999998</v>
      </c>
      <c r="C21" s="1689">
        <v>35</v>
      </c>
      <c r="D21" s="1690">
        <v>97.233000000000004</v>
      </c>
      <c r="E21" s="1691">
        <v>5.63</v>
      </c>
      <c r="F21" s="1691">
        <v>4.2774999999999999</v>
      </c>
      <c r="G21" s="1900"/>
    </row>
    <row r="22" spans="1:7" ht="12.75" customHeight="1">
      <c r="A22" s="1688" t="s">
        <v>725</v>
      </c>
      <c r="B22" s="1689">
        <v>90.189785999999998</v>
      </c>
      <c r="C22" s="1689">
        <v>70</v>
      </c>
      <c r="D22" s="1690">
        <v>98.585999999999999</v>
      </c>
      <c r="E22" s="1691">
        <v>5.68</v>
      </c>
      <c r="F22" s="1691">
        <v>4.3273999999999999</v>
      </c>
      <c r="G22" s="1900"/>
    </row>
    <row r="23" spans="1:7" ht="20.25" customHeight="1">
      <c r="A23" s="1688" t="s">
        <v>726</v>
      </c>
      <c r="B23" s="1689">
        <v>70</v>
      </c>
      <c r="C23" s="1689">
        <v>70</v>
      </c>
      <c r="D23" s="1690">
        <v>98.575999999999993</v>
      </c>
      <c r="E23" s="1691">
        <v>5.72</v>
      </c>
      <c r="F23" s="1691">
        <v>4.3288000000000002</v>
      </c>
      <c r="G23" s="1900"/>
    </row>
    <row r="24" spans="1:7" ht="12.75" customHeight="1">
      <c r="A24" s="1688" t="s">
        <v>727</v>
      </c>
      <c r="B24" s="1689">
        <v>139.66058799999999</v>
      </c>
      <c r="C24" s="1689">
        <v>70</v>
      </c>
      <c r="D24" s="1690">
        <v>98.614999999999995</v>
      </c>
      <c r="E24" s="1691">
        <v>5.56</v>
      </c>
      <c r="F24" s="1691">
        <v>4.2869999999999999</v>
      </c>
      <c r="G24" s="1900"/>
    </row>
    <row r="25" spans="1:7" ht="12.75" customHeight="1">
      <c r="A25" s="1688" t="s">
        <v>728</v>
      </c>
      <c r="B25" s="1689">
        <v>201.384029</v>
      </c>
      <c r="C25" s="1689">
        <v>100</v>
      </c>
      <c r="D25" s="1690">
        <v>94.863</v>
      </c>
      <c r="E25" s="1691">
        <v>5.36</v>
      </c>
      <c r="F25" s="1691">
        <v>4.2447999999999997</v>
      </c>
      <c r="G25" s="1900"/>
    </row>
    <row r="26" spans="1:7" ht="12.75" customHeight="1">
      <c r="A26" s="1688" t="s">
        <v>729</v>
      </c>
      <c r="B26" s="1689">
        <v>182.72725399999999</v>
      </c>
      <c r="C26" s="1689">
        <v>70</v>
      </c>
      <c r="D26" s="1690">
        <v>98.63</v>
      </c>
      <c r="E26" s="1691">
        <v>5.49</v>
      </c>
      <c r="F26" s="1691">
        <v>4.2900999999999998</v>
      </c>
      <c r="G26" s="1900"/>
    </row>
    <row r="27" spans="1:7" ht="12.75" customHeight="1">
      <c r="A27" s="1688" t="s">
        <v>730</v>
      </c>
      <c r="B27" s="1689">
        <v>111.59657799999999</v>
      </c>
      <c r="C27" s="1689">
        <v>35</v>
      </c>
      <c r="D27" s="1690">
        <v>97.340999999999994</v>
      </c>
      <c r="E27" s="1691">
        <v>5.4</v>
      </c>
      <c r="F27" s="1691">
        <v>4.2521000000000004</v>
      </c>
      <c r="G27" s="1900"/>
    </row>
    <row r="28" spans="1:7" ht="12.75" customHeight="1">
      <c r="A28" s="1688" t="s">
        <v>731</v>
      </c>
      <c r="B28" s="1689">
        <v>102.046925</v>
      </c>
      <c r="C28" s="1689">
        <v>70</v>
      </c>
      <c r="D28" s="1690">
        <v>98.644000000000005</v>
      </c>
      <c r="E28" s="1691">
        <v>5.44</v>
      </c>
      <c r="F28" s="1691">
        <v>4.2590000000000003</v>
      </c>
      <c r="G28" s="1900"/>
    </row>
    <row r="29" spans="1:7" ht="20.25" customHeight="1">
      <c r="A29" s="1688" t="s">
        <v>732</v>
      </c>
      <c r="B29" s="1689">
        <v>166.093141</v>
      </c>
      <c r="C29" s="1689">
        <v>70</v>
      </c>
      <c r="D29" s="1690">
        <v>98.656999999999996</v>
      </c>
      <c r="E29" s="1691">
        <v>5.38</v>
      </c>
      <c r="F29" s="1691">
        <v>4.3022999999999998</v>
      </c>
      <c r="G29" s="1900"/>
    </row>
    <row r="30" spans="1:7" ht="12.75" customHeight="1">
      <c r="A30" s="1688" t="s">
        <v>733</v>
      </c>
      <c r="B30" s="1689">
        <v>134.34117800000001</v>
      </c>
      <c r="C30" s="1689">
        <v>70</v>
      </c>
      <c r="D30" s="1690">
        <v>98.677000000000007</v>
      </c>
      <c r="E30" s="1691">
        <v>5.31</v>
      </c>
      <c r="F30" s="1691">
        <v>4.3230000000000004</v>
      </c>
      <c r="G30" s="1900"/>
    </row>
    <row r="31" spans="1:7" ht="12.75" customHeight="1">
      <c r="A31" s="1688" t="s">
        <v>734</v>
      </c>
      <c r="B31" s="1689">
        <v>112.96824100000001</v>
      </c>
      <c r="C31" s="1689">
        <v>100</v>
      </c>
      <c r="D31" s="1690">
        <v>94.953000000000003</v>
      </c>
      <c r="E31" s="1691">
        <v>5.26</v>
      </c>
      <c r="F31" s="1691">
        <v>4.2748999999999997</v>
      </c>
      <c r="G31" s="1900"/>
    </row>
    <row r="32" spans="1:7" ht="12.75" customHeight="1">
      <c r="A32" s="1688" t="s">
        <v>735</v>
      </c>
      <c r="B32" s="1689">
        <v>51.373435000000001</v>
      </c>
      <c r="C32" s="1689">
        <v>35</v>
      </c>
      <c r="D32" s="1690">
        <v>97.347999999999999</v>
      </c>
      <c r="E32" s="1691">
        <v>5.39</v>
      </c>
      <c r="F32" s="1691">
        <v>4.2957999999999998</v>
      </c>
      <c r="G32" s="1900"/>
    </row>
    <row r="33" spans="1:7" ht="12.75" customHeight="1">
      <c r="A33" s="1688" t="s">
        <v>736</v>
      </c>
      <c r="B33" s="1689">
        <v>130.21165199999999</v>
      </c>
      <c r="C33" s="1689">
        <v>70</v>
      </c>
      <c r="D33" s="1690">
        <v>98.691999999999993</v>
      </c>
      <c r="E33" s="1691">
        <v>5.25</v>
      </c>
      <c r="F33" s="1691">
        <v>4.3215000000000003</v>
      </c>
      <c r="G33" s="1900"/>
    </row>
    <row r="34" spans="1:7" ht="20.25" customHeight="1">
      <c r="A34" s="1688" t="s">
        <v>737</v>
      </c>
      <c r="B34" s="1689">
        <v>150.35597300000001</v>
      </c>
      <c r="C34" s="1689">
        <v>70</v>
      </c>
      <c r="D34" s="1690">
        <v>98.703000000000003</v>
      </c>
      <c r="E34" s="1691">
        <v>5.2</v>
      </c>
      <c r="F34" s="1691">
        <v>4.3167999999999997</v>
      </c>
      <c r="G34" s="1900"/>
    </row>
    <row r="35" spans="1:7" ht="12.75" customHeight="1">
      <c r="A35" s="1688" t="s">
        <v>738</v>
      </c>
      <c r="B35" s="1689">
        <v>70</v>
      </c>
      <c r="C35" s="1689">
        <v>70</v>
      </c>
      <c r="D35" s="1690">
        <v>98.715999999999994</v>
      </c>
      <c r="E35" s="1691">
        <v>5.15</v>
      </c>
      <c r="F35" s="1691">
        <v>4.2950999999999997</v>
      </c>
      <c r="G35" s="1900"/>
    </row>
    <row r="36" spans="1:7" ht="12.75" customHeight="1">
      <c r="A36" s="1688" t="s">
        <v>739</v>
      </c>
      <c r="B36" s="1689">
        <v>197.036563</v>
      </c>
      <c r="C36" s="1689">
        <v>100</v>
      </c>
      <c r="D36" s="1690">
        <v>95.3</v>
      </c>
      <c r="E36" s="1691">
        <v>4.88</v>
      </c>
      <c r="F36" s="1691">
        <v>4.0309999999999997</v>
      </c>
      <c r="G36" s="1900"/>
    </row>
    <row r="37" spans="1:7" ht="12.75" customHeight="1">
      <c r="A37" s="1688" t="s">
        <v>740</v>
      </c>
      <c r="B37" s="1689">
        <v>81.751069999999999</v>
      </c>
      <c r="C37" s="1689">
        <v>35</v>
      </c>
      <c r="D37" s="1690">
        <v>97.402000000000001</v>
      </c>
      <c r="E37" s="1691">
        <v>5.28</v>
      </c>
      <c r="F37" s="1691">
        <v>4.2172999999999998</v>
      </c>
      <c r="G37" s="1900"/>
    </row>
    <row r="38" spans="1:7" ht="12.75" customHeight="1">
      <c r="A38" s="1688" t="s">
        <v>741</v>
      </c>
      <c r="B38" s="1689">
        <v>70</v>
      </c>
      <c r="C38" s="1689">
        <v>70</v>
      </c>
      <c r="D38" s="1690">
        <v>98.683999999999997</v>
      </c>
      <c r="E38" s="1691">
        <v>5.27</v>
      </c>
      <c r="F38" s="1691">
        <v>4.2977999999999996</v>
      </c>
      <c r="G38" s="1900"/>
    </row>
    <row r="39" spans="1:7" ht="20.25" customHeight="1">
      <c r="A39" s="1688" t="s">
        <v>742</v>
      </c>
      <c r="B39" s="1689">
        <v>87.092077000000003</v>
      </c>
      <c r="C39" s="1689">
        <v>70</v>
      </c>
      <c r="D39" s="1690">
        <v>98.685000000000002</v>
      </c>
      <c r="E39" s="1691">
        <v>5.27</v>
      </c>
      <c r="F39" s="1691">
        <v>4.2236000000000002</v>
      </c>
      <c r="G39" s="1900"/>
    </row>
    <row r="40" spans="1:7" ht="12.75" customHeight="1">
      <c r="A40" s="1688" t="s">
        <v>743</v>
      </c>
      <c r="B40" s="1689">
        <v>70</v>
      </c>
      <c r="C40" s="1689">
        <v>70</v>
      </c>
      <c r="D40" s="1690">
        <v>98.665999999999997</v>
      </c>
      <c r="E40" s="1691">
        <v>5.35</v>
      </c>
      <c r="F40" s="1691">
        <v>4.2561</v>
      </c>
      <c r="G40" s="1900"/>
    </row>
    <row r="41" spans="1:7" ht="12.75" customHeight="1">
      <c r="A41" s="1688" t="s">
        <v>744</v>
      </c>
      <c r="B41" s="1689">
        <v>122.569664</v>
      </c>
      <c r="C41" s="1689">
        <v>100</v>
      </c>
      <c r="D41" s="1690">
        <v>95.162000000000006</v>
      </c>
      <c r="E41" s="1691">
        <v>5.03</v>
      </c>
      <c r="F41" s="1691">
        <v>3.8887999999999998</v>
      </c>
      <c r="G41" s="1900"/>
    </row>
    <row r="42" spans="1:7" ht="12.75" customHeight="1">
      <c r="A42" s="1688" t="s">
        <v>745</v>
      </c>
      <c r="B42" s="1689">
        <v>116.341657</v>
      </c>
      <c r="C42" s="1689">
        <v>70</v>
      </c>
      <c r="D42" s="1690">
        <v>98.685000000000002</v>
      </c>
      <c r="E42" s="1691">
        <v>5.27</v>
      </c>
      <c r="F42" s="1691">
        <v>4.2724000000000002</v>
      </c>
      <c r="G42" s="1900"/>
    </row>
    <row r="43" spans="1:7" ht="12.75" customHeight="1">
      <c r="A43" s="1688" t="s">
        <v>746</v>
      </c>
      <c r="B43" s="1689">
        <v>75.5</v>
      </c>
      <c r="C43" s="1689">
        <v>70</v>
      </c>
      <c r="D43" s="1690">
        <v>98.677000000000007</v>
      </c>
      <c r="E43" s="1691">
        <v>5.3</v>
      </c>
      <c r="F43" s="1691">
        <v>4.2804000000000002</v>
      </c>
      <c r="G43" s="1900"/>
    </row>
    <row r="44" spans="1:7" ht="20.25" customHeight="1">
      <c r="A44" s="1688" t="s">
        <v>747</v>
      </c>
      <c r="B44" s="1689">
        <v>35</v>
      </c>
      <c r="C44" s="1689">
        <v>35</v>
      </c>
      <c r="D44" s="1690">
        <v>97.344999999999999</v>
      </c>
      <c r="E44" s="1691">
        <v>5.39</v>
      </c>
      <c r="F44" s="1691">
        <v>4.1121999999999996</v>
      </c>
      <c r="G44" s="1900"/>
    </row>
    <row r="45" spans="1:7" ht="12.75" customHeight="1">
      <c r="A45" s="1688" t="s">
        <v>748</v>
      </c>
      <c r="B45" s="1689">
        <v>80.491861</v>
      </c>
      <c r="C45" s="1689">
        <v>70</v>
      </c>
      <c r="D45" s="1690">
        <v>98.68</v>
      </c>
      <c r="E45" s="1691">
        <v>5.29</v>
      </c>
      <c r="F45" s="1691">
        <v>4.2605000000000004</v>
      </c>
      <c r="G45" s="1900"/>
    </row>
    <row r="46" spans="1:7" ht="12.75" customHeight="1">
      <c r="A46" s="1688" t="s">
        <v>749</v>
      </c>
      <c r="B46" s="1689">
        <v>151.50025500000001</v>
      </c>
      <c r="C46" s="1689">
        <v>70</v>
      </c>
      <c r="D46" s="1690">
        <v>98.686000000000007</v>
      </c>
      <c r="E46" s="1691">
        <v>5.27</v>
      </c>
      <c r="F46" s="1691">
        <v>4.3220000000000001</v>
      </c>
      <c r="G46" s="1900"/>
    </row>
    <row r="47" spans="1:7" ht="12.75" customHeight="1">
      <c r="A47" s="1688" t="s">
        <v>750</v>
      </c>
      <c r="B47" s="1689">
        <v>138.85</v>
      </c>
      <c r="C47" s="1689">
        <v>100</v>
      </c>
      <c r="D47" s="1690">
        <v>95.081000000000003</v>
      </c>
      <c r="E47" s="1691">
        <v>5.12</v>
      </c>
      <c r="F47" s="1691">
        <v>4.0609000000000002</v>
      </c>
      <c r="G47" s="1900"/>
    </row>
    <row r="48" spans="1:7" ht="12.75" customHeight="1">
      <c r="A48" s="1688" t="s">
        <v>751</v>
      </c>
      <c r="B48" s="1689">
        <v>40</v>
      </c>
      <c r="C48" s="1689">
        <v>35</v>
      </c>
      <c r="D48" s="1690">
        <v>97.344999999999999</v>
      </c>
      <c r="E48" s="1691">
        <v>5.39</v>
      </c>
      <c r="F48" s="1691">
        <v>4.2698</v>
      </c>
      <c r="G48" s="1900"/>
    </row>
    <row r="49" spans="1:7" ht="12.75" customHeight="1">
      <c r="A49" s="1688" t="s">
        <v>752</v>
      </c>
      <c r="B49" s="1689">
        <v>127.108869</v>
      </c>
      <c r="C49" s="1689">
        <v>70</v>
      </c>
      <c r="D49" s="1690">
        <v>98.686000000000007</v>
      </c>
      <c r="E49" s="1691">
        <v>5.23</v>
      </c>
      <c r="F49" s="1691">
        <v>4.3299000000000003</v>
      </c>
      <c r="G49" s="1900"/>
    </row>
    <row r="50" spans="1:7" ht="20.25" customHeight="1">
      <c r="A50" s="1688" t="s">
        <v>753</v>
      </c>
      <c r="B50" s="1689">
        <v>139.228464</v>
      </c>
      <c r="C50" s="1689">
        <v>70</v>
      </c>
      <c r="D50" s="1690">
        <v>98.703000000000003</v>
      </c>
      <c r="E50" s="1691">
        <v>5.2</v>
      </c>
      <c r="F50" s="1691">
        <v>4.3238000000000003</v>
      </c>
      <c r="G50" s="1900"/>
    </row>
    <row r="51" spans="1:7" ht="12.75" customHeight="1">
      <c r="A51" s="1688" t="s">
        <v>754</v>
      </c>
      <c r="B51" s="1689">
        <v>131.40252899999999</v>
      </c>
      <c r="C51" s="1689">
        <v>70</v>
      </c>
      <c r="D51" s="1690">
        <v>98.710999999999999</v>
      </c>
      <c r="E51" s="1691">
        <v>5.17</v>
      </c>
      <c r="F51" s="1691">
        <v>4.3099999999999996</v>
      </c>
      <c r="G51" s="1900"/>
    </row>
    <row r="52" spans="1:7" ht="12.75" customHeight="1">
      <c r="A52" s="1688" t="s">
        <v>755</v>
      </c>
      <c r="B52" s="1689">
        <v>100</v>
      </c>
      <c r="C52" s="1689">
        <v>100</v>
      </c>
      <c r="D52" s="1690">
        <v>94.936000000000007</v>
      </c>
      <c r="E52" s="1691">
        <v>5.28</v>
      </c>
      <c r="F52" s="1691">
        <v>4.0407000000000002</v>
      </c>
      <c r="G52" s="1900"/>
    </row>
    <row r="53" spans="1:7" ht="12.75" customHeight="1">
      <c r="A53" s="1688" t="s">
        <v>756</v>
      </c>
      <c r="B53" s="1689">
        <v>60.875241000000003</v>
      </c>
      <c r="C53" s="1689">
        <v>35</v>
      </c>
      <c r="D53" s="1690">
        <v>97.363</v>
      </c>
      <c r="E53" s="1691">
        <v>5.36</v>
      </c>
      <c r="F53" s="1691">
        <v>4.2385999999999999</v>
      </c>
      <c r="G53" s="1900"/>
    </row>
    <row r="54" spans="1:7" ht="12.75" customHeight="1">
      <c r="A54" s="1688" t="s">
        <v>757</v>
      </c>
      <c r="B54" s="1689">
        <v>80</v>
      </c>
      <c r="C54" s="1689">
        <v>70</v>
      </c>
      <c r="D54" s="1690">
        <v>98.710999999999999</v>
      </c>
      <c r="E54" s="1691">
        <v>5.17</v>
      </c>
      <c r="F54" s="1691">
        <v>4.3209</v>
      </c>
      <c r="G54" s="1900"/>
    </row>
    <row r="55" spans="1:7" ht="20.25" customHeight="1">
      <c r="A55" s="1688" t="s">
        <v>758</v>
      </c>
      <c r="B55" s="1689">
        <v>89.396146000000002</v>
      </c>
      <c r="C55" s="1689">
        <v>70</v>
      </c>
      <c r="D55" s="1690">
        <v>98.647999999999996</v>
      </c>
      <c r="E55" s="1691">
        <v>5.42</v>
      </c>
      <c r="F55" s="1691">
        <v>4.2906000000000004</v>
      </c>
      <c r="G55" s="1900"/>
    </row>
    <row r="56" spans="1:7" ht="12.75" customHeight="1">
      <c r="A56" s="1688" t="s">
        <v>759</v>
      </c>
      <c r="B56" s="1689">
        <v>100.50918299999999</v>
      </c>
      <c r="C56" s="1689">
        <v>70</v>
      </c>
      <c r="D56" s="1690">
        <v>98.656000000000006</v>
      </c>
      <c r="E56" s="1691">
        <v>5.39</v>
      </c>
      <c r="F56" s="1691">
        <v>4.3175999999999997</v>
      </c>
      <c r="G56" s="1900"/>
    </row>
    <row r="57" spans="1:7" ht="12.75" customHeight="1">
      <c r="A57" s="1688" t="s">
        <v>760</v>
      </c>
      <c r="B57" s="1689">
        <v>100</v>
      </c>
      <c r="C57" s="1689">
        <v>100</v>
      </c>
      <c r="D57" s="1690">
        <v>94.832999999999998</v>
      </c>
      <c r="E57" s="1691">
        <v>5.39</v>
      </c>
      <c r="F57" s="1691">
        <v>3.9762</v>
      </c>
      <c r="G57" s="1900"/>
    </row>
    <row r="58" spans="1:7" ht="12.75" customHeight="1">
      <c r="A58" s="1688" t="s">
        <v>761</v>
      </c>
      <c r="B58" s="1689">
        <v>88.010138999999995</v>
      </c>
      <c r="C58" s="1689">
        <v>70</v>
      </c>
      <c r="D58" s="1690">
        <v>98.650999999999996</v>
      </c>
      <c r="E58" s="1691">
        <v>5.41</v>
      </c>
      <c r="F58" s="1691">
        <v>4.3254999999999999</v>
      </c>
      <c r="G58" s="1900"/>
    </row>
    <row r="59" spans="1:7" ht="12.75" customHeight="1">
      <c r="A59" s="1688" t="s">
        <v>762</v>
      </c>
      <c r="B59" s="1689">
        <v>62.645757000000003</v>
      </c>
      <c r="C59" s="1689">
        <v>35</v>
      </c>
      <c r="D59" s="1690">
        <v>97.332999999999998</v>
      </c>
      <c r="E59" s="1691">
        <v>5.42</v>
      </c>
      <c r="F59" s="1691">
        <v>4.2019000000000002</v>
      </c>
      <c r="G59" s="1900"/>
    </row>
    <row r="60" spans="1:7" ht="12.75" customHeight="1">
      <c r="A60" s="1688" t="s">
        <v>763</v>
      </c>
      <c r="B60" s="1689">
        <v>70</v>
      </c>
      <c r="C60" s="1689">
        <v>70</v>
      </c>
      <c r="D60" s="1690">
        <v>98.613</v>
      </c>
      <c r="E60" s="1691">
        <v>5.56</v>
      </c>
      <c r="F60" s="1691">
        <v>4.3141999999999996</v>
      </c>
      <c r="G60" s="1900"/>
    </row>
    <row r="61" spans="1:7" ht="20.25" customHeight="1">
      <c r="A61" s="1688" t="s">
        <v>764</v>
      </c>
      <c r="B61" s="1689">
        <v>106.26742</v>
      </c>
      <c r="C61" s="1689">
        <v>70</v>
      </c>
      <c r="D61" s="1690">
        <v>98.655000000000001</v>
      </c>
      <c r="E61" s="1691">
        <v>5.39</v>
      </c>
      <c r="F61" s="1691">
        <v>4.3212000000000002</v>
      </c>
      <c r="G61" s="1900"/>
    </row>
    <row r="62" spans="1:7" ht="12.75" customHeight="1">
      <c r="A62" s="1688" t="s">
        <v>765</v>
      </c>
      <c r="B62" s="1689">
        <v>116.57256099999999</v>
      </c>
      <c r="C62" s="1689">
        <v>70</v>
      </c>
      <c r="D62" s="1690">
        <v>98.703999999999994</v>
      </c>
      <c r="E62" s="1691">
        <v>5.2</v>
      </c>
      <c r="F62" s="1691">
        <v>4.1946000000000003</v>
      </c>
      <c r="G62" s="1900"/>
    </row>
    <row r="63" spans="1:7" ht="12.75" customHeight="1">
      <c r="A63" s="1688" t="s">
        <v>766</v>
      </c>
      <c r="B63" s="1689">
        <v>250.28024199999999</v>
      </c>
      <c r="C63" s="1689">
        <v>100</v>
      </c>
      <c r="D63" s="1690">
        <v>95.15</v>
      </c>
      <c r="E63" s="1691">
        <v>5.04</v>
      </c>
      <c r="F63" s="1691">
        <v>3.8222999999999998</v>
      </c>
      <c r="G63" s="1900"/>
    </row>
    <row r="64" spans="1:7" ht="12.75" customHeight="1">
      <c r="A64" s="1688" t="s">
        <v>767</v>
      </c>
      <c r="B64" s="1689">
        <v>129.53598199999999</v>
      </c>
      <c r="C64" s="1689">
        <v>35</v>
      </c>
      <c r="D64" s="1690">
        <v>97.45</v>
      </c>
      <c r="E64" s="1691">
        <v>5.18</v>
      </c>
      <c r="F64" s="1691">
        <v>4.0654000000000003</v>
      </c>
      <c r="G64" s="1900"/>
    </row>
    <row r="65" spans="1:7" ht="12.75" customHeight="1">
      <c r="A65" s="1688" t="s">
        <v>768</v>
      </c>
      <c r="B65" s="1689">
        <v>98.030921000000006</v>
      </c>
      <c r="C65" s="1689">
        <v>70</v>
      </c>
      <c r="D65" s="1690">
        <v>98.71</v>
      </c>
      <c r="E65" s="1691">
        <v>5.17</v>
      </c>
      <c r="F65" s="1691">
        <v>4.2226999999999997</v>
      </c>
      <c r="G65" s="1900"/>
    </row>
    <row r="66" spans="1:7" ht="20.25" customHeight="1">
      <c r="A66" s="1688" t="s">
        <v>769</v>
      </c>
      <c r="B66" s="1689">
        <v>130.108879</v>
      </c>
      <c r="C66" s="1689">
        <v>70</v>
      </c>
      <c r="D66" s="1690">
        <v>98.727999999999994</v>
      </c>
      <c r="E66" s="1691">
        <v>5.0999999999999996</v>
      </c>
      <c r="F66" s="1691">
        <v>4.1711</v>
      </c>
      <c r="G66" s="1900"/>
    </row>
    <row r="67" spans="1:7" ht="12.75" customHeight="1">
      <c r="A67" s="1688" t="s">
        <v>770</v>
      </c>
      <c r="B67" s="1689">
        <v>138.60515100000001</v>
      </c>
      <c r="C67" s="1689">
        <v>70</v>
      </c>
      <c r="D67" s="1690">
        <v>98.751999999999995</v>
      </c>
      <c r="E67" s="1691">
        <v>5</v>
      </c>
      <c r="F67" s="1691">
        <v>4.0206</v>
      </c>
      <c r="G67" s="1900"/>
    </row>
    <row r="68" spans="1:7" ht="12.75" customHeight="1">
      <c r="A68" s="1688" t="s">
        <v>771</v>
      </c>
      <c r="B68" s="1689">
        <v>114.82243</v>
      </c>
      <c r="C68" s="1689">
        <v>100</v>
      </c>
      <c r="D68" s="1690">
        <v>95.224000000000004</v>
      </c>
      <c r="E68" s="1691">
        <v>4.96</v>
      </c>
      <c r="F68" s="1691">
        <v>3.6070000000000002</v>
      </c>
      <c r="G68" s="1900"/>
    </row>
    <row r="69" spans="1:7" ht="12.75" customHeight="1">
      <c r="A69" s="1688" t="s">
        <v>772</v>
      </c>
      <c r="B69" s="1689">
        <v>35</v>
      </c>
      <c r="C69" s="1689">
        <v>35</v>
      </c>
      <c r="D69" s="1690">
        <v>97.436000000000007</v>
      </c>
      <c r="E69" s="1691">
        <v>5.2</v>
      </c>
      <c r="F69" s="1691">
        <v>3.8544999999999998</v>
      </c>
      <c r="G69" s="1900"/>
    </row>
    <row r="70" spans="1:7" ht="12.75" customHeight="1">
      <c r="A70" s="1688" t="s">
        <v>773</v>
      </c>
      <c r="B70" s="1689">
        <v>70</v>
      </c>
      <c r="C70" s="1689">
        <v>70</v>
      </c>
      <c r="D70" s="1690">
        <v>98.759</v>
      </c>
      <c r="E70" s="1691">
        <v>4.97</v>
      </c>
      <c r="F70" s="1691">
        <v>4.0125000000000002</v>
      </c>
      <c r="G70" s="1900"/>
    </row>
    <row r="71" spans="1:7" ht="20.25" customHeight="1">
      <c r="A71" s="1688" t="s">
        <v>774</v>
      </c>
      <c r="B71" s="1689">
        <v>80</v>
      </c>
      <c r="C71" s="1689">
        <v>70</v>
      </c>
      <c r="D71" s="1690">
        <v>98.747</v>
      </c>
      <c r="E71" s="1691">
        <v>5.0199999999999996</v>
      </c>
      <c r="F71" s="1691">
        <v>4.0015000000000001</v>
      </c>
      <c r="G71" s="1900"/>
    </row>
    <row r="72" spans="1:7" ht="12.75" customHeight="1">
      <c r="A72" s="1688" t="s">
        <v>775</v>
      </c>
      <c r="B72" s="1689">
        <v>94.290999999999997</v>
      </c>
      <c r="C72" s="1689">
        <v>70</v>
      </c>
      <c r="D72" s="1690">
        <v>98.751000000000005</v>
      </c>
      <c r="E72" s="1691">
        <v>5</v>
      </c>
      <c r="F72" s="1691">
        <v>3.9045000000000001</v>
      </c>
      <c r="G72" s="1900"/>
    </row>
    <row r="73" spans="1:7" ht="12.75" customHeight="1">
      <c r="A73" s="1688" t="s">
        <v>776</v>
      </c>
      <c r="B73" s="1689">
        <v>105.08</v>
      </c>
      <c r="C73" s="1689">
        <v>100</v>
      </c>
      <c r="D73" s="1690">
        <v>95.168000000000006</v>
      </c>
      <c r="E73" s="1691">
        <v>5.0199999999999996</v>
      </c>
      <c r="F73" s="1691">
        <v>3.5943000000000001</v>
      </c>
      <c r="G73" s="1900"/>
    </row>
    <row r="74" spans="1:7" ht="12.75" customHeight="1">
      <c r="A74" s="1688" t="s">
        <v>777</v>
      </c>
      <c r="B74" s="1689">
        <v>70.5</v>
      </c>
      <c r="C74" s="1689">
        <v>70</v>
      </c>
      <c r="D74" s="1690">
        <v>98.744</v>
      </c>
      <c r="E74" s="1691">
        <v>5.03</v>
      </c>
      <c r="F74" s="1691">
        <v>3.87</v>
      </c>
      <c r="G74" s="1900"/>
    </row>
    <row r="75" spans="1:7" ht="12.75" customHeight="1">
      <c r="A75" s="1688" t="s">
        <v>778</v>
      </c>
      <c r="B75" s="1689">
        <v>70.531999999999996</v>
      </c>
      <c r="C75" s="1689">
        <v>70</v>
      </c>
      <c r="D75" s="1690">
        <v>98.707999999999998</v>
      </c>
      <c r="E75" s="1691">
        <v>5.18</v>
      </c>
      <c r="F75" s="1691">
        <v>3.8593999999999999</v>
      </c>
      <c r="G75" s="1900"/>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tabSelected="1" zoomScale="70" zoomScaleNormal="70" workbookViewId="0">
      <pane xSplit="2" ySplit="12" topLeftCell="C13" activePane="bottomRight" state="frozen"/>
      <selection activeCell="N29" sqref="N29"/>
      <selection pane="topRight" activeCell="N29" sqref="N29"/>
      <selection pane="bottomLeft" activeCell="N29" sqref="N29"/>
      <selection pane="bottomRight" activeCell="N29" sqref="N29"/>
    </sheetView>
  </sheetViews>
  <sheetFormatPr defaultColWidth="9.140625" defaultRowHeight="12.75"/>
  <cols>
    <col min="1" max="2" width="9.7109375" style="1251" customWidth="1"/>
    <col min="3" max="8" width="11.7109375" style="1251" customWidth="1"/>
    <col min="9" max="9" width="13.7109375" style="1251" customWidth="1"/>
    <col min="10" max="15" width="11.7109375" style="1251" customWidth="1"/>
    <col min="16" max="17" width="13.85546875" style="1251" customWidth="1"/>
    <col min="18" max="18" width="9.28515625" style="1251" bestFit="1" customWidth="1"/>
    <col min="19" max="16384" width="9.140625" style="1251"/>
  </cols>
  <sheetData>
    <row r="1" spans="1:17" s="381" customFormat="1" ht="19.5">
      <c r="A1" s="1679" t="s">
        <v>779</v>
      </c>
      <c r="B1" s="387"/>
      <c r="C1" s="382"/>
      <c r="D1" s="382"/>
      <c r="E1" s="382"/>
      <c r="F1" s="382"/>
      <c r="G1" s="382"/>
      <c r="H1" s="382"/>
      <c r="I1" s="382"/>
      <c r="J1" s="382"/>
      <c r="K1" s="382"/>
      <c r="L1" s="382"/>
      <c r="M1" s="382"/>
      <c r="N1" s="382"/>
      <c r="O1" s="382"/>
      <c r="P1" s="382"/>
      <c r="Q1" s="382"/>
    </row>
    <row r="2" spans="1:17" s="381" customFormat="1" ht="19.5">
      <c r="A2" s="1680" t="s">
        <v>27</v>
      </c>
      <c r="B2" s="387"/>
      <c r="C2" s="382"/>
      <c r="D2" s="382"/>
      <c r="E2" s="382"/>
      <c r="F2" s="382"/>
      <c r="G2" s="382"/>
      <c r="H2" s="382"/>
      <c r="I2" s="382"/>
      <c r="J2" s="382"/>
      <c r="K2" s="382"/>
      <c r="L2" s="382"/>
      <c r="M2" s="382"/>
      <c r="N2" s="382"/>
      <c r="O2" s="382"/>
      <c r="P2" s="382"/>
      <c r="Q2" s="382"/>
    </row>
    <row r="3" spans="1:17" s="381" customFormat="1" ht="19.5">
      <c r="A3" s="1679"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369</v>
      </c>
      <c r="B7" s="387"/>
      <c r="P7" s="360"/>
      <c r="Q7" s="589" t="s">
        <v>370</v>
      </c>
    </row>
    <row r="8" spans="1:17" s="597" customFormat="1" ht="23.25" customHeight="1">
      <c r="A8" s="590"/>
      <c r="B8" s="591"/>
      <c r="C8" s="592" t="s">
        <v>780</v>
      </c>
      <c r="D8" s="868"/>
      <c r="E8" s="593"/>
      <c r="F8" s="594"/>
      <c r="G8" s="868"/>
      <c r="H8" s="594"/>
      <c r="I8" s="595" t="s">
        <v>781</v>
      </c>
      <c r="J8" s="592" t="s">
        <v>782</v>
      </c>
      <c r="K8" s="868"/>
      <c r="L8" s="593"/>
      <c r="M8" s="594"/>
      <c r="N8" s="868"/>
      <c r="O8" s="594"/>
      <c r="P8" s="595" t="s">
        <v>783</v>
      </c>
      <c r="Q8" s="596"/>
    </row>
    <row r="9" spans="1:17" s="597" customFormat="1" ht="19.5" customHeight="1">
      <c r="A9" s="598"/>
      <c r="C9" s="599" t="s">
        <v>333</v>
      </c>
      <c r="D9" s="600"/>
      <c r="E9" s="601"/>
      <c r="F9" s="599" t="s">
        <v>335</v>
      </c>
      <c r="G9" s="600"/>
      <c r="H9" s="601"/>
      <c r="I9" s="866"/>
      <c r="J9" s="602" t="s">
        <v>339</v>
      </c>
      <c r="K9" s="600"/>
      <c r="L9" s="601"/>
      <c r="M9" s="603" t="s">
        <v>337</v>
      </c>
      <c r="N9" s="600"/>
      <c r="O9" s="601"/>
      <c r="P9" s="866"/>
      <c r="Q9" s="867"/>
    </row>
    <row r="10" spans="1:17" s="597" customFormat="1" ht="19.5" customHeight="1">
      <c r="A10" s="396" t="s">
        <v>379</v>
      </c>
      <c r="B10" s="397"/>
      <c r="C10" s="604" t="s">
        <v>784</v>
      </c>
      <c r="D10" s="605"/>
      <c r="E10" s="606"/>
      <c r="F10" s="604" t="s">
        <v>785</v>
      </c>
      <c r="G10" s="607"/>
      <c r="H10" s="606"/>
      <c r="I10" s="608" t="s">
        <v>786</v>
      </c>
      <c r="J10" s="609" t="s">
        <v>787</v>
      </c>
      <c r="K10" s="610"/>
      <c r="L10" s="611"/>
      <c r="M10" s="609" t="s">
        <v>788</v>
      </c>
      <c r="N10" s="610"/>
      <c r="O10" s="611"/>
      <c r="P10" s="612" t="s">
        <v>786</v>
      </c>
      <c r="Q10" s="612" t="s">
        <v>382</v>
      </c>
    </row>
    <row r="11" spans="1:17" s="597" customFormat="1" ht="21.2" customHeight="1">
      <c r="A11" s="613" t="s">
        <v>387</v>
      </c>
      <c r="B11" s="614"/>
      <c r="C11" s="867" t="s">
        <v>789</v>
      </c>
      <c r="D11" s="867" t="s">
        <v>790</v>
      </c>
      <c r="E11" s="867" t="s">
        <v>791</v>
      </c>
      <c r="F11" s="867" t="s">
        <v>789</v>
      </c>
      <c r="G11" s="867" t="s">
        <v>790</v>
      </c>
      <c r="H11" s="867" t="s">
        <v>791</v>
      </c>
      <c r="I11" s="867" t="s">
        <v>792</v>
      </c>
      <c r="J11" s="867" t="s">
        <v>789</v>
      </c>
      <c r="K11" s="867" t="s">
        <v>790</v>
      </c>
      <c r="L11" s="867" t="s">
        <v>791</v>
      </c>
      <c r="M11" s="867" t="s">
        <v>789</v>
      </c>
      <c r="N11" s="867" t="s">
        <v>790</v>
      </c>
      <c r="O11" s="867" t="s">
        <v>791</v>
      </c>
      <c r="P11" s="867" t="s">
        <v>792</v>
      </c>
      <c r="Q11" s="867" t="s">
        <v>793</v>
      </c>
    </row>
    <row r="12" spans="1:17" s="597" customFormat="1" ht="31.5">
      <c r="A12" s="598"/>
      <c r="B12" s="615"/>
      <c r="C12" s="867" t="s">
        <v>794</v>
      </c>
      <c r="D12" s="864" t="s">
        <v>795</v>
      </c>
      <c r="E12" s="554" t="s">
        <v>796</v>
      </c>
      <c r="F12" s="554" t="s">
        <v>794</v>
      </c>
      <c r="G12" s="865" t="s">
        <v>795</v>
      </c>
      <c r="H12" s="554" t="s">
        <v>796</v>
      </c>
      <c r="I12" s="616" t="s">
        <v>796</v>
      </c>
      <c r="J12" s="554" t="s">
        <v>794</v>
      </c>
      <c r="K12" s="865" t="s">
        <v>795</v>
      </c>
      <c r="L12" s="554" t="s">
        <v>796</v>
      </c>
      <c r="M12" s="554" t="s">
        <v>794</v>
      </c>
      <c r="N12" s="865" t="s">
        <v>795</v>
      </c>
      <c r="O12" s="554" t="s">
        <v>796</v>
      </c>
      <c r="P12" s="617" t="s">
        <v>796</v>
      </c>
      <c r="Q12" s="616"/>
    </row>
    <row r="13" spans="1:17" s="148" customFormat="1" ht="20.25" customHeight="1">
      <c r="A13" s="1681">
        <v>2015</v>
      </c>
      <c r="B13" s="1682"/>
      <c r="C13" s="618">
        <v>200</v>
      </c>
      <c r="D13" s="618">
        <v>914</v>
      </c>
      <c r="E13" s="623">
        <v>3867</v>
      </c>
      <c r="F13" s="1157">
        <v>3405</v>
      </c>
      <c r="G13" s="1158">
        <v>3885</v>
      </c>
      <c r="H13" s="623">
        <v>1710</v>
      </c>
      <c r="I13" s="619">
        <v>5777</v>
      </c>
      <c r="J13" s="618">
        <v>358</v>
      </c>
      <c r="K13" s="618">
        <v>844</v>
      </c>
      <c r="L13" s="623">
        <v>1348</v>
      </c>
      <c r="M13" s="618">
        <v>474</v>
      </c>
      <c r="N13" s="618">
        <v>495</v>
      </c>
      <c r="O13" s="618">
        <v>129</v>
      </c>
      <c r="P13" s="623">
        <v>1476.9</v>
      </c>
      <c r="Q13" s="620">
        <v>7053.9</v>
      </c>
    </row>
    <row r="14" spans="1:17" s="148" customFormat="1" ht="15.75">
      <c r="A14" s="1683">
        <v>2016</v>
      </c>
      <c r="B14" s="1684"/>
      <c r="C14" s="621">
        <v>150</v>
      </c>
      <c r="D14" s="623">
        <v>1386.6</v>
      </c>
      <c r="E14" s="623">
        <v>5103.6000000000004</v>
      </c>
      <c r="F14" s="623">
        <v>4020</v>
      </c>
      <c r="G14" s="623">
        <v>4095</v>
      </c>
      <c r="H14" s="623">
        <v>1785</v>
      </c>
      <c r="I14" s="622">
        <v>6888.6</v>
      </c>
      <c r="J14" s="621">
        <v>512</v>
      </c>
      <c r="K14" s="621">
        <v>851.56</v>
      </c>
      <c r="L14" s="1158">
        <f t="shared" ref="L14:L19" si="0">L13-J14+K14</f>
        <v>1687.56</v>
      </c>
      <c r="M14" s="621">
        <v>516</v>
      </c>
      <c r="N14" s="621">
        <v>516</v>
      </c>
      <c r="O14" s="621">
        <v>129</v>
      </c>
      <c r="P14" s="623">
        <v>1816.8</v>
      </c>
      <c r="Q14" s="623">
        <v>8705.4</v>
      </c>
    </row>
    <row r="15" spans="1:17" s="148" customFormat="1" ht="15.75">
      <c r="A15" s="1683">
        <v>2017</v>
      </c>
      <c r="B15" s="1684"/>
      <c r="C15" s="621">
        <v>300</v>
      </c>
      <c r="D15" s="623">
        <v>1622</v>
      </c>
      <c r="E15" s="623">
        <v>6425.6</v>
      </c>
      <c r="F15" s="623">
        <v>4130</v>
      </c>
      <c r="G15" s="623">
        <v>4405</v>
      </c>
      <c r="H15" s="623">
        <v>2060</v>
      </c>
      <c r="I15" s="622">
        <v>8485.6</v>
      </c>
      <c r="J15" s="621">
        <v>472</v>
      </c>
      <c r="K15" s="621">
        <v>756.6</v>
      </c>
      <c r="L15" s="1158">
        <f t="shared" si="0"/>
        <v>1972.1599999999999</v>
      </c>
      <c r="M15" s="621">
        <v>516</v>
      </c>
      <c r="N15" s="621">
        <v>516</v>
      </c>
      <c r="O15" s="621">
        <v>129</v>
      </c>
      <c r="P15" s="623">
        <v>2101.4</v>
      </c>
      <c r="Q15" s="623">
        <v>10587</v>
      </c>
    </row>
    <row r="16" spans="1:17" s="148" customFormat="1" ht="16.5" customHeight="1">
      <c r="A16" s="849">
        <v>2018</v>
      </c>
      <c r="B16" s="440"/>
      <c r="C16" s="1156">
        <v>100</v>
      </c>
      <c r="D16" s="1156">
        <v>638</v>
      </c>
      <c r="E16" s="623">
        <v>6963.6</v>
      </c>
      <c r="F16" s="1157">
        <v>4370</v>
      </c>
      <c r="G16" s="1158">
        <v>4420</v>
      </c>
      <c r="H16" s="1158">
        <v>2110</v>
      </c>
      <c r="I16" s="1158">
        <v>9073.6</v>
      </c>
      <c r="J16" s="1156">
        <v>694</v>
      </c>
      <c r="K16" s="1156">
        <v>976</v>
      </c>
      <c r="L16" s="1158">
        <f t="shared" si="0"/>
        <v>2254.16</v>
      </c>
      <c r="M16" s="1158">
        <v>516</v>
      </c>
      <c r="N16" s="1156">
        <v>516</v>
      </c>
      <c r="O16" s="1156">
        <v>129</v>
      </c>
      <c r="P16" s="1158">
        <v>2383.4</v>
      </c>
      <c r="Q16" s="1158">
        <v>11457</v>
      </c>
    </row>
    <row r="17" spans="1:17" s="148" customFormat="1" ht="16.5" customHeight="1">
      <c r="A17" s="849">
        <v>2019</v>
      </c>
      <c r="B17" s="440"/>
      <c r="C17" s="1156">
        <v>485</v>
      </c>
      <c r="D17" s="1156">
        <v>861</v>
      </c>
      <c r="E17" s="623">
        <v>7339.6</v>
      </c>
      <c r="F17" s="1157">
        <v>4420</v>
      </c>
      <c r="G17" s="1158">
        <v>4420</v>
      </c>
      <c r="H17" s="1158">
        <v>2110</v>
      </c>
      <c r="I17" s="1158">
        <v>9449.6</v>
      </c>
      <c r="J17" s="1156">
        <v>475.6</v>
      </c>
      <c r="K17" s="1156">
        <v>688</v>
      </c>
      <c r="L17" s="1158">
        <f t="shared" si="0"/>
        <v>2466.56</v>
      </c>
      <c r="M17" s="1158">
        <v>516</v>
      </c>
      <c r="N17" s="1156">
        <v>516</v>
      </c>
      <c r="O17" s="1156">
        <v>129</v>
      </c>
      <c r="P17" s="1158">
        <v>2595.8000000000002</v>
      </c>
      <c r="Q17" s="1158">
        <v>12045.4</v>
      </c>
    </row>
    <row r="18" spans="1:17" s="148" customFormat="1" ht="16.5" customHeight="1">
      <c r="A18" s="849">
        <v>2020</v>
      </c>
      <c r="B18" s="440"/>
      <c r="C18" s="1156">
        <v>920</v>
      </c>
      <c r="D18" s="1156">
        <v>1202</v>
      </c>
      <c r="E18" s="623">
        <v>7621.6</v>
      </c>
      <c r="F18" s="1157">
        <v>4110</v>
      </c>
      <c r="G18" s="1158">
        <v>4110</v>
      </c>
      <c r="H18" s="1158">
        <v>2110</v>
      </c>
      <c r="I18" s="1158">
        <v>9731.6</v>
      </c>
      <c r="J18" s="1156">
        <v>286</v>
      </c>
      <c r="K18" s="1156">
        <v>1038</v>
      </c>
      <c r="L18" s="1158">
        <f t="shared" si="0"/>
        <v>3218.56</v>
      </c>
      <c r="M18" s="1158">
        <v>473</v>
      </c>
      <c r="N18" s="1156">
        <v>473</v>
      </c>
      <c r="O18" s="1156">
        <v>129</v>
      </c>
      <c r="P18" s="1158">
        <v>3347.8</v>
      </c>
      <c r="Q18" s="1158">
        <v>13079.400000000001</v>
      </c>
    </row>
    <row r="19" spans="1:17" s="148" customFormat="1" ht="16.5" customHeight="1">
      <c r="A19" s="849">
        <v>2021</v>
      </c>
      <c r="B19" s="440"/>
      <c r="C19" s="1156">
        <v>866.6</v>
      </c>
      <c r="D19" s="1156">
        <v>2304</v>
      </c>
      <c r="E19" s="623">
        <v>9059</v>
      </c>
      <c r="F19" s="1157">
        <v>4420</v>
      </c>
      <c r="G19" s="1158">
        <v>4420</v>
      </c>
      <c r="H19" s="1158">
        <v>2110</v>
      </c>
      <c r="I19" s="1158">
        <v>11169</v>
      </c>
      <c r="J19" s="1156">
        <v>600</v>
      </c>
      <c r="K19" s="1156">
        <v>500</v>
      </c>
      <c r="L19" s="1158">
        <f t="shared" si="0"/>
        <v>3118.56</v>
      </c>
      <c r="M19" s="1158">
        <v>516</v>
      </c>
      <c r="N19" s="1156">
        <v>516</v>
      </c>
      <c r="O19" s="1156">
        <v>129</v>
      </c>
      <c r="P19" s="1158">
        <v>3247.8</v>
      </c>
      <c r="Q19" s="1158">
        <v>14416.8</v>
      </c>
    </row>
    <row r="20" spans="1:17" s="148" customFormat="1" ht="16.5" customHeight="1">
      <c r="A20" s="849">
        <v>2022</v>
      </c>
      <c r="B20" s="440"/>
      <c r="C20" s="1156">
        <v>1252</v>
      </c>
      <c r="D20" s="1156">
        <v>876</v>
      </c>
      <c r="E20" s="623">
        <v>8683</v>
      </c>
      <c r="F20" s="1157">
        <v>4420</v>
      </c>
      <c r="G20" s="1158">
        <v>4320</v>
      </c>
      <c r="H20" s="1158">
        <v>2010</v>
      </c>
      <c r="I20" s="1158">
        <v>10693</v>
      </c>
      <c r="J20" s="1156">
        <v>312</v>
      </c>
      <c r="K20" s="1156">
        <v>443.6</v>
      </c>
      <c r="L20" s="1158">
        <v>3250.16</v>
      </c>
      <c r="M20" s="1158">
        <v>516</v>
      </c>
      <c r="N20" s="1156">
        <v>516</v>
      </c>
      <c r="O20" s="1156">
        <v>129</v>
      </c>
      <c r="P20" s="1158">
        <v>3379.8</v>
      </c>
      <c r="Q20" s="1158">
        <v>14072.8</v>
      </c>
    </row>
    <row r="21" spans="1:17" s="148" customFormat="1" ht="16.5" customHeight="1">
      <c r="A21" s="849">
        <v>2023</v>
      </c>
      <c r="B21" s="440"/>
      <c r="C21" s="1156">
        <v>1640</v>
      </c>
      <c r="D21" s="1156">
        <v>2292</v>
      </c>
      <c r="E21" s="623">
        <v>9335</v>
      </c>
      <c r="F21" s="1157">
        <v>4320</v>
      </c>
      <c r="G21" s="1158">
        <v>4420</v>
      </c>
      <c r="H21" s="1158">
        <v>2110</v>
      </c>
      <c r="I21" s="1158">
        <v>11445</v>
      </c>
      <c r="J21" s="1156">
        <v>312</v>
      </c>
      <c r="K21" s="1156">
        <v>688</v>
      </c>
      <c r="L21" s="1158">
        <v>3626.16</v>
      </c>
      <c r="M21" s="1158">
        <v>516</v>
      </c>
      <c r="N21" s="1156">
        <v>516</v>
      </c>
      <c r="O21" s="1156">
        <v>129</v>
      </c>
      <c r="P21" s="1158">
        <v>3755.16</v>
      </c>
      <c r="Q21" s="1158">
        <v>15200.16</v>
      </c>
    </row>
    <row r="22" spans="1:17" s="148" customFormat="1" ht="16.5" customHeight="1">
      <c r="A22" s="1074">
        <v>2024</v>
      </c>
      <c r="B22" s="1075"/>
      <c r="C22" s="1076">
        <f>SUM(C24:C27)</f>
        <v>620</v>
      </c>
      <c r="D22" s="1076">
        <f>SUM(D24:D27)</f>
        <v>1748</v>
      </c>
      <c r="E22" s="742">
        <f>E21-C22+D22</f>
        <v>10463</v>
      </c>
      <c r="F22" s="1077">
        <f>SUM(F24:F27)</f>
        <v>4420</v>
      </c>
      <c r="G22" s="1078">
        <f>SUM(G24:G27)</f>
        <v>4420</v>
      </c>
      <c r="H22" s="1078">
        <f>H21-F22+G22</f>
        <v>2110</v>
      </c>
      <c r="I22" s="1078">
        <f>E22+H22</f>
        <v>12573</v>
      </c>
      <c r="J22" s="1076">
        <f>SUM(J24:J27)</f>
        <v>1064</v>
      </c>
      <c r="K22" s="1076">
        <f>SUM(K24:K27)</f>
        <v>1346</v>
      </c>
      <c r="L22" s="1078">
        <f>L21-J22+K22</f>
        <v>3908.16</v>
      </c>
      <c r="M22" s="1078">
        <f>SUM(M24:M27)</f>
        <v>516</v>
      </c>
      <c r="N22" s="1076">
        <f>SUM(N24:N27)</f>
        <v>516</v>
      </c>
      <c r="O22" s="1076">
        <f>O21-M22+N22</f>
        <v>129</v>
      </c>
      <c r="P22" s="1078">
        <f>L22+O22</f>
        <v>4037.16</v>
      </c>
      <c r="Q22" s="1078">
        <f>P22+I22</f>
        <v>16610.16</v>
      </c>
    </row>
    <row r="23" spans="1:17" s="148" customFormat="1" ht="21" customHeight="1">
      <c r="A23" s="849">
        <v>2023</v>
      </c>
      <c r="B23" s="440" t="s">
        <v>238</v>
      </c>
      <c r="C23" s="1156">
        <v>200</v>
      </c>
      <c r="D23" s="1156">
        <v>764</v>
      </c>
      <c r="E23" s="623">
        <v>9335</v>
      </c>
      <c r="F23" s="1157">
        <v>1105</v>
      </c>
      <c r="G23" s="1158">
        <v>1105</v>
      </c>
      <c r="H23" s="1158">
        <v>2110</v>
      </c>
      <c r="I23" s="1158">
        <v>11445</v>
      </c>
      <c r="J23" s="1156">
        <v>78</v>
      </c>
      <c r="K23" s="1156">
        <v>78</v>
      </c>
      <c r="L23" s="1158">
        <v>3626.2</v>
      </c>
      <c r="M23" s="1158">
        <v>129</v>
      </c>
      <c r="N23" s="1156">
        <v>129</v>
      </c>
      <c r="O23" s="1156">
        <v>129</v>
      </c>
      <c r="P23" s="1158">
        <v>3755.2</v>
      </c>
      <c r="Q23" s="1158">
        <v>15200.2</v>
      </c>
    </row>
    <row r="24" spans="1:17" s="148" customFormat="1" ht="21" customHeight="1">
      <c r="A24" s="849">
        <v>2024</v>
      </c>
      <c r="B24" s="440" t="s">
        <v>239</v>
      </c>
      <c r="C24" s="1156">
        <v>0</v>
      </c>
      <c r="D24" s="1156">
        <v>661</v>
      </c>
      <c r="E24" s="623">
        <v>9996</v>
      </c>
      <c r="F24" s="1157">
        <v>1105</v>
      </c>
      <c r="G24" s="1158">
        <v>1105</v>
      </c>
      <c r="H24" s="1158">
        <v>2110</v>
      </c>
      <c r="I24" s="1158">
        <v>12106</v>
      </c>
      <c r="J24" s="1156">
        <v>454</v>
      </c>
      <c r="K24" s="1156">
        <v>454</v>
      </c>
      <c r="L24" s="1158">
        <v>3626.2</v>
      </c>
      <c r="M24" s="1158">
        <v>129</v>
      </c>
      <c r="N24" s="1156">
        <v>129</v>
      </c>
      <c r="O24" s="1156">
        <v>129</v>
      </c>
      <c r="P24" s="1158">
        <v>3755.2</v>
      </c>
      <c r="Q24" s="1158">
        <v>15861.2</v>
      </c>
    </row>
    <row r="25" spans="1:17" s="148" customFormat="1" ht="15" customHeight="1">
      <c r="A25" s="849"/>
      <c r="B25" s="440" t="s">
        <v>240</v>
      </c>
      <c r="C25" s="1156">
        <v>285</v>
      </c>
      <c r="D25" s="1156">
        <v>0</v>
      </c>
      <c r="E25" s="623">
        <v>9711</v>
      </c>
      <c r="F25" s="1157">
        <v>1105</v>
      </c>
      <c r="G25" s="1158">
        <v>1105</v>
      </c>
      <c r="H25" s="1158">
        <v>2110</v>
      </c>
      <c r="I25" s="1158">
        <v>11821</v>
      </c>
      <c r="J25" s="1156">
        <v>78</v>
      </c>
      <c r="K25" s="1156">
        <v>78</v>
      </c>
      <c r="L25" s="1158">
        <v>3626.2</v>
      </c>
      <c r="M25" s="1158">
        <v>129</v>
      </c>
      <c r="N25" s="1156">
        <v>129</v>
      </c>
      <c r="O25" s="1156">
        <v>129</v>
      </c>
      <c r="P25" s="1158">
        <v>3755.2</v>
      </c>
      <c r="Q25" s="1158">
        <v>15576.2</v>
      </c>
    </row>
    <row r="26" spans="1:17" s="148" customFormat="1" ht="15" customHeight="1">
      <c r="A26" s="849"/>
      <c r="B26" s="440" t="s">
        <v>237</v>
      </c>
      <c r="C26" s="1156">
        <v>150</v>
      </c>
      <c r="D26" s="1156">
        <v>526</v>
      </c>
      <c r="E26" s="623">
        <v>10087</v>
      </c>
      <c r="F26" s="1157">
        <v>1105</v>
      </c>
      <c r="G26" s="1158">
        <v>1105</v>
      </c>
      <c r="H26" s="1158">
        <v>2110</v>
      </c>
      <c r="I26" s="1158">
        <v>12197</v>
      </c>
      <c r="J26" s="1156">
        <v>78</v>
      </c>
      <c r="K26" s="1156">
        <v>78</v>
      </c>
      <c r="L26" s="1158">
        <v>3626.2</v>
      </c>
      <c r="M26" s="1158">
        <v>129</v>
      </c>
      <c r="N26" s="1156">
        <v>129</v>
      </c>
      <c r="O26" s="1156">
        <v>129</v>
      </c>
      <c r="P26" s="1158">
        <v>3755.2</v>
      </c>
      <c r="Q26" s="1158">
        <v>15952.2</v>
      </c>
    </row>
    <row r="27" spans="1:17" s="148" customFormat="1" ht="15" customHeight="1">
      <c r="A27" s="849"/>
      <c r="B27" s="440" t="s">
        <v>238</v>
      </c>
      <c r="C27" s="1156">
        <v>185</v>
      </c>
      <c r="D27" s="1156">
        <v>561</v>
      </c>
      <c r="E27" s="623">
        <v>10463</v>
      </c>
      <c r="F27" s="1157">
        <v>1105</v>
      </c>
      <c r="G27" s="1158">
        <v>1105</v>
      </c>
      <c r="H27" s="1158">
        <v>2110</v>
      </c>
      <c r="I27" s="1158">
        <v>12573</v>
      </c>
      <c r="J27" s="1156">
        <v>454</v>
      </c>
      <c r="K27" s="1156">
        <v>736</v>
      </c>
      <c r="L27" s="1158">
        <v>3908.2</v>
      </c>
      <c r="M27" s="1158">
        <v>129</v>
      </c>
      <c r="N27" s="1156">
        <v>129</v>
      </c>
      <c r="O27" s="1156">
        <v>129</v>
      </c>
      <c r="P27" s="1158">
        <v>4037.2</v>
      </c>
      <c r="Q27" s="1158">
        <v>16610.2</v>
      </c>
    </row>
    <row r="28" spans="1:17" s="148" customFormat="1" ht="21" customHeight="1">
      <c r="A28" s="849">
        <v>2025</v>
      </c>
      <c r="B28" s="440" t="s">
        <v>239</v>
      </c>
      <c r="C28" s="1156">
        <f>SUM(C34:C36)</f>
        <v>150</v>
      </c>
      <c r="D28" s="1156">
        <f>SUM(D34:D36)</f>
        <v>200</v>
      </c>
      <c r="E28" s="623">
        <f>E27-C28+D28</f>
        <v>10513</v>
      </c>
      <c r="F28" s="1157">
        <f>SUM(F34:F36)</f>
        <v>1105</v>
      </c>
      <c r="G28" s="1158">
        <f>SUM(G34:G36)</f>
        <v>1105</v>
      </c>
      <c r="H28" s="1158">
        <f>H27-F28+G28</f>
        <v>2110</v>
      </c>
      <c r="I28" s="1158">
        <f>E28+H28</f>
        <v>12623</v>
      </c>
      <c r="J28" s="1156">
        <f>SUM(J34:J36)</f>
        <v>647.6</v>
      </c>
      <c r="K28" s="1156">
        <f>SUM(K34:K36)</f>
        <v>78</v>
      </c>
      <c r="L28" s="1158">
        <f>L27-J28+K28</f>
        <v>3338.6</v>
      </c>
      <c r="M28" s="1158">
        <f>SUM(M34:M36)</f>
        <v>129</v>
      </c>
      <c r="N28" s="1156">
        <f>SUM(N34:N36)</f>
        <v>129</v>
      </c>
      <c r="O28" s="1156">
        <f>O27-M28+N28</f>
        <v>129</v>
      </c>
      <c r="P28" s="1158">
        <f>L28+O28</f>
        <v>3467.6</v>
      </c>
      <c r="Q28" s="1158">
        <f>I28+P28</f>
        <v>16090.6</v>
      </c>
    </row>
    <row r="29" spans="1:17" s="148" customFormat="1" ht="15" customHeight="1">
      <c r="A29" s="849"/>
      <c r="B29" s="440" t="s">
        <v>240</v>
      </c>
      <c r="C29" s="1156">
        <f>SUM(C37:C39)</f>
        <v>200</v>
      </c>
      <c r="D29" s="1156">
        <f>SUM(D37:D39)</f>
        <v>782</v>
      </c>
      <c r="E29" s="623">
        <f>E28-C29+D29</f>
        <v>11095</v>
      </c>
      <c r="F29" s="1157">
        <f>SUM(F37:F39)</f>
        <v>1105</v>
      </c>
      <c r="G29" s="1158">
        <f>SUM(G37:G39)</f>
        <v>1105</v>
      </c>
      <c r="H29" s="1158">
        <f>H28-F29+G29</f>
        <v>2110</v>
      </c>
      <c r="I29" s="1158">
        <f>E29+H29</f>
        <v>13205</v>
      </c>
      <c r="J29" s="1156">
        <f>SUM(J37:J39)</f>
        <v>78</v>
      </c>
      <c r="K29" s="1156">
        <f>SUM(K37:K39)</f>
        <v>736</v>
      </c>
      <c r="L29" s="1158">
        <f>L28-J29+K29</f>
        <v>3996.6</v>
      </c>
      <c r="M29" s="1158">
        <f>SUM(M37:M39)</f>
        <v>129</v>
      </c>
      <c r="N29" s="1156">
        <f>SUM(N37:N39)</f>
        <v>129</v>
      </c>
      <c r="O29" s="1156">
        <f>O28-M29+N29</f>
        <v>129</v>
      </c>
      <c r="P29" s="1158">
        <f>L29+O29</f>
        <v>4125.6000000000004</v>
      </c>
      <c r="Q29" s="1158">
        <f>I29+P29</f>
        <v>17330.599999999999</v>
      </c>
    </row>
    <row r="30" spans="1:17" s="148" customFormat="1" ht="15" customHeight="1">
      <c r="A30" s="1074"/>
      <c r="B30" s="1075" t="s">
        <v>237</v>
      </c>
      <c r="C30" s="1076">
        <f>SUM(C40:C42)</f>
        <v>338</v>
      </c>
      <c r="D30" s="1076">
        <f>SUM(D40:D42)</f>
        <v>618</v>
      </c>
      <c r="E30" s="742">
        <f>E29-C30+D30</f>
        <v>11375</v>
      </c>
      <c r="F30" s="1077">
        <f>SUM(F40:F42)</f>
        <v>1105</v>
      </c>
      <c r="G30" s="1078">
        <f>SUM(G40:G42)</f>
        <v>1105</v>
      </c>
      <c r="H30" s="1078">
        <f>H29-F30+G30</f>
        <v>2110</v>
      </c>
      <c r="I30" s="1078">
        <f>E30+H30</f>
        <v>13485</v>
      </c>
      <c r="J30" s="1076">
        <f>SUM(J40:J42)</f>
        <v>278</v>
      </c>
      <c r="K30" s="1076">
        <f>SUM(K40:K42)</f>
        <v>1191.2</v>
      </c>
      <c r="L30" s="1078">
        <f>L29-J30+K30</f>
        <v>4909.8</v>
      </c>
      <c r="M30" s="1078">
        <f>SUM(M40:M42)</f>
        <v>129</v>
      </c>
      <c r="N30" s="1076">
        <f>SUM(N40:N42)</f>
        <v>150</v>
      </c>
      <c r="O30" s="1076">
        <f>O29-M30+N30</f>
        <v>150</v>
      </c>
      <c r="P30" s="1078">
        <f>L30+O30</f>
        <v>5059.8</v>
      </c>
      <c r="Q30" s="1078">
        <f>I30+P30</f>
        <v>18544.8</v>
      </c>
    </row>
    <row r="31" spans="1:17" s="148" customFormat="1" ht="21" customHeight="1">
      <c r="A31" s="849">
        <v>2024</v>
      </c>
      <c r="B31" s="440" t="s">
        <v>412</v>
      </c>
      <c r="C31" s="1156">
        <v>0</v>
      </c>
      <c r="D31" s="1156">
        <v>0</v>
      </c>
      <c r="E31" s="623">
        <v>10087</v>
      </c>
      <c r="F31" s="1157">
        <v>380</v>
      </c>
      <c r="G31" s="1156">
        <v>380</v>
      </c>
      <c r="H31" s="1158">
        <v>2110</v>
      </c>
      <c r="I31" s="1158">
        <v>12197</v>
      </c>
      <c r="J31" s="1156">
        <v>52</v>
      </c>
      <c r="K31" s="1156">
        <v>52</v>
      </c>
      <c r="L31" s="1158">
        <v>3626.2</v>
      </c>
      <c r="M31" s="1158">
        <v>43</v>
      </c>
      <c r="N31" s="1156">
        <v>43</v>
      </c>
      <c r="O31" s="1156">
        <v>129</v>
      </c>
      <c r="P31" s="1158">
        <v>3755.2</v>
      </c>
      <c r="Q31" s="1158">
        <v>15952.2</v>
      </c>
    </row>
    <row r="32" spans="1:17" s="148" customFormat="1" ht="15.75">
      <c r="A32" s="849"/>
      <c r="B32" s="440" t="s">
        <v>413</v>
      </c>
      <c r="C32" s="1156">
        <v>185</v>
      </c>
      <c r="D32" s="1156">
        <v>185</v>
      </c>
      <c r="E32" s="623">
        <f t="shared" ref="E32" si="1">E31-C32+D32</f>
        <v>10087</v>
      </c>
      <c r="F32" s="1157">
        <v>380</v>
      </c>
      <c r="G32" s="1156">
        <v>380</v>
      </c>
      <c r="H32" s="1158">
        <f t="shared" ref="H32" si="2">H31-F32+G32</f>
        <v>2110</v>
      </c>
      <c r="I32" s="1158">
        <f t="shared" ref="I32" si="3">E32+H32</f>
        <v>12197</v>
      </c>
      <c r="J32" s="1156">
        <v>376</v>
      </c>
      <c r="K32" s="1156">
        <v>188</v>
      </c>
      <c r="L32" s="1158">
        <f t="shared" ref="L32" si="4">L31-J32+K32</f>
        <v>3438.2</v>
      </c>
      <c r="M32" s="1158">
        <v>43</v>
      </c>
      <c r="N32" s="1156">
        <v>43</v>
      </c>
      <c r="O32" s="1156">
        <f t="shared" ref="O32" si="5">O31-M32+N32</f>
        <v>129</v>
      </c>
      <c r="P32" s="1158">
        <f t="shared" ref="P32" si="6">L32+O32</f>
        <v>3567.2</v>
      </c>
      <c r="Q32" s="1158">
        <f t="shared" ref="Q32" si="7">I32+P32</f>
        <v>15764.2</v>
      </c>
    </row>
    <row r="33" spans="1:17" s="148" customFormat="1" ht="15.75">
      <c r="A33" s="849"/>
      <c r="B33" s="440" t="s">
        <v>414</v>
      </c>
      <c r="C33" s="1156">
        <v>0</v>
      </c>
      <c r="D33" s="1156">
        <v>376</v>
      </c>
      <c r="E33" s="623">
        <f t="shared" ref="E33" si="8">E32-C33+D33</f>
        <v>10463</v>
      </c>
      <c r="F33" s="1157">
        <v>345</v>
      </c>
      <c r="G33" s="1156">
        <v>345</v>
      </c>
      <c r="H33" s="1158">
        <f t="shared" ref="H33" si="9">H32-F33+G33</f>
        <v>2110</v>
      </c>
      <c r="I33" s="1158">
        <f t="shared" ref="I33" si="10">E33+H33</f>
        <v>12573</v>
      </c>
      <c r="J33" s="1156">
        <v>26</v>
      </c>
      <c r="K33" s="1156">
        <v>496</v>
      </c>
      <c r="L33" s="1158">
        <f t="shared" ref="L33" si="11">L32-J33+K33</f>
        <v>3908.2</v>
      </c>
      <c r="M33" s="1158">
        <v>43</v>
      </c>
      <c r="N33" s="1156">
        <v>43</v>
      </c>
      <c r="O33" s="1156">
        <f t="shared" ref="O33" si="12">O32-M33+N33</f>
        <v>129</v>
      </c>
      <c r="P33" s="1158">
        <f t="shared" ref="P33" si="13">L33+O33</f>
        <v>4037.2</v>
      </c>
      <c r="Q33" s="1158">
        <f t="shared" ref="Q33" si="14">I33+P33</f>
        <v>16610.2</v>
      </c>
    </row>
    <row r="34" spans="1:17" s="148" customFormat="1" ht="21" customHeight="1">
      <c r="A34" s="849">
        <v>2025</v>
      </c>
      <c r="B34" s="440" t="s">
        <v>415</v>
      </c>
      <c r="C34" s="1156">
        <v>0</v>
      </c>
      <c r="D34" s="1156">
        <v>0</v>
      </c>
      <c r="E34" s="623">
        <f t="shared" ref="E34" si="15">E33-C34+D34</f>
        <v>10463</v>
      </c>
      <c r="F34" s="1157">
        <v>415</v>
      </c>
      <c r="G34" s="1156">
        <v>415</v>
      </c>
      <c r="H34" s="1158">
        <f t="shared" ref="H34" si="16">H33-F34+G34</f>
        <v>2110</v>
      </c>
      <c r="I34" s="1158">
        <f t="shared" ref="I34" si="17">E34+H34</f>
        <v>12573</v>
      </c>
      <c r="J34" s="1156">
        <v>302</v>
      </c>
      <c r="K34" s="1156">
        <v>52</v>
      </c>
      <c r="L34" s="1158">
        <f t="shared" ref="L34" si="18">L33-J34+K34</f>
        <v>3658.2</v>
      </c>
      <c r="M34" s="1158">
        <v>43</v>
      </c>
      <c r="N34" s="1156">
        <v>43</v>
      </c>
      <c r="O34" s="1156">
        <f t="shared" ref="O34" si="19">O33-M34+N34</f>
        <v>129</v>
      </c>
      <c r="P34" s="1158">
        <f t="shared" ref="P34" si="20">L34+O34</f>
        <v>3787.2</v>
      </c>
      <c r="Q34" s="1158">
        <f t="shared" ref="Q34" si="21">I34+P34</f>
        <v>16360.2</v>
      </c>
    </row>
    <row r="35" spans="1:17" s="148" customFormat="1" ht="15.75" customHeight="1">
      <c r="A35" s="849"/>
      <c r="B35" s="440" t="s">
        <v>416</v>
      </c>
      <c r="C35" s="1156">
        <v>0</v>
      </c>
      <c r="D35" s="1156">
        <v>0</v>
      </c>
      <c r="E35" s="623">
        <f t="shared" ref="E35" si="22">E34-C35+D35</f>
        <v>10463</v>
      </c>
      <c r="F35" s="1157">
        <v>345</v>
      </c>
      <c r="G35" s="1156">
        <v>345</v>
      </c>
      <c r="H35" s="1158">
        <f t="shared" ref="H35" si="23">H34-F35+G35</f>
        <v>2110</v>
      </c>
      <c r="I35" s="1158">
        <f t="shared" ref="I35" si="24">E35+H35</f>
        <v>12573</v>
      </c>
      <c r="J35" s="1156">
        <v>0</v>
      </c>
      <c r="K35" s="1156">
        <v>0</v>
      </c>
      <c r="L35" s="1158">
        <f t="shared" ref="L35" si="25">L34-J35+K35</f>
        <v>3658.2</v>
      </c>
      <c r="M35" s="1158">
        <v>43</v>
      </c>
      <c r="N35" s="1156">
        <v>43</v>
      </c>
      <c r="O35" s="1156">
        <f t="shared" ref="O35" si="26">O34-M35+N35</f>
        <v>129</v>
      </c>
      <c r="P35" s="1158">
        <f t="shared" ref="P35" si="27">L35+O35</f>
        <v>3787.2</v>
      </c>
      <c r="Q35" s="1158">
        <f t="shared" ref="Q35" si="28">I35+P35</f>
        <v>16360.2</v>
      </c>
    </row>
    <row r="36" spans="1:17" s="148" customFormat="1" ht="15.75" customHeight="1">
      <c r="A36" s="849"/>
      <c r="B36" s="440" t="s">
        <v>417</v>
      </c>
      <c r="C36" s="1156">
        <v>150</v>
      </c>
      <c r="D36" s="1156">
        <v>200</v>
      </c>
      <c r="E36" s="623">
        <f t="shared" ref="E36" si="29">E35-C36+D36</f>
        <v>10513</v>
      </c>
      <c r="F36" s="1157">
        <v>345</v>
      </c>
      <c r="G36" s="1156">
        <v>345</v>
      </c>
      <c r="H36" s="1158">
        <f t="shared" ref="H36" si="30">H35-F36+G36</f>
        <v>2110</v>
      </c>
      <c r="I36" s="1158">
        <f t="shared" ref="I36" si="31">E36+H36</f>
        <v>12623</v>
      </c>
      <c r="J36" s="1156">
        <v>345.6</v>
      </c>
      <c r="K36" s="1156">
        <v>26</v>
      </c>
      <c r="L36" s="1158">
        <f t="shared" ref="L36" si="32">L35-J36+K36</f>
        <v>3338.6</v>
      </c>
      <c r="M36" s="1158">
        <v>43</v>
      </c>
      <c r="N36" s="1156">
        <v>43</v>
      </c>
      <c r="O36" s="1156">
        <f t="shared" ref="O36" si="33">O35-M36+N36</f>
        <v>129</v>
      </c>
      <c r="P36" s="1158">
        <f t="shared" ref="P36" si="34">L36+O36</f>
        <v>3467.6</v>
      </c>
      <c r="Q36" s="1158">
        <f t="shared" ref="Q36" si="35">I36+P36</f>
        <v>16090.6</v>
      </c>
    </row>
    <row r="37" spans="1:17" s="148" customFormat="1" ht="15.75" customHeight="1">
      <c r="A37" s="849"/>
      <c r="B37" s="440" t="s">
        <v>418</v>
      </c>
      <c r="C37" s="1156">
        <v>0</v>
      </c>
      <c r="D37" s="1156">
        <v>250</v>
      </c>
      <c r="E37" s="623">
        <f t="shared" ref="E37" si="36">E36-C37+D37</f>
        <v>10763</v>
      </c>
      <c r="F37" s="1157">
        <v>380</v>
      </c>
      <c r="G37" s="1156">
        <v>380</v>
      </c>
      <c r="H37" s="1158">
        <f t="shared" ref="H37" si="37">H36-F37+G37</f>
        <v>2110</v>
      </c>
      <c r="I37" s="1158">
        <f t="shared" ref="I37" si="38">E37+H37</f>
        <v>12873</v>
      </c>
      <c r="J37" s="1156">
        <v>26</v>
      </c>
      <c r="K37" s="1156">
        <v>26</v>
      </c>
      <c r="L37" s="1158">
        <f t="shared" ref="L37" si="39">L36-J37+K37</f>
        <v>3338.6</v>
      </c>
      <c r="M37" s="1158">
        <v>43</v>
      </c>
      <c r="N37" s="1156">
        <v>43</v>
      </c>
      <c r="O37" s="1156">
        <f t="shared" ref="O37" si="40">O36-M37+N37</f>
        <v>129</v>
      </c>
      <c r="P37" s="1158">
        <f t="shared" ref="P37" si="41">L37+O37</f>
        <v>3467.6</v>
      </c>
      <c r="Q37" s="1158">
        <f t="shared" ref="Q37" si="42">I37+P37</f>
        <v>16340.6</v>
      </c>
    </row>
    <row r="38" spans="1:17" s="148" customFormat="1" ht="15.75" customHeight="1">
      <c r="A38" s="849"/>
      <c r="B38" s="440" t="s">
        <v>419</v>
      </c>
      <c r="C38" s="1156">
        <v>200</v>
      </c>
      <c r="D38" s="1156">
        <v>532</v>
      </c>
      <c r="E38" s="623">
        <f t="shared" ref="E38" si="43">E37-C38+D38</f>
        <v>11095</v>
      </c>
      <c r="F38" s="1157">
        <v>380</v>
      </c>
      <c r="G38" s="1156">
        <v>380</v>
      </c>
      <c r="H38" s="1158">
        <f t="shared" ref="H38" si="44">H37-F38+G38</f>
        <v>2110</v>
      </c>
      <c r="I38" s="1158">
        <f t="shared" ref="I38" si="45">E38+H38</f>
        <v>13205</v>
      </c>
      <c r="J38" s="1156">
        <v>26</v>
      </c>
      <c r="K38" s="1156">
        <v>684</v>
      </c>
      <c r="L38" s="1158">
        <f t="shared" ref="L38" si="46">L37-J38+K38</f>
        <v>3996.6</v>
      </c>
      <c r="M38" s="1158">
        <v>43</v>
      </c>
      <c r="N38" s="1156">
        <v>43</v>
      </c>
      <c r="O38" s="1156">
        <f t="shared" ref="O38" si="47">O37-M38+N38</f>
        <v>129</v>
      </c>
      <c r="P38" s="1158">
        <f t="shared" ref="P38" si="48">L38+O38</f>
        <v>4125.6000000000004</v>
      </c>
      <c r="Q38" s="1158">
        <f t="shared" ref="Q38" si="49">I38+P38</f>
        <v>17330.599999999999</v>
      </c>
    </row>
    <row r="39" spans="1:17" s="148" customFormat="1" ht="15.75" customHeight="1">
      <c r="A39" s="849"/>
      <c r="B39" s="440" t="s">
        <v>420</v>
      </c>
      <c r="C39" s="1156">
        <v>0</v>
      </c>
      <c r="D39" s="1156">
        <v>0</v>
      </c>
      <c r="E39" s="623">
        <f t="shared" ref="E39" si="50">E38-C39+D39</f>
        <v>11095</v>
      </c>
      <c r="F39" s="1157">
        <v>345</v>
      </c>
      <c r="G39" s="1156">
        <v>345</v>
      </c>
      <c r="H39" s="1158">
        <f t="shared" ref="H39" si="51">H38-F39+G39</f>
        <v>2110</v>
      </c>
      <c r="I39" s="1158">
        <f t="shared" ref="I39" si="52">E39+H39</f>
        <v>13205</v>
      </c>
      <c r="J39" s="1156">
        <v>26</v>
      </c>
      <c r="K39" s="1156">
        <v>26</v>
      </c>
      <c r="L39" s="1158">
        <f t="shared" ref="L39" si="53">L38-J39+K39</f>
        <v>3996.6</v>
      </c>
      <c r="M39" s="1158">
        <v>43</v>
      </c>
      <c r="N39" s="1156">
        <v>43</v>
      </c>
      <c r="O39" s="1156">
        <f t="shared" ref="O39" si="54">O38-M39+N39</f>
        <v>129</v>
      </c>
      <c r="P39" s="1158">
        <f t="shared" ref="P39" si="55">L39+O39</f>
        <v>4125.6000000000004</v>
      </c>
      <c r="Q39" s="1158">
        <f t="shared" ref="Q39" si="56">I39+P39</f>
        <v>17330.599999999999</v>
      </c>
    </row>
    <row r="40" spans="1:17" s="148" customFormat="1" ht="15.75" customHeight="1">
      <c r="A40" s="849"/>
      <c r="B40" s="440" t="s">
        <v>421</v>
      </c>
      <c r="C40" s="1156">
        <v>150</v>
      </c>
      <c r="D40" s="1156">
        <v>250</v>
      </c>
      <c r="E40" s="623">
        <f t="shared" ref="E40" si="57">E39-C40+D40</f>
        <v>11195</v>
      </c>
      <c r="F40" s="1157">
        <v>415</v>
      </c>
      <c r="G40" s="1156">
        <v>415</v>
      </c>
      <c r="H40" s="1158">
        <f t="shared" ref="H40" si="58">H39-F40+G40</f>
        <v>2110</v>
      </c>
      <c r="I40" s="1158">
        <f t="shared" ref="I40" si="59">E40+H40</f>
        <v>13305</v>
      </c>
      <c r="J40" s="1156">
        <v>252</v>
      </c>
      <c r="K40" s="1156">
        <v>828.4</v>
      </c>
      <c r="L40" s="1158">
        <f t="shared" ref="L40" si="60">L39-J40+K40</f>
        <v>4573</v>
      </c>
      <c r="M40" s="1158">
        <v>43</v>
      </c>
      <c r="N40" s="1156">
        <v>50</v>
      </c>
      <c r="O40" s="1156">
        <f t="shared" ref="O40" si="61">O39-M40+N40</f>
        <v>136</v>
      </c>
      <c r="P40" s="1158">
        <f t="shared" ref="P40" si="62">L40+O40</f>
        <v>4709</v>
      </c>
      <c r="Q40" s="1158">
        <f t="shared" ref="Q40" si="63">I40+P40</f>
        <v>18014</v>
      </c>
    </row>
    <row r="41" spans="1:17" s="148" customFormat="1" ht="15.75" customHeight="1">
      <c r="A41" s="849"/>
      <c r="B41" s="440" t="s">
        <v>422</v>
      </c>
      <c r="C41" s="1156">
        <v>188</v>
      </c>
      <c r="D41" s="1156">
        <v>188</v>
      </c>
      <c r="E41" s="623">
        <f t="shared" ref="E41" si="64">E40-C41+D41</f>
        <v>11195</v>
      </c>
      <c r="F41" s="1157">
        <v>345</v>
      </c>
      <c r="G41" s="1156">
        <v>345</v>
      </c>
      <c r="H41" s="1158">
        <f t="shared" ref="H41" si="65">H40-F41+G41</f>
        <v>2110</v>
      </c>
      <c r="I41" s="1158">
        <f t="shared" ref="I41" si="66">E41+H41</f>
        <v>13305</v>
      </c>
      <c r="J41" s="1156">
        <v>0</v>
      </c>
      <c r="K41" s="1156">
        <v>200</v>
      </c>
      <c r="L41" s="1158">
        <f t="shared" ref="L41" si="67">L40-J41+K41</f>
        <v>4773</v>
      </c>
      <c r="M41" s="1158">
        <v>43</v>
      </c>
      <c r="N41" s="1156">
        <v>50</v>
      </c>
      <c r="O41" s="1156">
        <f t="shared" ref="O41" si="68">O40-M41+N41</f>
        <v>143</v>
      </c>
      <c r="P41" s="1158">
        <f t="shared" ref="P41" si="69">L41+O41</f>
        <v>4916</v>
      </c>
      <c r="Q41" s="1158">
        <f t="shared" ref="Q41" si="70">I41+P41</f>
        <v>18221</v>
      </c>
    </row>
    <row r="42" spans="1:17" s="148" customFormat="1" ht="15.75" customHeight="1">
      <c r="A42" s="849"/>
      <c r="B42" s="440" t="s">
        <v>423</v>
      </c>
      <c r="C42" s="1156">
        <v>0</v>
      </c>
      <c r="D42" s="1156">
        <v>180</v>
      </c>
      <c r="E42" s="623">
        <f t="shared" ref="E42" si="71">E41-C42+D42</f>
        <v>11375</v>
      </c>
      <c r="F42" s="1157">
        <v>345</v>
      </c>
      <c r="G42" s="1156">
        <v>345</v>
      </c>
      <c r="H42" s="1158">
        <f t="shared" ref="H42" si="72">H41-F42+G42</f>
        <v>2110</v>
      </c>
      <c r="I42" s="1158">
        <f t="shared" ref="I42" si="73">E42+H42</f>
        <v>13485</v>
      </c>
      <c r="J42" s="1156">
        <v>26</v>
      </c>
      <c r="K42" s="1156">
        <v>162.80000000000001</v>
      </c>
      <c r="L42" s="1158">
        <f t="shared" ref="L42" si="74">L41-J42+K42</f>
        <v>4909.8</v>
      </c>
      <c r="M42" s="1158">
        <v>43</v>
      </c>
      <c r="N42" s="1156">
        <v>50</v>
      </c>
      <c r="O42" s="1156">
        <f t="shared" ref="O42" si="75">O41-M42+N42</f>
        <v>150</v>
      </c>
      <c r="P42" s="1158">
        <f t="shared" ref="P42" si="76">L42+O42</f>
        <v>5059.8</v>
      </c>
      <c r="Q42" s="1158">
        <f t="shared" ref="Q42" si="77">I42+P42</f>
        <v>18544.8</v>
      </c>
    </row>
    <row r="43" spans="1:17" s="148" customFormat="1" ht="15.75" customHeight="1">
      <c r="A43" s="849"/>
      <c r="B43" s="440" t="s">
        <v>412</v>
      </c>
      <c r="C43" s="1156">
        <v>0</v>
      </c>
      <c r="D43" s="1156">
        <v>376</v>
      </c>
      <c r="E43" s="623">
        <f t="shared" ref="E43" si="78">E42-C43+D43</f>
        <v>11751</v>
      </c>
      <c r="F43" s="1157">
        <v>380</v>
      </c>
      <c r="G43" s="1156">
        <v>380</v>
      </c>
      <c r="H43" s="1158">
        <f t="shared" ref="H43" si="79">H42-F43+G43</f>
        <v>2110</v>
      </c>
      <c r="I43" s="1158">
        <f t="shared" ref="I43" si="80">E43+H43</f>
        <v>13861</v>
      </c>
      <c r="J43" s="1156">
        <v>428</v>
      </c>
      <c r="K43" s="1156">
        <v>664</v>
      </c>
      <c r="L43" s="1158">
        <f t="shared" ref="L43" si="81">L42-J43+K43</f>
        <v>5145.8</v>
      </c>
      <c r="M43" s="1158">
        <v>50</v>
      </c>
      <c r="N43" s="1156">
        <v>50</v>
      </c>
      <c r="O43" s="1156">
        <f t="shared" ref="O43" si="82">O42-M43+N43</f>
        <v>150</v>
      </c>
      <c r="P43" s="1158">
        <f t="shared" ref="P43" si="83">L43+O43</f>
        <v>5295.8</v>
      </c>
      <c r="Q43" s="1158">
        <f t="shared" ref="Q43" si="84">I43+P43</f>
        <v>19156.8</v>
      </c>
    </row>
    <row r="44" spans="1:17" s="381" customFormat="1" ht="21.2" customHeight="1">
      <c r="A44" s="253" t="s">
        <v>797</v>
      </c>
      <c r="B44" s="1685"/>
      <c r="C44" s="380"/>
      <c r="D44" s="380"/>
      <c r="E44" s="380"/>
      <c r="F44" s="380"/>
      <c r="G44" s="380"/>
      <c r="H44" s="380"/>
      <c r="I44" s="380"/>
      <c r="J44" s="380"/>
      <c r="K44" s="380"/>
      <c r="L44" s="380"/>
      <c r="M44" s="380"/>
      <c r="N44" s="380"/>
      <c r="O44" s="380"/>
      <c r="P44" s="380"/>
      <c r="Q44" s="1686" t="s">
        <v>798</v>
      </c>
    </row>
    <row r="45" spans="1:17" s="381" customFormat="1" ht="14.25" customHeight="1">
      <c r="A45" s="306" t="s">
        <v>799</v>
      </c>
      <c r="B45" s="180"/>
      <c r="Q45" s="1604" t="s">
        <v>800</v>
      </c>
    </row>
    <row r="46" spans="1:17" s="381" customFormat="1" ht="14.25" customHeight="1">
      <c r="A46" s="306" t="s">
        <v>801</v>
      </c>
      <c r="Q46" s="1604" t="s">
        <v>802</v>
      </c>
    </row>
    <row r="47" spans="1:17" s="381" customFormat="1" ht="14.25">
      <c r="A47" s="306" t="s">
        <v>803</v>
      </c>
      <c r="Q47" s="1604" t="s">
        <v>804</v>
      </c>
    </row>
    <row r="48" spans="1:17" s="381" customFormat="1" ht="14.25">
      <c r="A48" s="306" t="s">
        <v>805</v>
      </c>
      <c r="Q48" s="321" t="s">
        <v>806</v>
      </c>
    </row>
    <row r="50" spans="1:17" ht="14.25">
      <c r="A50" s="624" t="s">
        <v>807</v>
      </c>
      <c r="B50" s="1250"/>
      <c r="C50" s="1250"/>
      <c r="D50" s="625"/>
      <c r="E50" s="1250"/>
      <c r="F50" s="1250"/>
      <c r="G50" s="1250"/>
      <c r="H50" s="1250"/>
      <c r="I50" s="1250"/>
      <c r="J50" s="1250"/>
      <c r="K50" s="1250"/>
      <c r="L50" s="1250"/>
      <c r="M50" s="1250"/>
      <c r="N50" s="1250"/>
      <c r="O50" s="1250"/>
      <c r="P50" s="1250"/>
      <c r="Q50" s="1250"/>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tabSelected="1" zoomScale="85" zoomScaleNormal="85" workbookViewId="0">
      <pane ySplit="12" topLeftCell="A22" activePane="bottomLeft" state="frozen"/>
      <selection activeCell="N29" sqref="N29"/>
      <selection pane="bottomLeft" activeCell="N29" sqref="N29"/>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7" width="7.85546875" style="8" customWidth="1"/>
    <col min="18" max="18" width="9.7109375" style="8" customWidth="1"/>
    <col min="19" max="19" width="7.85546875" style="8" customWidth="1"/>
    <col min="20" max="16384" width="7.85546875" style="8"/>
  </cols>
  <sheetData>
    <row r="1" spans="1:19" ht="18" customHeight="1">
      <c r="A1" s="16" t="s">
        <v>1756</v>
      </c>
      <c r="B1" s="10"/>
      <c r="C1" s="10"/>
      <c r="D1" s="10"/>
      <c r="E1" s="10"/>
      <c r="F1" s="10"/>
      <c r="G1" s="10"/>
      <c r="H1" s="10"/>
      <c r="I1" s="10"/>
      <c r="J1" s="10"/>
      <c r="K1" s="10"/>
      <c r="L1" s="10"/>
      <c r="M1" s="10"/>
      <c r="N1" s="10"/>
      <c r="O1" s="10"/>
    </row>
    <row r="2" spans="1:19" ht="18" customHeight="1">
      <c r="A2" s="875" t="s">
        <v>808</v>
      </c>
      <c r="B2" s="10"/>
      <c r="C2" s="10"/>
      <c r="D2" s="10"/>
      <c r="E2" s="10"/>
      <c r="F2" s="10"/>
      <c r="G2" s="10"/>
      <c r="H2" s="10"/>
      <c r="I2" s="10"/>
      <c r="J2" s="10"/>
      <c r="K2" s="10"/>
      <c r="L2" s="10"/>
      <c r="M2" s="10"/>
      <c r="N2" s="10"/>
      <c r="O2" s="10"/>
    </row>
    <row r="3" spans="1:19" ht="18" customHeight="1">
      <c r="A3" s="16" t="s">
        <v>809</v>
      </c>
      <c r="B3" s="10"/>
      <c r="C3" s="10"/>
      <c r="D3" s="10"/>
      <c r="E3" s="10"/>
      <c r="F3" s="10"/>
      <c r="G3" s="10"/>
      <c r="H3" s="10"/>
      <c r="I3" s="10"/>
      <c r="J3" s="10"/>
      <c r="K3" s="10"/>
      <c r="L3" s="10"/>
      <c r="M3" s="10"/>
      <c r="N3" s="10"/>
      <c r="O3" s="10"/>
    </row>
    <row r="4" spans="1:19" ht="18" customHeight="1">
      <c r="A4" s="1358" t="s">
        <v>810</v>
      </c>
      <c r="B4" s="10"/>
      <c r="C4" s="10"/>
      <c r="D4" s="10"/>
      <c r="E4" s="10"/>
      <c r="F4" s="10"/>
      <c r="G4" s="10"/>
      <c r="H4" s="10"/>
      <c r="I4" s="10"/>
      <c r="J4" s="10"/>
      <c r="K4" s="10"/>
      <c r="L4" s="10"/>
      <c r="M4" s="10"/>
      <c r="N4" s="10"/>
      <c r="O4" s="10"/>
    </row>
    <row r="5" spans="1:19" ht="18" customHeight="1">
      <c r="A5" s="16" t="s">
        <v>811</v>
      </c>
      <c r="B5" s="10"/>
      <c r="C5" s="10"/>
      <c r="D5" s="10"/>
      <c r="E5" s="10"/>
      <c r="F5" s="10"/>
      <c r="G5" s="10"/>
      <c r="H5" s="10"/>
      <c r="I5" s="10"/>
      <c r="J5" s="10"/>
      <c r="K5" s="10"/>
      <c r="L5" s="10"/>
      <c r="M5" s="10"/>
      <c r="N5" s="10"/>
      <c r="O5" s="10"/>
    </row>
    <row r="6" spans="1:19" s="1364" customFormat="1" ht="14.25" customHeight="1">
      <c r="A6" s="1359" t="s">
        <v>812</v>
      </c>
      <c r="B6" s="1360"/>
      <c r="C6" s="1361"/>
      <c r="D6" s="1361"/>
      <c r="E6" s="1361"/>
      <c r="F6" s="1361"/>
      <c r="G6" s="1361"/>
      <c r="H6" s="1361"/>
      <c r="I6" s="1361"/>
      <c r="J6" s="1361"/>
      <c r="K6" s="1362"/>
      <c r="L6" s="1362"/>
      <c r="M6" s="1362"/>
      <c r="N6" s="1362"/>
      <c r="O6" s="1363" t="s">
        <v>813</v>
      </c>
    </row>
    <row r="7" spans="1:19" s="1364" customFormat="1" ht="18" customHeight="1">
      <c r="A7" s="1886" t="s">
        <v>379</v>
      </c>
      <c r="B7" s="1887"/>
      <c r="C7" s="1365" t="s">
        <v>371</v>
      </c>
      <c r="D7" s="1367"/>
      <c r="E7" s="1361"/>
      <c r="F7" s="1361"/>
      <c r="G7" s="1368"/>
      <c r="H7" s="1369" t="s">
        <v>372</v>
      </c>
      <c r="I7" s="1668"/>
      <c r="J7" s="1366" t="s">
        <v>373</v>
      </c>
      <c r="K7" s="1669"/>
      <c r="L7" s="1362"/>
      <c r="M7" s="1362"/>
      <c r="N7" s="1368"/>
      <c r="O7" s="301" t="s">
        <v>374</v>
      </c>
    </row>
    <row r="8" spans="1:19" s="50" customFormat="1" ht="18" customHeight="1">
      <c r="A8" s="1905"/>
      <c r="B8" s="1906"/>
      <c r="C8" s="1374" t="s">
        <v>814</v>
      </c>
      <c r="D8" s="1375"/>
      <c r="E8" s="1375"/>
      <c r="F8" s="1376"/>
      <c r="G8" s="1377" t="s">
        <v>377</v>
      </c>
      <c r="H8" s="888"/>
      <c r="I8" s="1378"/>
      <c r="J8" s="572" t="s">
        <v>814</v>
      </c>
      <c r="K8" s="1375"/>
      <c r="L8" s="1375"/>
      <c r="M8" s="1376"/>
      <c r="N8" s="1377" t="s">
        <v>377</v>
      </c>
      <c r="O8" s="187"/>
    </row>
    <row r="9" spans="1:19" s="50" customFormat="1" ht="18" customHeight="1">
      <c r="A9" s="1905"/>
      <c r="B9" s="1906"/>
      <c r="C9" s="84"/>
      <c r="D9" s="1383" t="s">
        <v>500</v>
      </c>
      <c r="E9" s="1388"/>
      <c r="F9" s="84"/>
      <c r="G9" s="83"/>
      <c r="H9" s="108" t="s">
        <v>375</v>
      </c>
      <c r="I9" s="1378" t="s">
        <v>382</v>
      </c>
      <c r="J9" s="1670"/>
      <c r="K9" s="1383" t="s">
        <v>500</v>
      </c>
      <c r="L9" s="1383"/>
      <c r="M9" s="83"/>
      <c r="N9" s="83"/>
      <c r="O9" s="1384" t="s">
        <v>375</v>
      </c>
    </row>
    <row r="10" spans="1:19" s="50" customFormat="1" ht="18" customHeight="1">
      <c r="A10" s="1901" t="s">
        <v>387</v>
      </c>
      <c r="B10" s="1902"/>
      <c r="C10" s="1385" t="s">
        <v>432</v>
      </c>
      <c r="D10" s="1381" t="s">
        <v>815</v>
      </c>
      <c r="E10" s="1671" t="s">
        <v>391</v>
      </c>
      <c r="F10" s="1381" t="s">
        <v>816</v>
      </c>
      <c r="G10" s="1388" t="s">
        <v>382</v>
      </c>
      <c r="H10" s="1382"/>
      <c r="I10" s="173" t="s">
        <v>393</v>
      </c>
      <c r="J10" s="1387" t="s">
        <v>432</v>
      </c>
      <c r="K10" s="1381" t="s">
        <v>815</v>
      </c>
      <c r="L10" s="1383" t="s">
        <v>391</v>
      </c>
      <c r="M10" s="1383" t="s">
        <v>816</v>
      </c>
      <c r="N10" s="1388" t="s">
        <v>382</v>
      </c>
      <c r="O10" s="1384"/>
    </row>
    <row r="11" spans="1:19" s="39" customFormat="1" ht="18" customHeight="1">
      <c r="A11" s="1901"/>
      <c r="B11" s="1902"/>
      <c r="C11" s="1389" t="s">
        <v>817</v>
      </c>
      <c r="D11" s="1209" t="s">
        <v>818</v>
      </c>
      <c r="E11" s="1389" t="s">
        <v>467</v>
      </c>
      <c r="F11" s="1389" t="s">
        <v>400</v>
      </c>
      <c r="G11" s="1389" t="s">
        <v>393</v>
      </c>
      <c r="H11" s="97" t="s">
        <v>380</v>
      </c>
      <c r="I11" s="1672"/>
      <c r="J11" s="1389" t="s">
        <v>817</v>
      </c>
      <c r="K11" s="63" t="s">
        <v>818</v>
      </c>
      <c r="L11" s="63" t="s">
        <v>467</v>
      </c>
      <c r="M11" s="63" t="s">
        <v>400</v>
      </c>
      <c r="N11" s="63" t="s">
        <v>393</v>
      </c>
      <c r="O11" s="51" t="s">
        <v>380</v>
      </c>
      <c r="P11" s="7"/>
      <c r="Q11" s="7"/>
      <c r="R11" s="7"/>
      <c r="S11" s="7"/>
    </row>
    <row r="12" spans="1:19" s="50" customFormat="1" ht="18" customHeight="1">
      <c r="A12" s="1903"/>
      <c r="B12" s="1904"/>
      <c r="C12" s="1393"/>
      <c r="D12" s="1393" t="s">
        <v>819</v>
      </c>
      <c r="E12" s="89" t="s">
        <v>820</v>
      </c>
      <c r="F12" s="1393"/>
      <c r="G12" s="1673"/>
      <c r="H12" s="1393"/>
      <c r="I12" s="1674"/>
      <c r="J12" s="1390"/>
      <c r="K12" s="1393" t="s">
        <v>819</v>
      </c>
      <c r="L12" s="89" t="s">
        <v>820</v>
      </c>
      <c r="M12" s="1673"/>
      <c r="N12" s="1673"/>
      <c r="O12" s="1391"/>
      <c r="P12" s="1675"/>
      <c r="Q12" s="1675"/>
      <c r="R12" s="1676"/>
      <c r="S12" s="1675"/>
    </row>
    <row r="13" spans="1:19" s="306" customFormat="1" ht="20.25" customHeight="1">
      <c r="A13" s="405">
        <v>2015</v>
      </c>
      <c r="B13" s="497"/>
      <c r="C13" s="1395">
        <v>12338.229197782712</v>
      </c>
      <c r="D13" s="670">
        <v>25189.572192268992</v>
      </c>
      <c r="E13" s="666">
        <v>10935.195717991073</v>
      </c>
      <c r="F13" s="664">
        <v>4125.1140618442832</v>
      </c>
      <c r="G13" s="670">
        <v>52587.998403793084</v>
      </c>
      <c r="H13" s="664">
        <v>138412.77532764338</v>
      </c>
      <c r="I13" s="671">
        <v>191000.77373143646</v>
      </c>
      <c r="J13" s="664">
        <v>8449.2090624463635</v>
      </c>
      <c r="K13" s="643">
        <v>25911.089971396086</v>
      </c>
      <c r="L13" s="666">
        <v>5750.5352879508473</v>
      </c>
      <c r="M13" s="664">
        <v>12448.79048155471</v>
      </c>
      <c r="N13" s="675">
        <v>52559.55778207141</v>
      </c>
      <c r="O13" s="1677">
        <v>138441.20682400296</v>
      </c>
      <c r="P13" s="778"/>
      <c r="Q13" s="1073"/>
      <c r="R13" s="1073"/>
      <c r="S13" s="1073"/>
    </row>
    <row r="14" spans="1:19" s="408" customFormat="1" ht="14.85" customHeight="1">
      <c r="A14" s="356">
        <v>2016</v>
      </c>
      <c r="B14" s="551"/>
      <c r="C14" s="1395">
        <v>13322.619717184172</v>
      </c>
      <c r="D14" s="670">
        <v>25399.302219789704</v>
      </c>
      <c r="E14" s="666">
        <v>13391.129491687345</v>
      </c>
      <c r="F14" s="664">
        <v>3648.0004800348456</v>
      </c>
      <c r="G14" s="670">
        <v>55761.027364558686</v>
      </c>
      <c r="H14" s="664">
        <v>130289.51337180738</v>
      </c>
      <c r="I14" s="671">
        <v>186050.53414062137</v>
      </c>
      <c r="J14" s="664">
        <v>9791.9844748150681</v>
      </c>
      <c r="K14" s="643">
        <v>26376.895345730412</v>
      </c>
      <c r="L14" s="666">
        <v>5814.8920479319322</v>
      </c>
      <c r="M14" s="664">
        <v>12842.668923176989</v>
      </c>
      <c r="N14" s="675">
        <v>54826.493983143766</v>
      </c>
      <c r="O14" s="1677">
        <v>131223.96980251285</v>
      </c>
      <c r="P14" s="778"/>
      <c r="Q14" s="1073"/>
      <c r="R14" s="1073"/>
      <c r="S14" s="1073"/>
    </row>
    <row r="15" spans="1:19" s="408" customFormat="1" ht="14.85" customHeight="1">
      <c r="A15" s="356">
        <v>2017</v>
      </c>
      <c r="B15" s="551"/>
      <c r="C15" s="1395">
        <v>13224.880169996653</v>
      </c>
      <c r="D15" s="670">
        <v>26108.650419549496</v>
      </c>
      <c r="E15" s="666">
        <v>14769.97242190436</v>
      </c>
      <c r="F15" s="664">
        <v>3679.4466524546515</v>
      </c>
      <c r="G15" s="670">
        <v>57782.962808951124</v>
      </c>
      <c r="H15" s="664">
        <v>129660.93887149695</v>
      </c>
      <c r="I15" s="671">
        <v>187443.85848895868</v>
      </c>
      <c r="J15" s="664">
        <v>8373.7614167460142</v>
      </c>
      <c r="K15" s="643">
        <v>27783.284980878758</v>
      </c>
      <c r="L15" s="666">
        <v>6107.4272603876352</v>
      </c>
      <c r="M15" s="664">
        <v>13633.07870770893</v>
      </c>
      <c r="N15" s="675">
        <v>55897.584317848989</v>
      </c>
      <c r="O15" s="1677">
        <v>131546.30366312145</v>
      </c>
      <c r="P15" s="778"/>
      <c r="Q15" s="1073"/>
      <c r="R15" s="1073"/>
      <c r="S15" s="1073"/>
    </row>
    <row r="16" spans="1:19" s="321" customFormat="1" ht="14.25" customHeight="1">
      <c r="A16" s="747">
        <v>2018</v>
      </c>
      <c r="B16" s="748"/>
      <c r="C16" s="1152">
        <v>13700.065966641987</v>
      </c>
      <c r="D16" s="772">
        <v>29500.543871063212</v>
      </c>
      <c r="E16" s="1153">
        <v>15268.849943895733</v>
      </c>
      <c r="F16" s="724">
        <v>3979.0083192753309</v>
      </c>
      <c r="G16" s="772">
        <v>62448.439991715662</v>
      </c>
      <c r="H16" s="724">
        <v>130201.03531637968</v>
      </c>
      <c r="I16" s="1154">
        <v>192649.43830809538</v>
      </c>
      <c r="J16" s="724">
        <v>8922.0947499335871</v>
      </c>
      <c r="K16" s="1133">
        <v>28640.910506081611</v>
      </c>
      <c r="L16" s="1153">
        <v>5962.2524878812819</v>
      </c>
      <c r="M16" s="724">
        <v>14372.261661857876</v>
      </c>
      <c r="N16" s="735">
        <v>57897.561530754348</v>
      </c>
      <c r="O16" s="1155">
        <v>134751.8405038557</v>
      </c>
      <c r="P16" s="778"/>
      <c r="Q16" s="1073"/>
      <c r="R16" s="1073"/>
      <c r="S16" s="1073"/>
    </row>
    <row r="17" spans="1:19" s="321" customFormat="1" ht="14.25" customHeight="1">
      <c r="A17" s="747">
        <v>2019</v>
      </c>
      <c r="B17" s="748"/>
      <c r="C17" s="1152">
        <v>15457.608671876529</v>
      </c>
      <c r="D17" s="772">
        <v>30750.642866545204</v>
      </c>
      <c r="E17" s="1153">
        <v>17357.256737510259</v>
      </c>
      <c r="F17" s="724">
        <v>4949.9845587032196</v>
      </c>
      <c r="G17" s="772">
        <v>68515.450056265778</v>
      </c>
      <c r="H17" s="724">
        <v>136391.29871570531</v>
      </c>
      <c r="I17" s="1154">
        <v>204906.77877197106</v>
      </c>
      <c r="J17" s="724">
        <v>9232.5869365932631</v>
      </c>
      <c r="K17" s="1133">
        <v>31529.135210692151</v>
      </c>
      <c r="L17" s="1153">
        <v>6046.6652735764028</v>
      </c>
      <c r="M17" s="724">
        <v>15501.575138992888</v>
      </c>
      <c r="N17" s="735">
        <v>62310.018441341774</v>
      </c>
      <c r="O17" s="1155">
        <v>142596.79664643575</v>
      </c>
      <c r="P17" s="778"/>
      <c r="Q17" s="1073"/>
      <c r="R17" s="1073"/>
      <c r="S17" s="1073"/>
    </row>
    <row r="18" spans="1:19" s="321" customFormat="1" ht="14.25" customHeight="1">
      <c r="A18" s="747">
        <v>2020</v>
      </c>
      <c r="B18" s="748"/>
      <c r="C18" s="1152">
        <v>14825.111542872424</v>
      </c>
      <c r="D18" s="772">
        <v>33581.620905857257</v>
      </c>
      <c r="E18" s="1153">
        <v>18402.983215341588</v>
      </c>
      <c r="F18" s="724">
        <v>4702.130865142738</v>
      </c>
      <c r="G18" s="772">
        <v>71511.822925098095</v>
      </c>
      <c r="H18" s="724">
        <v>135841.65560143243</v>
      </c>
      <c r="I18" s="1154">
        <v>207353.52852653054</v>
      </c>
      <c r="J18" s="724">
        <v>9652.0810035674858</v>
      </c>
      <c r="K18" s="1133">
        <v>33673.111865645915</v>
      </c>
      <c r="L18" s="1153">
        <v>5098.2383874026818</v>
      </c>
      <c r="M18" s="724">
        <v>16453.743705156634</v>
      </c>
      <c r="N18" s="735">
        <v>64877.139635812084</v>
      </c>
      <c r="O18" s="1155">
        <v>142476.42536248692</v>
      </c>
      <c r="P18" s="778"/>
      <c r="Q18" s="1073"/>
      <c r="R18" s="1073"/>
      <c r="S18" s="1073"/>
    </row>
    <row r="19" spans="1:19" s="321" customFormat="1" ht="14.25" customHeight="1">
      <c r="A19" s="747">
        <v>2021</v>
      </c>
      <c r="B19" s="748"/>
      <c r="C19" s="1152">
        <v>17858.779558973598</v>
      </c>
      <c r="D19" s="772">
        <v>34209.695944195992</v>
      </c>
      <c r="E19" s="1153">
        <v>19696.254905242717</v>
      </c>
      <c r="F19" s="724">
        <v>4313.840915976305</v>
      </c>
      <c r="G19" s="772">
        <v>76078.554727566807</v>
      </c>
      <c r="H19" s="724">
        <v>141423.04350746062</v>
      </c>
      <c r="I19" s="1154">
        <v>217501.64823502745</v>
      </c>
      <c r="J19" s="724">
        <v>11893.637026597276</v>
      </c>
      <c r="K19" s="1133">
        <v>35389.64355627937</v>
      </c>
      <c r="L19" s="1153">
        <v>4808.0353055277465</v>
      </c>
      <c r="M19" s="724">
        <v>16269.471439292822</v>
      </c>
      <c r="N19" s="735">
        <v>68360.737579266366</v>
      </c>
      <c r="O19" s="1155">
        <v>149140.93805809924</v>
      </c>
      <c r="P19" s="778"/>
      <c r="Q19" s="1073"/>
      <c r="R19" s="1073"/>
      <c r="S19" s="1073"/>
    </row>
    <row r="20" spans="1:19" s="321" customFormat="1" ht="14.25" customHeight="1">
      <c r="A20" s="747">
        <v>2022</v>
      </c>
      <c r="B20" s="748"/>
      <c r="C20" s="1152">
        <v>21002.061763606922</v>
      </c>
      <c r="D20" s="772">
        <v>34836.049921396683</v>
      </c>
      <c r="E20" s="1153">
        <v>19432.111456099254</v>
      </c>
      <c r="F20" s="724">
        <v>6165.7913863230751</v>
      </c>
      <c r="G20" s="772">
        <v>81435.994527425923</v>
      </c>
      <c r="H20" s="724">
        <v>142658.59267128466</v>
      </c>
      <c r="I20" s="1154">
        <v>224094.63719870997</v>
      </c>
      <c r="J20" s="724">
        <v>11615.434922380509</v>
      </c>
      <c r="K20" s="1133">
        <v>37825.411726042817</v>
      </c>
      <c r="L20" s="1153">
        <v>4600.1381998248098</v>
      </c>
      <c r="M20" s="724">
        <v>18292.234715514944</v>
      </c>
      <c r="N20" s="735">
        <v>72333.119563763074</v>
      </c>
      <c r="O20" s="1155">
        <v>151761.51585320084</v>
      </c>
      <c r="P20" s="778"/>
      <c r="Q20" s="1073"/>
      <c r="R20" s="1073"/>
      <c r="S20" s="1073"/>
    </row>
    <row r="21" spans="1:19" s="321" customFormat="1" ht="14.25" customHeight="1">
      <c r="A21" s="747">
        <v>2023</v>
      </c>
      <c r="B21" s="748"/>
      <c r="C21" s="1152">
        <v>25708.920488742428</v>
      </c>
      <c r="D21" s="772">
        <v>36306.438223005869</v>
      </c>
      <c r="E21" s="1153">
        <v>20818.415610031887</v>
      </c>
      <c r="F21" s="724">
        <v>5992.6034799139316</v>
      </c>
      <c r="G21" s="772">
        <v>88826.302127659583</v>
      </c>
      <c r="H21" s="724">
        <v>149701.82765957445</v>
      </c>
      <c r="I21" s="1154">
        <v>238528.12978723401</v>
      </c>
      <c r="J21" s="724">
        <v>12380.091677678865</v>
      </c>
      <c r="K21" s="1133">
        <v>39516.968376497149</v>
      </c>
      <c r="L21" s="1153">
        <v>4708.3111936773275</v>
      </c>
      <c r="M21" s="724">
        <v>17222.373993364108</v>
      </c>
      <c r="N21" s="735">
        <v>73827.797872340423</v>
      </c>
      <c r="O21" s="1155">
        <v>164700.33191489361</v>
      </c>
      <c r="P21" s="778"/>
      <c r="Q21" s="1073"/>
      <c r="R21" s="1073"/>
      <c r="S21" s="1073"/>
    </row>
    <row r="22" spans="1:19" s="321" customFormat="1" ht="14.25" customHeight="1">
      <c r="A22" s="907">
        <v>2024</v>
      </c>
      <c r="B22" s="999"/>
      <c r="C22" s="1069">
        <f t="shared" ref="C22:O22" si="0">C27</f>
        <v>26039.231394276245</v>
      </c>
      <c r="D22" s="1032">
        <f t="shared" si="0"/>
        <v>36160.126274693896</v>
      </c>
      <c r="E22" s="1070">
        <f t="shared" si="0"/>
        <v>22065.542366984151</v>
      </c>
      <c r="F22" s="725">
        <f t="shared" si="0"/>
        <v>5634.1166633557023</v>
      </c>
      <c r="G22" s="1032">
        <f t="shared" si="0"/>
        <v>89898.948936170214</v>
      </c>
      <c r="H22" s="725">
        <f t="shared" si="0"/>
        <v>157928.67234042555</v>
      </c>
      <c r="I22" s="1071">
        <f t="shared" si="0"/>
        <v>247827.62127659575</v>
      </c>
      <c r="J22" s="725">
        <f t="shared" si="0"/>
        <v>11690.662380256965</v>
      </c>
      <c r="K22" s="1042">
        <f t="shared" si="0"/>
        <v>38944.58166446878</v>
      </c>
      <c r="L22" s="1070">
        <f t="shared" si="0"/>
        <v>5210.4576074336073</v>
      </c>
      <c r="M22" s="725">
        <f t="shared" si="0"/>
        <v>17197.435249246348</v>
      </c>
      <c r="N22" s="1030">
        <f t="shared" si="0"/>
        <v>73043.204255319142</v>
      </c>
      <c r="O22" s="1072">
        <f t="shared" si="0"/>
        <v>174784.4170212766</v>
      </c>
      <c r="P22" s="778"/>
      <c r="Q22" s="1073"/>
      <c r="R22" s="1073"/>
      <c r="S22" s="1073"/>
    </row>
    <row r="23" spans="1:19" s="321" customFormat="1" ht="21" customHeight="1">
      <c r="A23" s="747">
        <v>2023</v>
      </c>
      <c r="B23" s="748" t="s">
        <v>238</v>
      </c>
      <c r="C23" s="1152">
        <v>25708.920488742428</v>
      </c>
      <c r="D23" s="772">
        <v>36306.438223005869</v>
      </c>
      <c r="E23" s="1153">
        <v>20818.415610031887</v>
      </c>
      <c r="F23" s="724">
        <v>5992.6034799139316</v>
      </c>
      <c r="G23" s="772">
        <v>88826.302127659583</v>
      </c>
      <c r="H23" s="724">
        <v>149701.82765957445</v>
      </c>
      <c r="I23" s="1154">
        <v>238528.12978723401</v>
      </c>
      <c r="J23" s="724">
        <v>12380.091677678865</v>
      </c>
      <c r="K23" s="1133">
        <v>39516.968376497149</v>
      </c>
      <c r="L23" s="1153">
        <v>4708.3111936773275</v>
      </c>
      <c r="M23" s="724">
        <v>17222.373993364108</v>
      </c>
      <c r="N23" s="735">
        <v>73827.797872340423</v>
      </c>
      <c r="O23" s="1155">
        <v>164700.33191489361</v>
      </c>
      <c r="P23" s="778"/>
      <c r="Q23" s="1073"/>
      <c r="R23" s="1073"/>
      <c r="S23" s="1073"/>
    </row>
    <row r="24" spans="1:19" s="321" customFormat="1" ht="21" customHeight="1">
      <c r="A24" s="747">
        <v>2024</v>
      </c>
      <c r="B24" s="748" t="s">
        <v>239</v>
      </c>
      <c r="C24" s="1152">
        <v>24695.429141669054</v>
      </c>
      <c r="D24" s="772">
        <v>37179.642786495126</v>
      </c>
      <c r="E24" s="1153">
        <v>21820.900278672696</v>
      </c>
      <c r="F24" s="724">
        <v>6105.6930320755891</v>
      </c>
      <c r="G24" s="772">
        <v>89801.614893617021</v>
      </c>
      <c r="H24" s="724">
        <v>150304.48085106382</v>
      </c>
      <c r="I24" s="1154">
        <v>240106.09574468085</v>
      </c>
      <c r="J24" s="724">
        <v>12524.801149300234</v>
      </c>
      <c r="K24" s="1133">
        <v>38678.742525592745</v>
      </c>
      <c r="L24" s="1153">
        <v>4498.3017465826752</v>
      </c>
      <c r="M24" s="724">
        <v>18135.606249553661</v>
      </c>
      <c r="N24" s="735">
        <v>73837.359574468093</v>
      </c>
      <c r="O24" s="1155">
        <v>166268.73617021277</v>
      </c>
      <c r="P24" s="778"/>
      <c r="Q24" s="1073"/>
      <c r="R24" s="1073"/>
      <c r="S24" s="1073"/>
    </row>
    <row r="25" spans="1:19" s="321" customFormat="1" ht="15" customHeight="1">
      <c r="A25" s="747"/>
      <c r="B25" s="748" t="s">
        <v>240</v>
      </c>
      <c r="C25" s="1152">
        <v>25960.693676159513</v>
      </c>
      <c r="D25" s="772">
        <v>37665.35534526618</v>
      </c>
      <c r="E25" s="1153">
        <v>21033.560678228005</v>
      </c>
      <c r="F25" s="724">
        <v>6491.7599316717478</v>
      </c>
      <c r="G25" s="772">
        <v>91151.519148936175</v>
      </c>
      <c r="H25" s="724">
        <v>152498.76382978723</v>
      </c>
      <c r="I25" s="1154">
        <v>243650.28297872341</v>
      </c>
      <c r="J25" s="724">
        <v>11691.361135835523</v>
      </c>
      <c r="K25" s="1133">
        <v>39272.611155599348</v>
      </c>
      <c r="L25" s="1153">
        <v>4877.2858344714559</v>
      </c>
      <c r="M25" s="724">
        <v>17142.679058777285</v>
      </c>
      <c r="N25" s="735">
        <v>72983.98723404255</v>
      </c>
      <c r="O25" s="1155">
        <v>170666.29574468086</v>
      </c>
      <c r="P25" s="778"/>
      <c r="Q25" s="1073"/>
      <c r="R25" s="1073"/>
      <c r="S25" s="1073"/>
    </row>
    <row r="26" spans="1:19" s="321" customFormat="1" ht="15" customHeight="1">
      <c r="A26" s="747"/>
      <c r="B26" s="748" t="s">
        <v>237</v>
      </c>
      <c r="C26" s="1152">
        <v>27976.981387339976</v>
      </c>
      <c r="D26" s="772">
        <v>37351.602250639386</v>
      </c>
      <c r="E26" s="1153">
        <v>21946.97107317136</v>
      </c>
      <c r="F26" s="724">
        <v>6201.5936572183709</v>
      </c>
      <c r="G26" s="772">
        <v>93477.235957446814</v>
      </c>
      <c r="H26" s="724">
        <v>156250.88085106382</v>
      </c>
      <c r="I26" s="1154">
        <v>249728.14680851065</v>
      </c>
      <c r="J26" s="724">
        <v>11832.233133446745</v>
      </c>
      <c r="K26" s="1133">
        <v>40358.003460695058</v>
      </c>
      <c r="L26" s="1153">
        <v>5308.1028577197685</v>
      </c>
      <c r="M26" s="724">
        <v>17674.907044088013</v>
      </c>
      <c r="N26" s="735">
        <v>75173.238085106379</v>
      </c>
      <c r="O26" s="1155">
        <v>174554.87872340425</v>
      </c>
      <c r="P26" s="778"/>
      <c r="Q26" s="1073"/>
      <c r="R26" s="1073"/>
      <c r="S26" s="1073"/>
    </row>
    <row r="27" spans="1:19" s="321" customFormat="1" ht="15" customHeight="1">
      <c r="A27" s="747"/>
      <c r="B27" s="748" t="s">
        <v>238</v>
      </c>
      <c r="C27" s="1152">
        <v>26039.231394276245</v>
      </c>
      <c r="D27" s="772">
        <v>36160.126274693896</v>
      </c>
      <c r="E27" s="1153">
        <v>22065.542366984151</v>
      </c>
      <c r="F27" s="724">
        <v>5634.1166633557023</v>
      </c>
      <c r="G27" s="772">
        <v>89898.948936170214</v>
      </c>
      <c r="H27" s="724">
        <v>157928.67234042555</v>
      </c>
      <c r="I27" s="1154">
        <v>247827.62127659575</v>
      </c>
      <c r="J27" s="724">
        <v>11690.662380256965</v>
      </c>
      <c r="K27" s="1133">
        <v>38944.58166446878</v>
      </c>
      <c r="L27" s="1153">
        <v>5210.4576074336073</v>
      </c>
      <c r="M27" s="724">
        <v>17197.435249246348</v>
      </c>
      <c r="N27" s="735">
        <v>73043.204255319142</v>
      </c>
      <c r="O27" s="1155">
        <v>174784.4170212766</v>
      </c>
      <c r="P27" s="778"/>
      <c r="Q27" s="1073"/>
      <c r="R27" s="1073"/>
      <c r="S27" s="1073"/>
    </row>
    <row r="28" spans="1:19" s="321" customFormat="1" ht="21" customHeight="1">
      <c r="A28" s="747">
        <v>2025</v>
      </c>
      <c r="B28" s="748" t="s">
        <v>239</v>
      </c>
      <c r="C28" s="1152">
        <f t="shared" ref="C28:O28" si="1">C36</f>
        <v>28544.259349633408</v>
      </c>
      <c r="D28" s="772">
        <f t="shared" si="1"/>
        <v>37701.855598050708</v>
      </c>
      <c r="E28" s="1153">
        <f t="shared" si="1"/>
        <v>22094.26361380814</v>
      </c>
      <c r="F28" s="724">
        <f t="shared" si="1"/>
        <v>6005.012750032176</v>
      </c>
      <c r="G28" s="772">
        <f t="shared" si="1"/>
        <v>94345.45319148936</v>
      </c>
      <c r="H28" s="724">
        <f t="shared" si="1"/>
        <v>155772.73191489361</v>
      </c>
      <c r="I28" s="1154">
        <f t="shared" si="1"/>
        <v>250118.185106383</v>
      </c>
      <c r="J28" s="724">
        <f t="shared" si="1"/>
        <v>12758.715424131378</v>
      </c>
      <c r="K28" s="1133">
        <f t="shared" si="1"/>
        <v>39207.127311221746</v>
      </c>
      <c r="L28" s="1153">
        <f t="shared" si="1"/>
        <v>5378.026284896403</v>
      </c>
      <c r="M28" s="724">
        <f t="shared" si="1"/>
        <v>17656.842290519435</v>
      </c>
      <c r="N28" s="735">
        <f t="shared" si="1"/>
        <v>75000.617021276601</v>
      </c>
      <c r="O28" s="1155">
        <f t="shared" si="1"/>
        <v>175117.56808510638</v>
      </c>
      <c r="P28" s="778"/>
      <c r="Q28" s="1073"/>
      <c r="R28" s="1073"/>
      <c r="S28" s="1073"/>
    </row>
    <row r="29" spans="1:19" s="321" customFormat="1" ht="15" customHeight="1">
      <c r="A29" s="747"/>
      <c r="B29" s="748" t="s">
        <v>240</v>
      </c>
      <c r="C29" s="1152">
        <f t="shared" ref="C29:O29" si="2">C39</f>
        <v>28277.609653895124</v>
      </c>
      <c r="D29" s="772">
        <f t="shared" si="2"/>
        <v>37683.680462045188</v>
      </c>
      <c r="E29" s="1153">
        <f t="shared" si="2"/>
        <v>23873.955026587872</v>
      </c>
      <c r="F29" s="724">
        <f t="shared" si="2"/>
        <v>6391.2546926431705</v>
      </c>
      <c r="G29" s="772">
        <f t="shared" si="2"/>
        <v>96226.619148936166</v>
      </c>
      <c r="H29" s="724">
        <f t="shared" si="2"/>
        <v>156121.42765957446</v>
      </c>
      <c r="I29" s="1154">
        <f t="shared" si="2"/>
        <v>252348.04680851064</v>
      </c>
      <c r="J29" s="724">
        <f t="shared" si="2"/>
        <v>13361.463581661084</v>
      </c>
      <c r="K29" s="1133">
        <f t="shared" si="2"/>
        <v>39323.240867138069</v>
      </c>
      <c r="L29" s="1153">
        <f t="shared" si="2"/>
        <v>5188.2663070294784</v>
      </c>
      <c r="M29" s="724">
        <f t="shared" si="2"/>
        <v>17448.177756212892</v>
      </c>
      <c r="N29" s="735">
        <f t="shared" si="2"/>
        <v>75321.219148936172</v>
      </c>
      <c r="O29" s="1155">
        <f t="shared" si="2"/>
        <v>177026.82765957445</v>
      </c>
      <c r="P29" s="314"/>
      <c r="Q29" s="783"/>
      <c r="R29" s="783"/>
      <c r="S29" s="783"/>
    </row>
    <row r="30" spans="1:19" s="321" customFormat="1" ht="15" customHeight="1">
      <c r="A30" s="907"/>
      <c r="B30" s="999" t="s">
        <v>237</v>
      </c>
      <c r="C30" s="1069">
        <f t="shared" ref="C30:O30" si="3">C42</f>
        <v>26108.736375268898</v>
      </c>
      <c r="D30" s="1032">
        <f t="shared" si="3"/>
        <v>38128.437790530879</v>
      </c>
      <c r="E30" s="1070">
        <f t="shared" si="3"/>
        <v>25624.244830618372</v>
      </c>
      <c r="F30" s="725">
        <f t="shared" si="3"/>
        <v>6530.436129406382</v>
      </c>
      <c r="G30" s="1032">
        <f t="shared" si="3"/>
        <v>96391.734042553187</v>
      </c>
      <c r="H30" s="725">
        <f t="shared" si="3"/>
        <v>160027.17872340424</v>
      </c>
      <c r="I30" s="1071">
        <f t="shared" si="3"/>
        <v>256418.91276595744</v>
      </c>
      <c r="J30" s="725">
        <f t="shared" si="3"/>
        <v>12480.14868268482</v>
      </c>
      <c r="K30" s="1042">
        <f t="shared" si="3"/>
        <v>39123.511590405382</v>
      </c>
      <c r="L30" s="1070">
        <f t="shared" si="3"/>
        <v>5303.5947634194963</v>
      </c>
      <c r="M30" s="725">
        <f t="shared" si="3"/>
        <v>17868.737484623976</v>
      </c>
      <c r="N30" s="1030">
        <f t="shared" si="3"/>
        <v>74775.948936170214</v>
      </c>
      <c r="O30" s="1072">
        <f t="shared" si="3"/>
        <v>181642.96382978722</v>
      </c>
      <c r="P30" s="314"/>
      <c r="Q30" s="783"/>
      <c r="R30" s="783"/>
      <c r="S30" s="783"/>
    </row>
    <row r="31" spans="1:19" s="306" customFormat="1" ht="21" customHeight="1">
      <c r="A31" s="405">
        <v>2024</v>
      </c>
      <c r="B31" s="497" t="s">
        <v>412</v>
      </c>
      <c r="C31" s="640">
        <v>27088.860441086363</v>
      </c>
      <c r="D31" s="640">
        <v>37337.627714022434</v>
      </c>
      <c r="E31" s="666">
        <v>21608.916010563094</v>
      </c>
      <c r="F31" s="640">
        <v>5803.9482516716243</v>
      </c>
      <c r="G31" s="670">
        <v>91839.321276595743</v>
      </c>
      <c r="H31" s="658">
        <v>156166.79574468086</v>
      </c>
      <c r="I31" s="671">
        <v>248006.11702127659</v>
      </c>
      <c r="J31" s="667">
        <v>12012.411639256243</v>
      </c>
      <c r="K31" s="659">
        <v>39867.96023966324</v>
      </c>
      <c r="L31" s="666">
        <v>5427.746964092089</v>
      </c>
      <c r="M31" s="664">
        <v>16856.759165620555</v>
      </c>
      <c r="N31" s="675">
        <v>74164.935319148935</v>
      </c>
      <c r="O31" s="675">
        <v>173841.16170212766</v>
      </c>
      <c r="P31" s="314"/>
      <c r="Q31" s="783"/>
      <c r="R31" s="783"/>
      <c r="S31" s="783"/>
    </row>
    <row r="32" spans="1:19" s="306" customFormat="1" ht="16.5" customHeight="1">
      <c r="A32" s="405"/>
      <c r="B32" s="497" t="s">
        <v>413</v>
      </c>
      <c r="C32" s="640">
        <f>('14'!C32+'14'!D32+'14'!E32)/0.376+'28'!$C32</f>
        <v>28226.969604833022</v>
      </c>
      <c r="D32" s="640">
        <f>('14'!F32)/0.376+'28'!$D32</f>
        <v>36673.793531618336</v>
      </c>
      <c r="E32" s="666">
        <f>('14'!G32+'14'!H32)/0.376+'28'!$E32</f>
        <v>21338.166673696938</v>
      </c>
      <c r="F32" s="640">
        <f>('14'!I32)/0.376+'28'!$F32-0.01</f>
        <v>5955.8414671149521</v>
      </c>
      <c r="G32" s="670">
        <f>ROUND('14'!J32,1)/0.376+ROUND('28'!$G32,1)</f>
        <v>92194.806382978728</v>
      </c>
      <c r="H32" s="658">
        <f>ROUND('14'!K32,1)/0.376+ROUND('28'!$M32,1)</f>
        <v>153582.05531914893</v>
      </c>
      <c r="I32" s="671">
        <f>ROUND('14'!L32,1)/0.376+ROUND('28'!$N32,1)</f>
        <v>245776.86170212767</v>
      </c>
      <c r="J32" s="667">
        <f>('15'!C32+'15'!D32)/0.376+'29'!$C32-0.02</f>
        <v>12257.13739704293</v>
      </c>
      <c r="K32" s="659">
        <f>('15'!E32)/0.376+'29'!$D32</f>
        <v>39229.692263872581</v>
      </c>
      <c r="L32" s="666">
        <f>('15'!F32)/0.376+'29'!$E32-0.05</f>
        <v>5262.4277407708478</v>
      </c>
      <c r="M32" s="664">
        <f>('15'!G32+'15'!H32)/0.376+'29'!$F32</f>
        <v>17304.940055003794</v>
      </c>
      <c r="N32" s="675">
        <f>ROUND('15'!I32,1)/0.376+ROUND('29'!$G32,1)</f>
        <v>74054.095744680846</v>
      </c>
      <c r="O32" s="675">
        <f>ROUND('15'!J32,1)/0.376+ROUND('29'!$M32,1)</f>
        <v>171722.7659574468</v>
      </c>
      <c r="P32" s="314"/>
      <c r="Q32" s="783"/>
      <c r="R32" s="783"/>
      <c r="S32" s="783"/>
    </row>
    <row r="33" spans="1:19" s="306" customFormat="1" ht="16.5" customHeight="1">
      <c r="A33" s="405"/>
      <c r="B33" s="497" t="s">
        <v>414</v>
      </c>
      <c r="C33" s="640">
        <f>('14'!C33+'14'!D33+'14'!E33)/0.376+'28'!$C33-0.05</f>
        <v>26039.231394276245</v>
      </c>
      <c r="D33" s="640">
        <f>('14'!F33)/0.376+'28'!$D33-0.05</f>
        <v>36160.126274693896</v>
      </c>
      <c r="E33" s="666">
        <f>('14'!G33+'14'!H33)/0.376+'28'!$E33-0.06</f>
        <v>22065.542366984151</v>
      </c>
      <c r="F33" s="640">
        <f>('14'!I33)/0.376+'28'!$F33</f>
        <v>5634.1166633557023</v>
      </c>
      <c r="G33" s="670">
        <f>ROUND('14'!J33,1)/0.376+ROUND('28'!$G33,1)</f>
        <v>89898.948936170214</v>
      </c>
      <c r="H33" s="658">
        <f>ROUND('14'!K33,1)/0.376+ROUND('28'!$M33,1)</f>
        <v>157928.67234042555</v>
      </c>
      <c r="I33" s="671">
        <f>ROUND('14'!L33,1)/0.376+ROUND('28'!$N33,1)</f>
        <v>247827.62127659575</v>
      </c>
      <c r="J33" s="667">
        <f>('15'!C33+'15'!D33)/0.376+'29'!$C33+0.03</f>
        <v>11690.662380256965</v>
      </c>
      <c r="K33" s="659">
        <f>('15'!E33)/0.376+'29'!$D33</f>
        <v>38944.58166446878</v>
      </c>
      <c r="L33" s="666">
        <f>('15'!F33)/0.376+'29'!$E33+0.01</f>
        <v>5210.4576074336073</v>
      </c>
      <c r="M33" s="664">
        <f>('15'!G33+'15'!H33)/0.376+'29'!$F33</f>
        <v>17197.435249246348</v>
      </c>
      <c r="N33" s="675">
        <f>ROUND('15'!I33,1)/0.376+ROUND('29'!$G33,1)</f>
        <v>73043.204255319142</v>
      </c>
      <c r="O33" s="675">
        <f>ROUND('15'!J33,1)/0.376+ROUND('29'!$M33,1)</f>
        <v>174784.4170212766</v>
      </c>
      <c r="P33" s="314"/>
      <c r="Q33" s="783"/>
      <c r="R33" s="783"/>
      <c r="S33" s="783"/>
    </row>
    <row r="34" spans="1:19" s="306" customFormat="1" ht="21" customHeight="1">
      <c r="A34" s="405">
        <v>2025</v>
      </c>
      <c r="B34" s="497" t="s">
        <v>415</v>
      </c>
      <c r="C34" s="640">
        <f>('14'!C34+'14'!D34+'14'!E34)/0.376+'28'!$C34</f>
        <v>28113.993130042218</v>
      </c>
      <c r="D34" s="640">
        <f>('14'!F34)/0.376+'28'!$D34</f>
        <v>36164.966306236027</v>
      </c>
      <c r="E34" s="666">
        <f>('14'!G34+'14'!H34)/0.376+'28'!$E34</f>
        <v>21893.194323266551</v>
      </c>
      <c r="F34" s="640">
        <f>('14'!I34)/0.376+'28'!$F34</f>
        <v>5773.885015081536</v>
      </c>
      <c r="G34" s="670">
        <f>ROUND('14'!J34,1)/0.376+ROUND('28'!$G34,1)</f>
        <v>91946.061702127656</v>
      </c>
      <c r="H34" s="658">
        <f>ROUND('14'!K34,1)/0.376+ROUND('28'!$M34,1)</f>
        <v>154403.01702127658</v>
      </c>
      <c r="I34" s="671">
        <f>ROUND('14'!L34,1)/0.376+ROUND('28'!$N34,1)</f>
        <v>246349.07872340427</v>
      </c>
      <c r="J34" s="667">
        <f>('15'!C34+'15'!D34)/0.376+'29'!$C34+0.03</f>
        <v>12140.076154830009</v>
      </c>
      <c r="K34" s="659">
        <f>('15'!E34)/0.376+'29'!$D34</f>
        <v>38223.602423087745</v>
      </c>
      <c r="L34" s="666">
        <f>('15'!F34)/0.376+'29'!$E34</f>
        <v>5331.0696012351627</v>
      </c>
      <c r="M34" s="664">
        <f>('15'!G34+'15'!H34)/0.376+'29'!$F34</f>
        <v>17511.500818886008</v>
      </c>
      <c r="N34" s="675">
        <f>ROUND('15'!I34,1)/0.376+ROUND('29'!$G34,1)+0.02</f>
        <v>73206.256170212771</v>
      </c>
      <c r="O34" s="675">
        <f>ROUND('15'!J34,1)/0.376+ROUND('29'!$M34,1)</f>
        <v>173142.8425531915</v>
      </c>
      <c r="P34" s="314"/>
      <c r="Q34" s="783"/>
      <c r="R34" s="783"/>
      <c r="S34" s="783"/>
    </row>
    <row r="35" spans="1:19" s="306" customFormat="1" ht="16.5" customHeight="1">
      <c r="A35" s="405"/>
      <c r="B35" s="497" t="s">
        <v>416</v>
      </c>
      <c r="C35" s="640">
        <f>('14'!C35+'14'!D35+'14'!E35)/0.376+'28'!$C35</f>
        <v>28416.025517148475</v>
      </c>
      <c r="D35" s="640">
        <f>('14'!F35)/0.376+'28'!$D35</f>
        <v>36964.813249100822</v>
      </c>
      <c r="E35" s="666">
        <f>('14'!G35+'14'!H35)/0.376+'28'!$E35</f>
        <v>22025.250003173871</v>
      </c>
      <c r="F35" s="640">
        <f>('14'!I35)/0.376+'28'!$F35</f>
        <v>5822.2342277159205</v>
      </c>
      <c r="G35" s="670">
        <f>ROUND('14'!J35,1)/0.376+ROUND('28'!$G35,1)</f>
        <v>93228.287234042553</v>
      </c>
      <c r="H35" s="658">
        <f>ROUND('14'!K35,1)/0.376+ROUND('28'!$M35,1)-0.01</f>
        <v>149574.54106382979</v>
      </c>
      <c r="I35" s="671">
        <f>ROUND('14'!L35,1)/0.376+ROUND('28'!$N35,1)</f>
        <v>242802.83829787234</v>
      </c>
      <c r="J35" s="667">
        <f>('15'!C35+'15'!D35)/0.376+'29'!$C35+0.03</f>
        <v>13288.62423087282</v>
      </c>
      <c r="K35" s="659">
        <f>('15'!E35)/0.376+'29'!$D35</f>
        <v>38943.968287464624</v>
      </c>
      <c r="L35" s="666">
        <f>('15'!F35)/0.376+'29'!$E35-0.01</f>
        <v>5203.7407431770689</v>
      </c>
      <c r="M35" s="664">
        <f>('15'!G35+'15'!H35)/0.376+'29'!$F35</f>
        <v>17081.041482402874</v>
      </c>
      <c r="N35" s="675">
        <f>ROUND('15'!I35,1)/0.376+ROUND('29'!$G35,1)</f>
        <v>74517.348936170209</v>
      </c>
      <c r="O35" s="675">
        <f>ROUND('15'!J35,1)/0.376+ROUND('29'!$M35,1)</f>
        <v>168285.48936170212</v>
      </c>
      <c r="P35" s="314"/>
      <c r="Q35" s="783"/>
      <c r="R35" s="783"/>
      <c r="S35" s="783"/>
    </row>
    <row r="36" spans="1:19" s="306" customFormat="1" ht="16.5" customHeight="1">
      <c r="A36" s="405"/>
      <c r="B36" s="497" t="s">
        <v>417</v>
      </c>
      <c r="C36" s="640">
        <f>('14'!C36+'14'!D36+'14'!E36)/0.376+'28'!$C36+0.02</f>
        <v>28544.259349633408</v>
      </c>
      <c r="D36" s="640">
        <f>('14'!F36)/0.376+'28'!$D36+0.05</f>
        <v>37701.855598050708</v>
      </c>
      <c r="E36" s="666">
        <f>('14'!G36+'14'!H36)/0.376+'28'!$E36+0.03</f>
        <v>22094.26361380814</v>
      </c>
      <c r="F36" s="640">
        <f>('14'!I36)/0.376+'28'!$F36</f>
        <v>6005.012750032176</v>
      </c>
      <c r="G36" s="670">
        <f>ROUND('14'!J36,1)/0.376+ROUND('28'!$G36,1)</f>
        <v>94345.45319148936</v>
      </c>
      <c r="H36" s="658">
        <f>ROUND('14'!K36,1)/0.376+ROUND('28'!$M36,1)</f>
        <v>155772.73191489361</v>
      </c>
      <c r="I36" s="671">
        <f>ROUND('14'!L36,1)/0.376+ROUND('28'!$N36,1)</f>
        <v>250118.185106383</v>
      </c>
      <c r="J36" s="667">
        <f>('15'!C36+'15'!D36)/0.376+'29'!$C36+0.03</f>
        <v>12758.715424131378</v>
      </c>
      <c r="K36" s="659">
        <f>('15'!E36)/0.376+'29'!$D36-0.05</f>
        <v>39207.127311221746</v>
      </c>
      <c r="L36" s="666">
        <f>('15'!F36)/0.376+'29'!$E36-0.05</f>
        <v>5378.026284896403</v>
      </c>
      <c r="M36" s="664">
        <f>('15'!G36+'15'!H36)/0.376+'29'!$F36-0.01</f>
        <v>17656.842290519435</v>
      </c>
      <c r="N36" s="675">
        <f>ROUND('15'!I36,1)/0.376+ROUND('29'!$G36,1)</f>
        <v>75000.617021276601</v>
      </c>
      <c r="O36" s="675">
        <f>ROUND('15'!J36,1)/0.376+ROUND('29'!$M36,1)</f>
        <v>175117.56808510638</v>
      </c>
      <c r="P36" s="314"/>
      <c r="Q36" s="783"/>
      <c r="R36" s="783"/>
      <c r="S36" s="783"/>
    </row>
    <row r="37" spans="1:19" s="306" customFormat="1" ht="16.5" customHeight="1">
      <c r="A37" s="405"/>
      <c r="B37" s="497" t="s">
        <v>418</v>
      </c>
      <c r="C37" s="640">
        <f>('14'!C37+'14'!D37+'14'!E37)/0.376+'28'!$C37</f>
        <v>28690.420794989775</v>
      </c>
      <c r="D37" s="640">
        <f>('14'!F37)/0.376+'28'!$D37-0.05</f>
        <v>37366.828164804552</v>
      </c>
      <c r="E37" s="666">
        <f>('14'!G37+'14'!H37)/0.376+'28'!$E37</f>
        <v>22432.943020942486</v>
      </c>
      <c r="F37" s="640">
        <f>('14'!I37)/0.376+'28'!$F37-0.01</f>
        <v>5837.3434454981907</v>
      </c>
      <c r="G37" s="670">
        <f>ROUND('14'!J37,1)/0.376+ROUND('28'!$G37,1)</f>
        <v>94327.434042553185</v>
      </c>
      <c r="H37" s="658">
        <f>ROUND('14'!K37,1)/0.376+ROUND('28'!$M37,1)</f>
        <v>150412.71276595746</v>
      </c>
      <c r="I37" s="671">
        <f>ROUND('14'!L37,1)/0.376+ROUND('28'!$N37,1)</f>
        <v>244740.14680851065</v>
      </c>
      <c r="J37" s="667">
        <f>('15'!C37+'15'!D37)/0.376+'29'!$C37+0.03</f>
        <v>13404.563959508572</v>
      </c>
      <c r="K37" s="659">
        <f>('15'!E37)/0.376+'29'!$D37</f>
        <v>39447.05666773882</v>
      </c>
      <c r="L37" s="666">
        <f>('15'!F37)/0.376+'29'!$E37</f>
        <v>5359.1025987090889</v>
      </c>
      <c r="M37" s="664">
        <f>('15'!G37+'15'!H37)/0.376+'29'!$F37+0.02</f>
        <v>16493.860519197442</v>
      </c>
      <c r="N37" s="675">
        <f>ROUND('15'!I37,1)/0.376+ROUND('29'!$G37,1)</f>
        <v>74704.714893617027</v>
      </c>
      <c r="O37" s="675">
        <f>ROUND('15'!J37,1)/0.376+ROUND('29'!$M37,1)</f>
        <v>170035.43191489362</v>
      </c>
      <c r="P37" s="314"/>
      <c r="Q37" s="783"/>
      <c r="R37" s="783"/>
      <c r="S37" s="783"/>
    </row>
    <row r="38" spans="1:19" s="306" customFormat="1" ht="16.5" customHeight="1">
      <c r="A38" s="405"/>
      <c r="B38" s="497" t="s">
        <v>419</v>
      </c>
      <c r="C38" s="640">
        <f>('14'!C38+'14'!D38+'14'!E38)/0.376+'28'!$C38</f>
        <v>28254.256658282538</v>
      </c>
      <c r="D38" s="640">
        <f>('14'!F38)/0.376+'28'!$D38</f>
        <v>38044.204707671663</v>
      </c>
      <c r="E38" s="666">
        <f>('14'!G38+'14'!H38)/0.376+'28'!$E38</f>
        <v>23785.431548851258</v>
      </c>
      <c r="F38" s="640">
        <f>('14'!I38)/0.376+'28'!$F38</f>
        <v>6385.5826761684275</v>
      </c>
      <c r="G38" s="670">
        <f>ROUND('14'!J38,1)/0.376+ROUND('28'!$G38,1)</f>
        <v>96469.531914893611</v>
      </c>
      <c r="H38" s="658">
        <f>ROUND('14'!K38,1)/0.376+ROUND('28'!$M38,1)+0.02</f>
        <v>149089.06468085106</v>
      </c>
      <c r="I38" s="671">
        <f>ROUND('14'!L38,1)/0.376+ROUND('28'!$N38,1)</f>
        <v>245558.5765957447</v>
      </c>
      <c r="J38" s="667">
        <f>('15'!C38+'15'!D38)/0.376+'29'!$C38+0.03</f>
        <v>13339.196233178796</v>
      </c>
      <c r="K38" s="659">
        <f>('15'!E38)/0.376+'29'!$D38</f>
        <v>39157.123680897967</v>
      </c>
      <c r="L38" s="666">
        <f>('15'!F38)/0.376+'29'!$E38</f>
        <v>5517.0106143038711</v>
      </c>
      <c r="M38" s="664">
        <f>('15'!G38+'15'!H38)/0.376+'29'!$F38</f>
        <v>16880.047264139899</v>
      </c>
      <c r="N38" s="675">
        <f>ROUND('15'!I38,1)/0.376+ROUND('29'!$G38,1)</f>
        <v>74893.274468085117</v>
      </c>
      <c r="O38" s="675">
        <f>ROUND('15'!J38,1)/0.376+ROUND('29'!$M38,1)</f>
        <v>170665.30212765958</v>
      </c>
      <c r="P38" s="314"/>
      <c r="Q38" s="783"/>
      <c r="R38" s="783"/>
      <c r="S38" s="783"/>
    </row>
    <row r="39" spans="1:19" s="306" customFormat="1" ht="16.5" customHeight="1">
      <c r="A39" s="405"/>
      <c r="B39" s="497" t="s">
        <v>420</v>
      </c>
      <c r="C39" s="640">
        <f>('14'!C39+'14'!D39+'14'!E39)/0.376+'28'!$C39</f>
        <v>28277.609653895124</v>
      </c>
      <c r="D39" s="640">
        <f>('14'!F39)/0.376+'28'!$D39</f>
        <v>37683.680462045188</v>
      </c>
      <c r="E39" s="666">
        <f>('14'!G39+'14'!H39)/0.376+'28'!$E39+0.01</f>
        <v>23873.955026587872</v>
      </c>
      <c r="F39" s="640">
        <f>('14'!I39)/0.376+'28'!$F39</f>
        <v>6391.2546926431705</v>
      </c>
      <c r="G39" s="670">
        <f>ROUND('14'!J39,1)/0.376+ROUND('28'!$G39,1)</f>
        <v>96226.619148936166</v>
      </c>
      <c r="H39" s="658">
        <f>ROUND('14'!K39,1)/0.376+ROUND('28'!$M39,1)</f>
        <v>156121.42765957446</v>
      </c>
      <c r="I39" s="671">
        <f>ROUND('14'!L39,1)/0.376+ROUND('28'!$N39,1)</f>
        <v>252348.04680851064</v>
      </c>
      <c r="J39" s="667">
        <f>('15'!C39+'15'!D39)/0.376+'29'!$C39+0.03</f>
        <v>13361.463581661084</v>
      </c>
      <c r="K39" s="659">
        <f>('15'!E39)/0.376+'29'!$D39</f>
        <v>39323.240867138069</v>
      </c>
      <c r="L39" s="666">
        <f>('15'!F39)/0.376+'29'!$E39</f>
        <v>5188.2663070294784</v>
      </c>
      <c r="M39" s="664">
        <f>('15'!G39+'15'!H39)/0.376+'29'!$F39</f>
        <v>17448.177756212892</v>
      </c>
      <c r="N39" s="675">
        <f>ROUND('15'!I39,1)/0.376+ROUND('29'!$G39,1)</f>
        <v>75321.219148936172</v>
      </c>
      <c r="O39" s="675">
        <f>ROUND('15'!J39,1)/0.376+ROUND('29'!$M39,1)</f>
        <v>177026.82765957445</v>
      </c>
      <c r="P39" s="314"/>
      <c r="Q39" s="783"/>
      <c r="R39" s="783"/>
      <c r="S39" s="783"/>
    </row>
    <row r="40" spans="1:19" s="306" customFormat="1" ht="16.5" customHeight="1">
      <c r="A40" s="405"/>
      <c r="B40" s="497" t="s">
        <v>421</v>
      </c>
      <c r="C40" s="640">
        <f>('14'!C40+'14'!D40+'14'!E40)/0.376+'28'!$C40</f>
        <v>28548.001822460807</v>
      </c>
      <c r="D40" s="640">
        <f>('14'!F40)/0.376+'28'!$D40+0.05</f>
        <v>38004.456045715495</v>
      </c>
      <c r="E40" s="666">
        <f>('14'!G40+'14'!H40)/0.376+'28'!$E40</f>
        <v>24589.376862066594</v>
      </c>
      <c r="F40" s="640">
        <f>('14'!I40)/0.376+'28'!$F40</f>
        <v>6089.0947775177701</v>
      </c>
      <c r="G40" s="670">
        <f>ROUND('14'!J40,1)/0.376+ROUND('28'!$G40,1)</f>
        <v>97230.955319148939</v>
      </c>
      <c r="H40" s="658">
        <f>ROUND('14'!K40,1)/0.376+ROUND('28'!$M40,1)</f>
        <v>149027.8425531915</v>
      </c>
      <c r="I40" s="671">
        <f>ROUND('14'!L40,1)/0.376+ROUND('28'!$N40,1)</f>
        <v>246258.79787234042</v>
      </c>
      <c r="J40" s="667">
        <f>('15'!C40+'15'!D40)/0.376+'29'!$C40+0.03</f>
        <v>13897.343884911583</v>
      </c>
      <c r="K40" s="659">
        <f>('15'!E40)/0.376+'29'!$D40+0.02</f>
        <v>38537.96180676957</v>
      </c>
      <c r="L40" s="666">
        <f>('15'!F40)/0.376+'29'!$E40</f>
        <v>5647.1503098273461</v>
      </c>
      <c r="M40" s="664">
        <f>('15'!G40+'15'!H40)/0.376+'29'!$F40</f>
        <v>17537.131389201269</v>
      </c>
      <c r="N40" s="675">
        <f>ROUND('15'!I40,1)/0.376+ROUND('29'!$G40,1)</f>
        <v>75619.612765957441</v>
      </c>
      <c r="O40" s="675">
        <f>ROUND('15'!J40,1)/0.376+ROUND('29'!$M40,1)</f>
        <v>170639.185106383</v>
      </c>
      <c r="P40" s="314"/>
      <c r="Q40" s="783"/>
      <c r="R40" s="783"/>
      <c r="S40" s="783"/>
    </row>
    <row r="41" spans="1:19" s="306" customFormat="1" ht="16.5" customHeight="1">
      <c r="A41" s="405"/>
      <c r="B41" s="497" t="s">
        <v>422</v>
      </c>
      <c r="C41" s="640">
        <f>('14'!C41+'14'!D41+'14'!E41)/0.376+'28'!$C41</f>
        <v>26700.672527212068</v>
      </c>
      <c r="D41" s="640">
        <f>('14'!F41)/0.376+'28'!$D41</f>
        <v>38314.419532108688</v>
      </c>
      <c r="E41" s="666">
        <f>('14'!G41+'14'!H41)/0.376+'28'!$E41</f>
        <v>25339.730648541979</v>
      </c>
      <c r="F41" s="640">
        <f>('14'!I41)/0.376+'28'!$F41+0.03</f>
        <v>6315.3582387129127</v>
      </c>
      <c r="G41" s="670">
        <f>ROUND('14'!J41,1)/0.376+ROUND('28'!$G41,1)</f>
        <v>96670.223404255317</v>
      </c>
      <c r="H41" s="658">
        <f>ROUND('14'!K41,1)/0.376+ROUND('28'!$M41,1)</f>
        <v>150107.26808510639</v>
      </c>
      <c r="I41" s="671">
        <f>ROUND('14'!L41,1)/0.376+ROUND('28'!$N41,1)</f>
        <v>246777.49148936171</v>
      </c>
      <c r="J41" s="667">
        <f>('15'!C41+'15'!D41)/0.376+'29'!$C41+0.03</f>
        <v>13336.194909728301</v>
      </c>
      <c r="K41" s="659">
        <f>('15'!E41)/0.376+'29'!$D41</f>
        <v>38880.106577860133</v>
      </c>
      <c r="L41" s="666">
        <f>('15'!F41)/0.376+'29'!$E41</f>
        <v>5711.4795943250947</v>
      </c>
      <c r="M41" s="664">
        <f>('15'!G41+'15'!H41)/0.376+'29'!$F41</f>
        <v>17648.772082667543</v>
      </c>
      <c r="N41" s="675">
        <f>ROUND('15'!I41,1)/0.376+ROUND('29'!$G41,1)</f>
        <v>75576.625531914891</v>
      </c>
      <c r="O41" s="675">
        <f>ROUND('15'!J41,1)/0.376+ROUND('29'!$M41,1)</f>
        <v>171200.8659574468</v>
      </c>
      <c r="P41" s="314"/>
      <c r="Q41" s="783"/>
      <c r="R41" s="783"/>
      <c r="S41" s="783"/>
    </row>
    <row r="42" spans="1:19" s="306" customFormat="1" ht="16.5" customHeight="1">
      <c r="A42" s="405"/>
      <c r="B42" s="497" t="s">
        <v>423</v>
      </c>
      <c r="C42" s="640">
        <f>('14'!C42+'14'!D42+'14'!E42)/0.376+'28'!$C42-0.03</f>
        <v>26108.736375268898</v>
      </c>
      <c r="D42" s="640">
        <f>('14'!F42)/0.376+'28'!$D42</f>
        <v>38128.437790530879</v>
      </c>
      <c r="E42" s="666">
        <f>('14'!G42+'14'!H42)/0.376+'28'!$E42-0.04</f>
        <v>25624.244830618372</v>
      </c>
      <c r="F42" s="640">
        <f>('14'!I42)/0.376+'28'!$F42-0.02</f>
        <v>6530.436129406382</v>
      </c>
      <c r="G42" s="670">
        <f>ROUND('14'!J42,1)/0.376+ROUND('28'!$G42,1)</f>
        <v>96391.734042553187</v>
      </c>
      <c r="H42" s="658">
        <f>ROUND('14'!K42,1)/0.376+ROUND('28'!$M42,1)</f>
        <v>160027.17872340424</v>
      </c>
      <c r="I42" s="671">
        <f>ROUND('14'!L42,1)/0.376+ROUND('28'!$N42,1)</f>
        <v>256418.91276595744</v>
      </c>
      <c r="J42" s="667">
        <f>('15'!C42+'15'!D42)/0.376+'29'!$C42+0.03-0.03</f>
        <v>12480.14868268482</v>
      </c>
      <c r="K42" s="659">
        <f>('15'!E42)/0.376+'29'!$D42</f>
        <v>39123.511590405382</v>
      </c>
      <c r="L42" s="666">
        <f>('15'!F42)/0.376+'29'!$E42</f>
        <v>5303.5947634194963</v>
      </c>
      <c r="M42" s="664">
        <f>('15'!G42+'15'!H42)/0.376+'29'!$F42</f>
        <v>17868.737484623976</v>
      </c>
      <c r="N42" s="675">
        <f>ROUND('15'!I42,1)/0.376+ROUND('29'!$G42,1)</f>
        <v>74775.948936170214</v>
      </c>
      <c r="O42" s="675">
        <f>ROUND('15'!J42,1)/0.376+ROUND('29'!$M42,1)</f>
        <v>181642.96382978722</v>
      </c>
      <c r="P42" s="314"/>
      <c r="Q42" s="783"/>
      <c r="R42" s="783"/>
      <c r="S42" s="783"/>
    </row>
    <row r="43" spans="1:19" s="306" customFormat="1" ht="16.5" customHeight="1">
      <c r="A43" s="405"/>
      <c r="B43" s="497" t="s">
        <v>412</v>
      </c>
      <c r="C43" s="640">
        <f>('14'!C43+'14'!D43+'14'!E43)/0.376+'28'!$C43</f>
        <v>27412.575935699038</v>
      </c>
      <c r="D43" s="640">
        <f>('14'!F43)/0.376+'28'!$D43</f>
        <v>37906.038466453727</v>
      </c>
      <c r="E43" s="666">
        <f>('14'!G43+'14'!H43)/0.376+'28'!$E43+0.02</f>
        <v>25780.557472528373</v>
      </c>
      <c r="F43" s="640">
        <f>('14'!I43)/0.376+'28'!$F43</f>
        <v>5928.9684272929444</v>
      </c>
      <c r="G43" s="670">
        <f>ROUND('14'!J43,1)/0.376+ROUND('28'!$G43,1)</f>
        <v>97028.193617021272</v>
      </c>
      <c r="H43" s="658">
        <f>ROUND('14'!K43,1)/0.376+ROUND('28'!$M43,1)</f>
        <v>155517.14680851065</v>
      </c>
      <c r="I43" s="671">
        <f>ROUND('14'!L43,1)/0.376+ROUND('28'!$N43,1)</f>
        <v>252545.3404255319</v>
      </c>
      <c r="J43" s="667">
        <f>('15'!C43+'15'!D43)/0.376+'29'!$C43+0.03</f>
        <v>12674.611552863658</v>
      </c>
      <c r="K43" s="659">
        <f>('15'!E43)/0.376+'29'!$D43</f>
        <v>38923.890871799456</v>
      </c>
      <c r="L43" s="666">
        <f>('15'!F43)/0.376+'29'!$E43</f>
        <v>4801.5118827744855</v>
      </c>
      <c r="M43" s="664">
        <f>('15'!G43+'15'!H43)/0.376+'29'!$F43</f>
        <v>18052.57478251381</v>
      </c>
      <c r="N43" s="675">
        <f>ROUND('15'!I43,1)/0.376+ROUND('29'!$G43,1)</f>
        <v>74452.570212765961</v>
      </c>
      <c r="O43" s="675">
        <f>ROUND('15'!J43,1)/0.376+ROUND('29'!$M43,1)-0.03</f>
        <v>178092.74021276596</v>
      </c>
      <c r="P43" s="314"/>
      <c r="Q43" s="783"/>
      <c r="R43" s="783"/>
      <c r="S43" s="783"/>
    </row>
    <row r="44" spans="1:19" s="2" customFormat="1" ht="20.25" customHeight="1">
      <c r="A44" s="215" t="s">
        <v>821</v>
      </c>
      <c r="B44" s="1397"/>
      <c r="C44" s="217"/>
      <c r="D44" s="217"/>
      <c r="E44" s="217"/>
      <c r="F44" s="217"/>
      <c r="G44" s="217"/>
      <c r="H44" s="217"/>
      <c r="I44" s="1398"/>
      <c r="J44" s="1398"/>
      <c r="K44" s="215"/>
      <c r="L44" s="215"/>
      <c r="M44" s="215"/>
      <c r="N44" s="215"/>
      <c r="O44" s="236" t="s">
        <v>822</v>
      </c>
    </row>
    <row r="45" spans="1:19" s="2" customFormat="1" ht="13.7" customHeight="1">
      <c r="A45" s="5" t="s">
        <v>823</v>
      </c>
      <c r="B45" s="1399"/>
      <c r="H45" s="5"/>
      <c r="I45" s="5"/>
      <c r="O45" s="237" t="s">
        <v>824</v>
      </c>
    </row>
    <row r="46" spans="1:19" ht="7.5" customHeight="1">
      <c r="L46" s="25"/>
      <c r="N46" s="25"/>
      <c r="O46" s="25"/>
    </row>
    <row r="47" spans="1:19" s="38" customFormat="1" ht="14.25">
      <c r="A47" s="317" t="s">
        <v>825</v>
      </c>
      <c r="B47" s="317"/>
      <c r="C47" s="317"/>
      <c r="D47" s="317"/>
      <c r="E47" s="317"/>
      <c r="F47" s="317"/>
      <c r="G47" s="317"/>
      <c r="H47" s="317"/>
      <c r="I47" s="317"/>
      <c r="J47" s="317"/>
      <c r="K47" s="317"/>
      <c r="L47" s="317"/>
      <c r="M47" s="317"/>
      <c r="N47" s="317"/>
      <c r="O47" s="317"/>
    </row>
    <row r="48" spans="1:19">
      <c r="A48" s="146"/>
      <c r="B48" s="10"/>
      <c r="C48" s="1678"/>
      <c r="D48" s="1678"/>
      <c r="E48" s="1678"/>
      <c r="F48" s="1678"/>
      <c r="G48" s="1678"/>
      <c r="H48" s="1678"/>
      <c r="I48" s="1678"/>
      <c r="J48" s="1678"/>
      <c r="K48" s="1678"/>
      <c r="L48" s="1678"/>
      <c r="M48" s="1678"/>
      <c r="N48" s="1678"/>
      <c r="O48" s="1678"/>
    </row>
    <row r="49" spans="3:15">
      <c r="C49" s="1678"/>
      <c r="D49" s="1678"/>
      <c r="E49" s="1678"/>
      <c r="F49" s="1678"/>
      <c r="G49" s="1678"/>
      <c r="H49" s="1678"/>
      <c r="I49" s="1678"/>
      <c r="J49" s="1678"/>
      <c r="K49" s="1678"/>
      <c r="L49" s="1678"/>
      <c r="M49" s="1678"/>
      <c r="N49" s="1678"/>
      <c r="O49" s="1678"/>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tabSelected="1" zoomScale="90" zoomScaleNormal="90" workbookViewId="0">
      <pane ySplit="12" topLeftCell="A24" activePane="bottomLeft" state="frozen"/>
      <selection activeCell="N29" sqref="N29"/>
      <selection pane="bottomLeft" activeCell="N29" sqref="N29"/>
    </sheetView>
  </sheetViews>
  <sheetFormatPr defaultColWidth="7.85546875" defaultRowHeight="15"/>
  <cols>
    <col min="1" max="2" width="9.28515625"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1755</v>
      </c>
      <c r="B1" s="12"/>
      <c r="C1" s="11"/>
      <c r="D1" s="11"/>
      <c r="E1" s="11"/>
      <c r="F1" s="11"/>
      <c r="G1" s="11"/>
      <c r="H1" s="11"/>
      <c r="I1" s="11"/>
      <c r="J1" s="11"/>
      <c r="K1" s="11"/>
      <c r="L1" s="11"/>
      <c r="M1" s="11"/>
    </row>
    <row r="2" spans="1:15" ht="18">
      <c r="A2" s="875" t="s">
        <v>826</v>
      </c>
      <c r="B2" s="12"/>
      <c r="C2" s="11"/>
      <c r="D2" s="11"/>
      <c r="E2" s="11"/>
      <c r="F2" s="11"/>
      <c r="G2" s="11"/>
      <c r="H2" s="11"/>
      <c r="I2" s="11"/>
      <c r="J2" s="11"/>
      <c r="K2" s="11"/>
      <c r="L2" s="11"/>
      <c r="M2" s="11"/>
    </row>
    <row r="3" spans="1:15" ht="18">
      <c r="A3" s="16" t="s">
        <v>827</v>
      </c>
      <c r="B3" s="12"/>
      <c r="C3" s="11"/>
      <c r="D3" s="11"/>
      <c r="E3" s="11"/>
      <c r="F3" s="11"/>
      <c r="G3" s="11"/>
      <c r="H3" s="11"/>
      <c r="I3" s="11"/>
      <c r="J3" s="11"/>
      <c r="K3" s="11"/>
      <c r="L3" s="11"/>
      <c r="M3" s="11"/>
    </row>
    <row r="4" spans="1:15" ht="18">
      <c r="A4" s="875"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828</v>
      </c>
      <c r="E6" s="11"/>
      <c r="F6" s="11"/>
      <c r="G6" s="11"/>
      <c r="H6" s="11"/>
      <c r="I6" s="11"/>
      <c r="J6" s="11"/>
      <c r="K6" s="11"/>
      <c r="L6" s="11" t="s">
        <v>828</v>
      </c>
      <c r="M6" s="11"/>
    </row>
    <row r="7" spans="1:15">
      <c r="A7" s="8" t="s">
        <v>369</v>
      </c>
      <c r="B7" s="12"/>
      <c r="C7" s="14"/>
      <c r="D7" s="14"/>
      <c r="E7" s="14"/>
      <c r="F7" s="14"/>
      <c r="G7" s="14"/>
      <c r="H7" s="14"/>
      <c r="I7" s="14"/>
      <c r="J7" s="14"/>
      <c r="K7" s="14"/>
      <c r="L7" s="14"/>
      <c r="M7" s="21" t="s">
        <v>370</v>
      </c>
    </row>
    <row r="8" spans="1:15" s="39" customFormat="1" ht="18.600000000000001" customHeight="1">
      <c r="A8" s="53"/>
      <c r="B8" s="127"/>
      <c r="C8" s="300" t="s">
        <v>493</v>
      </c>
      <c r="D8" s="123"/>
      <c r="E8" s="123"/>
      <c r="F8" s="123"/>
      <c r="G8" s="123"/>
      <c r="H8" s="123"/>
      <c r="I8" s="133"/>
      <c r="J8" s="301" t="s">
        <v>491</v>
      </c>
      <c r="K8" s="124"/>
      <c r="L8" s="128"/>
      <c r="M8" s="72" t="s">
        <v>829</v>
      </c>
    </row>
    <row r="9" spans="1:15" s="39" customFormat="1" ht="15.75">
      <c r="A9" s="1655"/>
      <c r="B9" s="1640"/>
      <c r="C9" s="70"/>
      <c r="D9" s="79" t="s">
        <v>494</v>
      </c>
      <c r="E9" s="70"/>
      <c r="F9" s="79" t="s">
        <v>500</v>
      </c>
      <c r="G9" s="22" t="s">
        <v>391</v>
      </c>
      <c r="H9" s="115"/>
      <c r="I9" s="79"/>
      <c r="J9" s="70"/>
      <c r="K9" s="129" t="s">
        <v>372</v>
      </c>
      <c r="L9" s="233" t="s">
        <v>430</v>
      </c>
      <c r="M9" s="129" t="s">
        <v>830</v>
      </c>
    </row>
    <row r="10" spans="1:15" s="39" customFormat="1" ht="15.95" customHeight="1">
      <c r="A10" s="24" t="s">
        <v>379</v>
      </c>
      <c r="B10" s="74"/>
      <c r="C10" s="95" t="s">
        <v>831</v>
      </c>
      <c r="D10" s="79" t="s">
        <v>498</v>
      </c>
      <c r="E10" s="79" t="s">
        <v>432</v>
      </c>
      <c r="F10" s="271" t="s">
        <v>815</v>
      </c>
      <c r="G10" s="97" t="s">
        <v>832</v>
      </c>
      <c r="H10" s="74"/>
      <c r="I10" s="79" t="s">
        <v>816</v>
      </c>
      <c r="J10" s="129" t="s">
        <v>382</v>
      </c>
      <c r="K10" s="129" t="s">
        <v>375</v>
      </c>
      <c r="L10" s="233" t="s">
        <v>372</v>
      </c>
      <c r="M10" s="51" t="s">
        <v>833</v>
      </c>
    </row>
    <row r="11" spans="1:15" s="39" customFormat="1" ht="30.75" customHeight="1">
      <c r="A11" s="118" t="s">
        <v>387</v>
      </c>
      <c r="B11" s="60"/>
      <c r="C11" s="228" t="s">
        <v>834</v>
      </c>
      <c r="D11" s="1907" t="s">
        <v>366</v>
      </c>
      <c r="E11" s="107" t="s">
        <v>406</v>
      </c>
      <c r="F11" s="51" t="s">
        <v>835</v>
      </c>
      <c r="G11" s="227" t="s">
        <v>836</v>
      </c>
      <c r="H11" s="227" t="s">
        <v>837</v>
      </c>
      <c r="I11" s="226" t="s">
        <v>400</v>
      </c>
      <c r="J11" s="225" t="s">
        <v>393</v>
      </c>
      <c r="K11" s="51" t="s">
        <v>838</v>
      </c>
      <c r="L11" s="224" t="s">
        <v>839</v>
      </c>
      <c r="M11" s="51" t="s">
        <v>840</v>
      </c>
    </row>
    <row r="12" spans="1:15" s="39" customFormat="1" ht="15.75">
      <c r="A12" s="47"/>
      <c r="B12" s="66"/>
      <c r="C12" s="130"/>
      <c r="D12" s="1908"/>
      <c r="E12" s="52" t="s">
        <v>841</v>
      </c>
      <c r="F12" s="93" t="s">
        <v>842</v>
      </c>
      <c r="G12" s="52" t="s">
        <v>843</v>
      </c>
      <c r="H12" s="52" t="s">
        <v>844</v>
      </c>
      <c r="I12" s="52"/>
      <c r="J12" s="52"/>
      <c r="K12" s="131"/>
      <c r="L12" s="132"/>
      <c r="M12" s="93" t="s">
        <v>845</v>
      </c>
    </row>
    <row r="13" spans="1:15" s="306" customFormat="1" ht="20.25" customHeight="1">
      <c r="A13" s="405">
        <v>2015</v>
      </c>
      <c r="B13" s="406"/>
      <c r="C13" s="1656">
        <v>124.93659186170002</v>
      </c>
      <c r="D13" s="802">
        <v>1183.7338495305037</v>
      </c>
      <c r="E13" s="684">
        <v>1767.8863280111586</v>
      </c>
      <c r="F13" s="684">
        <v>8627.4141532148751</v>
      </c>
      <c r="G13" s="682">
        <v>297.13861029499992</v>
      </c>
      <c r="H13" s="1657">
        <v>3604.7620695392507</v>
      </c>
      <c r="I13" s="683">
        <v>917.76130067782003</v>
      </c>
      <c r="J13" s="684">
        <v>16523.552903078973</v>
      </c>
      <c r="K13" s="1658">
        <v>14378.745316284207</v>
      </c>
      <c r="L13" s="685">
        <v>30902.29821936318</v>
      </c>
      <c r="M13" s="1199">
        <v>3549.4861080687351</v>
      </c>
      <c r="N13" s="1073"/>
      <c r="O13" s="778"/>
    </row>
    <row r="14" spans="1:15" s="408" customFormat="1" ht="14.25" customHeight="1">
      <c r="A14" s="356">
        <v>2016</v>
      </c>
      <c r="B14" s="407"/>
      <c r="C14" s="1659">
        <v>135.30073358308633</v>
      </c>
      <c r="D14" s="1660">
        <v>1018.7022749116126</v>
      </c>
      <c r="E14" s="1661">
        <v>2070.7252222487086</v>
      </c>
      <c r="F14" s="1661">
        <v>8755.5592465315076</v>
      </c>
      <c r="G14" s="1662">
        <v>293.39917654400006</v>
      </c>
      <c r="H14" s="1663">
        <v>4342.8140858987144</v>
      </c>
      <c r="I14" s="1664">
        <v>732.53085481721962</v>
      </c>
      <c r="J14" s="1661">
        <v>17349.011085939197</v>
      </c>
      <c r="K14" s="1665">
        <v>13864.540338904006</v>
      </c>
      <c r="L14" s="1666">
        <v>31213.541424843206</v>
      </c>
      <c r="M14" s="1667">
        <v>4043.1942213319253</v>
      </c>
      <c r="N14" s="1073"/>
      <c r="O14" s="778"/>
    </row>
    <row r="15" spans="1:15" s="408" customFormat="1" ht="14.25" customHeight="1">
      <c r="A15" s="356">
        <v>2017</v>
      </c>
      <c r="B15" s="407"/>
      <c r="C15" s="1659">
        <v>135.87010868949105</v>
      </c>
      <c r="D15" s="1660">
        <v>1130.2101811241891</v>
      </c>
      <c r="E15" s="1661">
        <v>1860.4555624995869</v>
      </c>
      <c r="F15" s="1661">
        <v>8970.1976701133171</v>
      </c>
      <c r="G15" s="1662">
        <v>333.19405482585466</v>
      </c>
      <c r="H15" s="1663">
        <v>4737.1702734140645</v>
      </c>
      <c r="I15" s="1664">
        <v>857.84656973846245</v>
      </c>
      <c r="J15" s="1661">
        <v>18024.964402942245</v>
      </c>
      <c r="K15" s="1665">
        <v>13364.043650535194</v>
      </c>
      <c r="L15" s="1666">
        <v>31388.988053477431</v>
      </c>
      <c r="M15" s="1667">
        <v>5461.3227363955975</v>
      </c>
      <c r="N15" s="1073"/>
      <c r="O15" s="778"/>
    </row>
    <row r="16" spans="1:15" s="321" customFormat="1" ht="14.25" customHeight="1">
      <c r="A16" s="747">
        <v>2018</v>
      </c>
      <c r="B16" s="748"/>
      <c r="C16" s="1146">
        <v>153.61401866671198</v>
      </c>
      <c r="D16" s="645">
        <v>889.0274201716195</v>
      </c>
      <c r="E16" s="723">
        <v>2070.5527012026528</v>
      </c>
      <c r="F16" s="723">
        <v>9860.5224357719762</v>
      </c>
      <c r="G16" s="626">
        <v>261.09804778127256</v>
      </c>
      <c r="H16" s="1147">
        <v>4790.9151197145866</v>
      </c>
      <c r="I16" s="1148">
        <v>913.60152774705796</v>
      </c>
      <c r="J16" s="723">
        <v>18939.31694201149</v>
      </c>
      <c r="K16" s="1149">
        <v>13629.708080063867</v>
      </c>
      <c r="L16" s="1150">
        <v>32569.025022075359</v>
      </c>
      <c r="M16" s="1151">
        <v>6068.6923156719404</v>
      </c>
      <c r="N16" s="1068"/>
      <c r="O16" s="778"/>
    </row>
    <row r="17" spans="1:15" s="321" customFormat="1" ht="14.25" customHeight="1">
      <c r="A17" s="747">
        <v>2019</v>
      </c>
      <c r="B17" s="748"/>
      <c r="C17" s="1146">
        <v>152.01815108439322</v>
      </c>
      <c r="D17" s="645">
        <v>1443.5138628727032</v>
      </c>
      <c r="E17" s="723">
        <v>1956.5127468639735</v>
      </c>
      <c r="F17" s="723">
        <v>9966.7851993423283</v>
      </c>
      <c r="G17" s="626">
        <v>301.55684848336523</v>
      </c>
      <c r="H17" s="1147">
        <v>5235.0001561828694</v>
      </c>
      <c r="I17" s="1148">
        <v>891.202485273717</v>
      </c>
      <c r="J17" s="723">
        <v>19946.568477436442</v>
      </c>
      <c r="K17" s="1149">
        <v>15423.23278930428</v>
      </c>
      <c r="L17" s="1150">
        <v>35369.801266740717</v>
      </c>
      <c r="M17" s="1151">
        <v>6799.8420027608672</v>
      </c>
      <c r="N17" s="1068"/>
      <c r="O17" s="778"/>
    </row>
    <row r="18" spans="1:15" s="321" customFormat="1" ht="14.25" customHeight="1">
      <c r="A18" s="747">
        <v>2020</v>
      </c>
      <c r="B18" s="748"/>
      <c r="C18" s="1146">
        <v>152.14040643960661</v>
      </c>
      <c r="D18" s="645">
        <v>1343.9381437547299</v>
      </c>
      <c r="E18" s="723">
        <v>1815.8812734186554</v>
      </c>
      <c r="F18" s="723">
        <v>10644.319226108561</v>
      </c>
      <c r="G18" s="626">
        <v>369.604072205649</v>
      </c>
      <c r="H18" s="1147">
        <v>5641.1092276645286</v>
      </c>
      <c r="I18" s="1148">
        <v>972.75730277415607</v>
      </c>
      <c r="J18" s="723">
        <v>20939.749652365885</v>
      </c>
      <c r="K18" s="1149">
        <v>14507.584865149944</v>
      </c>
      <c r="L18" s="1150">
        <v>35447.334517515825</v>
      </c>
      <c r="M18" s="1151">
        <v>7078.9765895044402</v>
      </c>
      <c r="N18" s="1068"/>
      <c r="O18" s="778"/>
    </row>
    <row r="19" spans="1:15" s="321" customFormat="1" ht="14.25" customHeight="1">
      <c r="A19" s="747">
        <v>2021</v>
      </c>
      <c r="B19" s="748"/>
      <c r="C19" s="1146">
        <v>145.95841701867218</v>
      </c>
      <c r="D19" s="645">
        <v>1748.0306685540097</v>
      </c>
      <c r="E19" s="723">
        <v>1919.9081666985462</v>
      </c>
      <c r="F19" s="723">
        <v>11111.127374236223</v>
      </c>
      <c r="G19" s="626">
        <v>454.44417880146625</v>
      </c>
      <c r="H19" s="1147">
        <v>5824.9829172615428</v>
      </c>
      <c r="I19" s="1148">
        <v>921.75746726784905</v>
      </c>
      <c r="J19" s="723">
        <v>22126.199189433308</v>
      </c>
      <c r="K19" s="1149">
        <v>15247.818099927881</v>
      </c>
      <c r="L19" s="1150">
        <v>37374.017289361189</v>
      </c>
      <c r="M19" s="1151">
        <v>7469.5470989989062</v>
      </c>
      <c r="N19" s="1068"/>
      <c r="O19" s="778"/>
    </row>
    <row r="20" spans="1:15" s="321" customFormat="1" ht="14.25" customHeight="1">
      <c r="A20" s="747">
        <v>2022</v>
      </c>
      <c r="B20" s="748"/>
      <c r="C20" s="1146">
        <v>177.85355717154039</v>
      </c>
      <c r="D20" s="645">
        <v>3044.7492307360289</v>
      </c>
      <c r="E20" s="723">
        <v>1542.2672522382782</v>
      </c>
      <c r="F20" s="723">
        <v>11505.400231115644</v>
      </c>
      <c r="G20" s="626">
        <v>629.84344403702517</v>
      </c>
      <c r="H20" s="1147">
        <v>5789.0690879326748</v>
      </c>
      <c r="I20" s="1148">
        <v>1193.238695635368</v>
      </c>
      <c r="J20" s="723">
        <v>23882.421498866555</v>
      </c>
      <c r="K20" s="1149">
        <v>14365.004196472149</v>
      </c>
      <c r="L20" s="1150">
        <v>38247.425695338708</v>
      </c>
      <c r="M20" s="1151">
        <v>9227.6589447925835</v>
      </c>
      <c r="N20" s="1068"/>
      <c r="O20" s="778"/>
    </row>
    <row r="21" spans="1:15" s="321" customFormat="1" ht="14.25" customHeight="1">
      <c r="A21" s="747">
        <v>2023</v>
      </c>
      <c r="B21" s="748"/>
      <c r="C21" s="1146">
        <v>135.90690119702001</v>
      </c>
      <c r="D21" s="645">
        <v>4327.50315745848</v>
      </c>
      <c r="E21" s="723">
        <v>1808.49274727122</v>
      </c>
      <c r="F21" s="723">
        <v>11804.930969689533</v>
      </c>
      <c r="G21" s="626">
        <v>925.35881948390079</v>
      </c>
      <c r="H21" s="1147">
        <v>5538.6275134443949</v>
      </c>
      <c r="I21" s="1148">
        <v>1111.5111251601061</v>
      </c>
      <c r="J21" s="723">
        <v>25652.321233704653</v>
      </c>
      <c r="K21" s="1149">
        <v>14608.358006707931</v>
      </c>
      <c r="L21" s="1150">
        <v>40260.679240412581</v>
      </c>
      <c r="M21" s="1151">
        <v>8085.7206714014173</v>
      </c>
      <c r="N21" s="1068"/>
      <c r="O21" s="778"/>
    </row>
    <row r="22" spans="1:15" s="321" customFormat="1" ht="14.25" customHeight="1">
      <c r="A22" s="907">
        <v>2024</v>
      </c>
      <c r="B22" s="999"/>
      <c r="C22" s="1062">
        <f t="shared" ref="C22:M22" si="0">C27</f>
        <v>136.80272008418029</v>
      </c>
      <c r="D22" s="1004">
        <f t="shared" si="0"/>
        <v>4630.361426748038</v>
      </c>
      <c r="E22" s="1008">
        <f t="shared" si="0"/>
        <v>2014.6235242127937</v>
      </c>
      <c r="F22" s="1008">
        <f t="shared" si="0"/>
        <v>11897.037488911043</v>
      </c>
      <c r="G22" s="1029">
        <f t="shared" si="0"/>
        <v>1160.0747486541443</v>
      </c>
      <c r="H22" s="1063">
        <f t="shared" si="0"/>
        <v>5774.3295687969949</v>
      </c>
      <c r="I22" s="1064">
        <f t="shared" si="0"/>
        <v>1249.8445850251187</v>
      </c>
      <c r="J22" s="1008">
        <f t="shared" si="0"/>
        <v>26863.024062432312</v>
      </c>
      <c r="K22" s="1065">
        <f t="shared" si="0"/>
        <v>14846.494816834533</v>
      </c>
      <c r="L22" s="1066">
        <f t="shared" si="0"/>
        <v>41709.518879266841</v>
      </c>
      <c r="M22" s="1067">
        <f t="shared" si="0"/>
        <v>7311.1839031034806</v>
      </c>
      <c r="N22" s="1068"/>
      <c r="O22" s="778"/>
    </row>
    <row r="23" spans="1:15" s="321" customFormat="1" ht="21" customHeight="1">
      <c r="A23" s="747">
        <v>2023</v>
      </c>
      <c r="B23" s="748" t="s">
        <v>238</v>
      </c>
      <c r="C23" s="1146">
        <v>135.90690119702001</v>
      </c>
      <c r="D23" s="645">
        <v>4327.50315745848</v>
      </c>
      <c r="E23" s="723">
        <v>1808.49274727122</v>
      </c>
      <c r="F23" s="723">
        <v>11804.930969689533</v>
      </c>
      <c r="G23" s="626">
        <v>925.35881948390079</v>
      </c>
      <c r="H23" s="1147">
        <v>5538.6275134443949</v>
      </c>
      <c r="I23" s="1148">
        <v>1111.5111251601061</v>
      </c>
      <c r="J23" s="723">
        <v>25652.321233704653</v>
      </c>
      <c r="K23" s="1149">
        <v>14608.358006707931</v>
      </c>
      <c r="L23" s="1150">
        <v>40260.679240412581</v>
      </c>
      <c r="M23" s="1151">
        <v>8085.7206714014173</v>
      </c>
      <c r="N23" s="1068"/>
      <c r="O23" s="314"/>
    </row>
    <row r="24" spans="1:15" s="321" customFormat="1" ht="21" customHeight="1">
      <c r="A24" s="747">
        <v>2024</v>
      </c>
      <c r="B24" s="748" t="s">
        <v>239</v>
      </c>
      <c r="C24" s="1146">
        <v>188.62148606014091</v>
      </c>
      <c r="D24" s="645">
        <v>4216.0666242200004</v>
      </c>
      <c r="E24" s="723">
        <v>1572.28792794534</v>
      </c>
      <c r="F24" s="723">
        <v>12103.286298997315</v>
      </c>
      <c r="G24" s="626">
        <v>1007.7292425584786</v>
      </c>
      <c r="H24" s="1147">
        <v>5882.5006303893133</v>
      </c>
      <c r="I24" s="1148">
        <v>1107.7221140588429</v>
      </c>
      <c r="J24" s="723">
        <v>26078.21432422943</v>
      </c>
      <c r="K24" s="1149">
        <v>14624.364205364966</v>
      </c>
      <c r="L24" s="1150">
        <v>40702.578529594393</v>
      </c>
      <c r="M24" s="1151">
        <v>8065.8695627214511</v>
      </c>
      <c r="N24" s="1068"/>
      <c r="O24" s="314"/>
    </row>
    <row r="25" spans="1:15" s="321" customFormat="1" ht="15" customHeight="1">
      <c r="A25" s="747"/>
      <c r="B25" s="748" t="s">
        <v>240</v>
      </c>
      <c r="C25" s="1146">
        <v>156.66274595305768</v>
      </c>
      <c r="D25" s="645">
        <v>4824.4216580980001</v>
      </c>
      <c r="E25" s="723">
        <v>1550.7378678379764</v>
      </c>
      <c r="F25" s="723">
        <v>12242.259972509069</v>
      </c>
      <c r="G25" s="626">
        <v>1012.4998555616075</v>
      </c>
      <c r="H25" s="1147">
        <v>5577.9912585579705</v>
      </c>
      <c r="I25" s="1148">
        <v>1178.2693698076257</v>
      </c>
      <c r="J25" s="723">
        <v>26542.862728325312</v>
      </c>
      <c r="K25" s="1149">
        <v>14655.041104269798</v>
      </c>
      <c r="L25" s="1150">
        <v>41197.8838325951</v>
      </c>
      <c r="M25" s="1151">
        <v>7953.1182030894342</v>
      </c>
      <c r="N25" s="1068"/>
      <c r="O25" s="314"/>
    </row>
    <row r="26" spans="1:15" s="321" customFormat="1" ht="15" customHeight="1">
      <c r="A26" s="747"/>
      <c r="B26" s="748" t="s">
        <v>237</v>
      </c>
      <c r="C26" s="1146">
        <v>128.34604386187928</v>
      </c>
      <c r="D26" s="645">
        <v>5274.5170140540004</v>
      </c>
      <c r="E26" s="723">
        <v>1682.9628569176846</v>
      </c>
      <c r="F26" s="723">
        <v>12132.166024345523</v>
      </c>
      <c r="G26" s="626">
        <v>1059.0662853022038</v>
      </c>
      <c r="H26" s="1147">
        <v>5723.7379522009369</v>
      </c>
      <c r="I26" s="1148">
        <v>1254.5728944914358</v>
      </c>
      <c r="J26" s="723">
        <v>27255.389071173668</v>
      </c>
      <c r="K26" s="1149">
        <v>14276.599021203841</v>
      </c>
      <c r="L26" s="1150">
        <v>41531.988092377513</v>
      </c>
      <c r="M26" s="1151">
        <v>8283.7555795199969</v>
      </c>
      <c r="N26" s="1068"/>
      <c r="O26" s="314"/>
    </row>
    <row r="27" spans="1:15" s="321" customFormat="1" ht="15" customHeight="1">
      <c r="A27" s="747"/>
      <c r="B27" s="748" t="s">
        <v>238</v>
      </c>
      <c r="C27" s="1146">
        <v>136.80272008418029</v>
      </c>
      <c r="D27" s="645">
        <v>4630.361426748038</v>
      </c>
      <c r="E27" s="723">
        <v>2014.6235242127937</v>
      </c>
      <c r="F27" s="723">
        <v>11897.037488911043</v>
      </c>
      <c r="G27" s="626">
        <v>1160.0747486541443</v>
      </c>
      <c r="H27" s="1147">
        <v>5774.3295687969949</v>
      </c>
      <c r="I27" s="1148">
        <v>1249.8445850251187</v>
      </c>
      <c r="J27" s="723">
        <v>26863.024062432312</v>
      </c>
      <c r="K27" s="1149">
        <v>14846.494816834533</v>
      </c>
      <c r="L27" s="1150">
        <v>41709.518879266841</v>
      </c>
      <c r="M27" s="1151">
        <v>7311.1839031034806</v>
      </c>
      <c r="N27" s="1068"/>
      <c r="O27" s="314"/>
    </row>
    <row r="28" spans="1:15" s="321" customFormat="1" ht="21" customHeight="1">
      <c r="A28" s="747">
        <v>2025</v>
      </c>
      <c r="B28" s="748" t="s">
        <v>239</v>
      </c>
      <c r="C28" s="1146">
        <f t="shared" ref="C28:M28" si="1">C36</f>
        <v>112.65437204347867</v>
      </c>
      <c r="D28" s="645">
        <f t="shared" si="1"/>
        <v>5191.2290208330005</v>
      </c>
      <c r="E28" s="723">
        <f t="shared" si="1"/>
        <v>2092.167428438559</v>
      </c>
      <c r="F28" s="723">
        <f t="shared" si="1"/>
        <v>12209.403658198527</v>
      </c>
      <c r="G28" s="626">
        <f t="shared" si="1"/>
        <v>1168.7777575600308</v>
      </c>
      <c r="H28" s="1147">
        <f t="shared" si="1"/>
        <v>5789.4370053384337</v>
      </c>
      <c r="I28" s="1148">
        <f t="shared" si="1"/>
        <v>1262.1581112206359</v>
      </c>
      <c r="J28" s="723">
        <f t="shared" si="1"/>
        <v>27825.867353632671</v>
      </c>
      <c r="K28" s="1149">
        <f t="shared" si="1"/>
        <v>14617.216609590561</v>
      </c>
      <c r="L28" s="1150">
        <f t="shared" si="1"/>
        <v>42443.063963223241</v>
      </c>
      <c r="M28" s="1151">
        <f t="shared" si="1"/>
        <v>9594.7637790396184</v>
      </c>
      <c r="N28" s="1068"/>
      <c r="O28" s="314"/>
    </row>
    <row r="29" spans="1:15" s="321" customFormat="1" ht="15" customHeight="1">
      <c r="A29" s="747"/>
      <c r="B29" s="748" t="s">
        <v>240</v>
      </c>
      <c r="C29" s="1146">
        <f t="shared" ref="C29:M29" si="2">C39</f>
        <v>127.21298189242717</v>
      </c>
      <c r="D29" s="645">
        <f t="shared" si="2"/>
        <v>4830.5878948819991</v>
      </c>
      <c r="E29" s="723">
        <f t="shared" si="2"/>
        <v>2134.4590575742814</v>
      </c>
      <c r="F29" s="723">
        <f t="shared" si="2"/>
        <v>12226.193005835752</v>
      </c>
      <c r="G29" s="626">
        <f t="shared" si="2"/>
        <v>1010.7150584789999</v>
      </c>
      <c r="H29" s="1147">
        <f t="shared" si="2"/>
        <v>6600.5946867416769</v>
      </c>
      <c r="I29" s="1148">
        <f t="shared" si="2"/>
        <v>1286.2941977850521</v>
      </c>
      <c r="J29" s="723">
        <f t="shared" si="2"/>
        <v>28216.08688319019</v>
      </c>
      <c r="K29" s="1149">
        <f t="shared" si="2"/>
        <v>15336.864423943316</v>
      </c>
      <c r="L29" s="1150">
        <f t="shared" si="2"/>
        <v>43552.951307133502</v>
      </c>
      <c r="M29" s="1151">
        <f t="shared" si="2"/>
        <v>8792.8342930903691</v>
      </c>
      <c r="N29" s="1068"/>
      <c r="O29" s="314"/>
    </row>
    <row r="30" spans="1:15" s="321" customFormat="1" ht="15" customHeight="1">
      <c r="A30" s="907"/>
      <c r="B30" s="999" t="s">
        <v>237</v>
      </c>
      <c r="C30" s="1062">
        <f t="shared" ref="C30:M30" si="3">C42</f>
        <v>220.8016936297899</v>
      </c>
      <c r="D30" s="1004">
        <f t="shared" si="3"/>
        <v>4303.3351148128859</v>
      </c>
      <c r="E30" s="1008">
        <f t="shared" si="3"/>
        <v>1890.0302047554383</v>
      </c>
      <c r="F30" s="1008">
        <f t="shared" si="3"/>
        <v>12070.874790278758</v>
      </c>
      <c r="G30" s="1029">
        <f t="shared" si="3"/>
        <v>1427.29604254797</v>
      </c>
      <c r="H30" s="1063">
        <f t="shared" si="3"/>
        <v>7010.2290862109767</v>
      </c>
      <c r="I30" s="1064">
        <f t="shared" si="3"/>
        <v>1178.6952588406634</v>
      </c>
      <c r="J30" s="1008">
        <f t="shared" si="3"/>
        <v>28101.242191076482</v>
      </c>
      <c r="K30" s="1065">
        <f t="shared" si="3"/>
        <v>15959.487446916028</v>
      </c>
      <c r="L30" s="1066">
        <f t="shared" si="3"/>
        <v>44060.749637992507</v>
      </c>
      <c r="M30" s="1067">
        <f t="shared" si="3"/>
        <v>8453.385067510575</v>
      </c>
      <c r="N30" s="1068"/>
      <c r="O30" s="314"/>
    </row>
    <row r="31" spans="1:15" s="306" customFormat="1" ht="21" customHeight="1">
      <c r="A31" s="405">
        <v>2024</v>
      </c>
      <c r="B31" s="406" t="s">
        <v>412</v>
      </c>
      <c r="C31" s="681">
        <v>128.57536755232715</v>
      </c>
      <c r="D31" s="802">
        <v>5118.9251608029999</v>
      </c>
      <c r="E31" s="684">
        <v>1694.7283248768936</v>
      </c>
      <c r="F31" s="684">
        <v>12049.279829445828</v>
      </c>
      <c r="G31" s="682">
        <v>1037.0877973409451</v>
      </c>
      <c r="H31" s="682">
        <v>5722.6111585226663</v>
      </c>
      <c r="I31" s="683">
        <v>1242.6199584483734</v>
      </c>
      <c r="J31" s="684">
        <v>26993.827596990039</v>
      </c>
      <c r="K31" s="684">
        <v>14048.855322344096</v>
      </c>
      <c r="L31" s="685">
        <v>41042.672919334131</v>
      </c>
      <c r="M31" s="1199">
        <v>8095.3955606328327</v>
      </c>
      <c r="N31" s="783"/>
      <c r="O31" s="314"/>
    </row>
    <row r="32" spans="1:15" s="306" customFormat="1" ht="16.5" customHeight="1">
      <c r="A32" s="405"/>
      <c r="B32" s="406" t="s">
        <v>413</v>
      </c>
      <c r="C32" s="681">
        <v>138.1821236248075</v>
      </c>
      <c r="D32" s="802">
        <v>5075.0111861819996</v>
      </c>
      <c r="E32" s="684">
        <v>1921.3072089691327</v>
      </c>
      <c r="F32" s="684">
        <v>11912.477589658898</v>
      </c>
      <c r="G32" s="682">
        <v>1053.1342132556979</v>
      </c>
      <c r="H32" s="682">
        <v>5612.5511535778669</v>
      </c>
      <c r="I32" s="683">
        <v>1236.2293628425814</v>
      </c>
      <c r="J32" s="684">
        <v>26948.862838110988</v>
      </c>
      <c r="K32" s="684">
        <v>14571.573538491237</v>
      </c>
      <c r="L32" s="685">
        <v>41520.456376602226</v>
      </c>
      <c r="M32" s="1199">
        <v>8227.106497458024</v>
      </c>
      <c r="N32" s="783"/>
      <c r="O32" s="314"/>
    </row>
    <row r="33" spans="1:15" s="306" customFormat="1" ht="16.5" customHeight="1">
      <c r="A33" s="405"/>
      <c r="B33" s="406" t="s">
        <v>414</v>
      </c>
      <c r="C33" s="681">
        <v>136.80272008418029</v>
      </c>
      <c r="D33" s="802">
        <v>4630.361426748038</v>
      </c>
      <c r="E33" s="684">
        <v>2014.6235242127937</v>
      </c>
      <c r="F33" s="684">
        <v>11897.037488911043</v>
      </c>
      <c r="G33" s="682">
        <v>1160.0747486541443</v>
      </c>
      <c r="H33" s="682">
        <v>5774.3295687969949</v>
      </c>
      <c r="I33" s="683">
        <v>1249.8445850251187</v>
      </c>
      <c r="J33" s="684">
        <v>26863.024062432312</v>
      </c>
      <c r="K33" s="684">
        <v>14846.494816834533</v>
      </c>
      <c r="L33" s="685">
        <v>41709.518879266841</v>
      </c>
      <c r="M33" s="1199">
        <v>7311.1839031034806</v>
      </c>
      <c r="N33" s="783"/>
      <c r="O33" s="314"/>
    </row>
    <row r="34" spans="1:15" s="306" customFormat="1" ht="21" customHeight="1">
      <c r="A34" s="405">
        <v>2025</v>
      </c>
      <c r="B34" s="406" t="s">
        <v>415</v>
      </c>
      <c r="C34" s="681">
        <v>135.31230926818117</v>
      </c>
      <c r="D34" s="802">
        <v>5084.5585387853134</v>
      </c>
      <c r="E34" s="684">
        <v>1904.0086979846544</v>
      </c>
      <c r="F34" s="684">
        <v>11827.955953367928</v>
      </c>
      <c r="G34" s="682">
        <v>1159.7627349079412</v>
      </c>
      <c r="H34" s="682">
        <v>5700.9463389425173</v>
      </c>
      <c r="I34" s="683">
        <v>1222.5281049254636</v>
      </c>
      <c r="J34" s="684">
        <v>27035.052678182001</v>
      </c>
      <c r="K34" s="684">
        <v>14614.55406497444</v>
      </c>
      <c r="L34" s="685">
        <v>41649.65674315644</v>
      </c>
      <c r="M34" s="1199">
        <v>8139.8187260424638</v>
      </c>
      <c r="N34" s="783"/>
      <c r="O34" s="314"/>
    </row>
    <row r="35" spans="1:15" s="306" customFormat="1" ht="16.5" customHeight="1">
      <c r="A35" s="405"/>
      <c r="B35" s="406" t="s">
        <v>416</v>
      </c>
      <c r="C35" s="681">
        <v>118.26035760203857</v>
      </c>
      <c r="D35" s="802">
        <v>5124.3156450101615</v>
      </c>
      <c r="E35" s="684">
        <v>2031.0821101094155</v>
      </c>
      <c r="F35" s="684">
        <v>11946.139297052345</v>
      </c>
      <c r="G35" s="682">
        <v>1196.705564603018</v>
      </c>
      <c r="H35" s="682">
        <v>5747.418079294016</v>
      </c>
      <c r="I35" s="683">
        <v>1234.1966727337337</v>
      </c>
      <c r="J35" s="684">
        <v>27398.117726404726</v>
      </c>
      <c r="K35" s="684">
        <v>14299.587423297402</v>
      </c>
      <c r="L35" s="685">
        <v>41697.705149702131</v>
      </c>
      <c r="M35" s="1199">
        <v>9413.6561160492438</v>
      </c>
      <c r="N35" s="783"/>
      <c r="O35" s="314"/>
    </row>
    <row r="36" spans="1:15" s="306" customFormat="1" ht="16.5" customHeight="1">
      <c r="A36" s="405"/>
      <c r="B36" s="406" t="s">
        <v>417</v>
      </c>
      <c r="C36" s="681">
        <v>112.65437204347867</v>
      </c>
      <c r="D36" s="802">
        <v>5191.2290208330005</v>
      </c>
      <c r="E36" s="684">
        <v>2092.167428438559</v>
      </c>
      <c r="F36" s="684">
        <v>12209.403658198527</v>
      </c>
      <c r="G36" s="682">
        <v>1168.7777575600308</v>
      </c>
      <c r="H36" s="682">
        <v>5789.4370053384337</v>
      </c>
      <c r="I36" s="683">
        <v>1262.1581112206359</v>
      </c>
      <c r="J36" s="684">
        <v>27825.867353632671</v>
      </c>
      <c r="K36" s="684">
        <v>14617.216609590561</v>
      </c>
      <c r="L36" s="685">
        <v>42443.063963223241</v>
      </c>
      <c r="M36" s="1199">
        <v>9594.7637790396184</v>
      </c>
      <c r="N36" s="783"/>
      <c r="O36" s="314"/>
    </row>
    <row r="37" spans="1:15" s="306" customFormat="1" ht="16.5" customHeight="1">
      <c r="A37" s="405"/>
      <c r="B37" s="406" t="s">
        <v>418</v>
      </c>
      <c r="C37" s="681">
        <v>123.66029960269142</v>
      </c>
      <c r="D37" s="802">
        <v>4970.7198842255611</v>
      </c>
      <c r="E37" s="684">
        <v>2193.9410820107537</v>
      </c>
      <c r="F37" s="684">
        <v>12185.050839010364</v>
      </c>
      <c r="G37" s="682">
        <v>962.44391903899998</v>
      </c>
      <c r="H37" s="682">
        <v>6074.7052593722537</v>
      </c>
      <c r="I37" s="683">
        <v>1191.2430135099592</v>
      </c>
      <c r="J37" s="684">
        <v>27701.744296770579</v>
      </c>
      <c r="K37" s="684">
        <v>15061.711720099085</v>
      </c>
      <c r="L37" s="685">
        <v>42763.436016869658</v>
      </c>
      <c r="M37" s="1199">
        <v>9484.0559212129247</v>
      </c>
      <c r="N37" s="783"/>
      <c r="O37" s="314"/>
    </row>
    <row r="38" spans="1:15" s="306" customFormat="1" ht="16.5" customHeight="1">
      <c r="A38" s="405"/>
      <c r="B38" s="406" t="s">
        <v>419</v>
      </c>
      <c r="C38" s="681">
        <v>125.46282625978367</v>
      </c>
      <c r="D38" s="802">
        <v>5013.969964938</v>
      </c>
      <c r="E38" s="684">
        <v>2018.6322600753349</v>
      </c>
      <c r="F38" s="684">
        <v>12218.675505790741</v>
      </c>
      <c r="G38" s="682">
        <v>981.30509939699994</v>
      </c>
      <c r="H38" s="682">
        <v>6574.2404822723129</v>
      </c>
      <c r="I38" s="683">
        <v>1253.7833327172186</v>
      </c>
      <c r="J38" s="684">
        <v>28186.109471450392</v>
      </c>
      <c r="K38" s="684">
        <v>15268.652679477085</v>
      </c>
      <c r="L38" s="685">
        <v>43454.762150927476</v>
      </c>
      <c r="M38" s="1199">
        <v>8518.5070034670425</v>
      </c>
      <c r="N38" s="783"/>
      <c r="O38" s="314"/>
    </row>
    <row r="39" spans="1:15" s="306" customFormat="1" ht="16.5" customHeight="1">
      <c r="A39" s="405"/>
      <c r="B39" s="406" t="s">
        <v>420</v>
      </c>
      <c r="C39" s="681">
        <v>127.21298189242717</v>
      </c>
      <c r="D39" s="802">
        <v>4830.5878948819991</v>
      </c>
      <c r="E39" s="684">
        <v>2134.4590575742814</v>
      </c>
      <c r="F39" s="684">
        <v>12226.193005835752</v>
      </c>
      <c r="G39" s="682">
        <v>1010.7150584789999</v>
      </c>
      <c r="H39" s="682">
        <v>6600.5946867416769</v>
      </c>
      <c r="I39" s="683">
        <v>1286.2941977850521</v>
      </c>
      <c r="J39" s="684">
        <v>28216.08688319019</v>
      </c>
      <c r="K39" s="684">
        <v>15336.864423943316</v>
      </c>
      <c r="L39" s="685">
        <v>43552.951307133502</v>
      </c>
      <c r="M39" s="1199">
        <v>8792.8342930903691</v>
      </c>
      <c r="N39" s="783"/>
      <c r="O39" s="314"/>
    </row>
    <row r="40" spans="1:15" s="306" customFormat="1" ht="16.5" customHeight="1">
      <c r="A40" s="405"/>
      <c r="B40" s="406" t="s">
        <v>421</v>
      </c>
      <c r="C40" s="681">
        <v>184.00138336706829</v>
      </c>
      <c r="D40" s="802">
        <v>4805.9463011880198</v>
      </c>
      <c r="E40" s="684">
        <v>2073.8559988994671</v>
      </c>
      <c r="F40" s="684">
        <v>12170.574120990528</v>
      </c>
      <c r="G40" s="682">
        <v>1112.6346113239999</v>
      </c>
      <c r="H40" s="682">
        <v>6658.6727764465577</v>
      </c>
      <c r="I40" s="683">
        <v>1205.2857738176522</v>
      </c>
      <c r="J40" s="684">
        <v>28211.010966033293</v>
      </c>
      <c r="K40" s="684">
        <v>15588.617386193881</v>
      </c>
      <c r="L40" s="685">
        <v>43799.628352227177</v>
      </c>
      <c r="M40" s="1199">
        <v>8024.9120933151244</v>
      </c>
      <c r="N40" s="783"/>
      <c r="O40" s="314"/>
    </row>
    <row r="41" spans="1:15" s="306" customFormat="1" ht="16.5" customHeight="1">
      <c r="A41" s="405"/>
      <c r="B41" s="406" t="s">
        <v>422</v>
      </c>
      <c r="C41" s="681">
        <v>172.37130876621356</v>
      </c>
      <c r="D41" s="802">
        <v>4436.520745932</v>
      </c>
      <c r="E41" s="684">
        <v>1867.2391458807715</v>
      </c>
      <c r="F41" s="684">
        <v>12102.288466598202</v>
      </c>
      <c r="G41" s="682">
        <v>1301.6709238819999</v>
      </c>
      <c r="H41" s="682">
        <v>6950.6064074922479</v>
      </c>
      <c r="I41" s="683">
        <v>1206.1747577996452</v>
      </c>
      <c r="J41" s="684">
        <v>28036.87175635108</v>
      </c>
      <c r="K41" s="684">
        <v>16210.065705840276</v>
      </c>
      <c r="L41" s="685">
        <v>44246.957462191356</v>
      </c>
      <c r="M41" s="1199">
        <v>8380.2199291224897</v>
      </c>
      <c r="N41" s="783"/>
      <c r="O41" s="314"/>
    </row>
    <row r="42" spans="1:15" s="306" customFormat="1" ht="16.5" customHeight="1">
      <c r="A42" s="405"/>
      <c r="B42" s="406" t="s">
        <v>423</v>
      </c>
      <c r="C42" s="681">
        <v>220.8016936297899</v>
      </c>
      <c r="D42" s="802">
        <v>4303.3351148128859</v>
      </c>
      <c r="E42" s="684">
        <v>1890.0302047554383</v>
      </c>
      <c r="F42" s="684">
        <v>12070.874790278758</v>
      </c>
      <c r="G42" s="682">
        <v>1427.29604254797</v>
      </c>
      <c r="H42" s="682">
        <v>7010.2290862109767</v>
      </c>
      <c r="I42" s="683">
        <v>1178.6952588406634</v>
      </c>
      <c r="J42" s="684">
        <v>28101.242191076482</v>
      </c>
      <c r="K42" s="684">
        <v>15959.487446916028</v>
      </c>
      <c r="L42" s="685">
        <v>44060.749637992507</v>
      </c>
      <c r="M42" s="1199">
        <v>8453.385067510575</v>
      </c>
      <c r="N42" s="783"/>
      <c r="O42" s="314"/>
    </row>
    <row r="43" spans="1:15" s="306" customFormat="1" ht="16.5" customHeight="1">
      <c r="A43" s="405"/>
      <c r="B43" s="406" t="s">
        <v>412</v>
      </c>
      <c r="C43" s="681">
        <v>176.86320916793096</v>
      </c>
      <c r="D43" s="802">
        <v>4202.0262099186048</v>
      </c>
      <c r="E43" s="684">
        <v>2411.5779054475406</v>
      </c>
      <c r="F43" s="684">
        <v>12185.737582546886</v>
      </c>
      <c r="G43" s="682">
        <v>1437.4596204567499</v>
      </c>
      <c r="H43" s="682">
        <v>6935.9245483255372</v>
      </c>
      <c r="I43" s="683">
        <v>1161.4778174809589</v>
      </c>
      <c r="J43" s="684">
        <v>28511.066893344214</v>
      </c>
      <c r="K43" s="684">
        <v>15677.273757909072</v>
      </c>
      <c r="L43" s="685">
        <v>44188.360651253279</v>
      </c>
      <c r="M43" s="1199">
        <v>8026.9380401363851</v>
      </c>
      <c r="N43" s="783"/>
      <c r="O43" s="314"/>
    </row>
    <row r="44" spans="1:15" ht="20.25" customHeight="1">
      <c r="A44" s="215" t="s">
        <v>846</v>
      </c>
      <c r="B44" s="216"/>
      <c r="C44" s="583"/>
      <c r="D44" s="216"/>
      <c r="E44" s="216"/>
      <c r="F44" s="216"/>
      <c r="G44" s="216"/>
      <c r="H44" s="216"/>
      <c r="I44" s="216"/>
      <c r="J44" s="216"/>
      <c r="K44" s="216"/>
      <c r="L44" s="216"/>
      <c r="M44" s="236" t="s">
        <v>847</v>
      </c>
    </row>
    <row r="45" spans="1:15" ht="12.75" customHeight="1">
      <c r="A45" s="5" t="s">
        <v>848</v>
      </c>
      <c r="B45" s="15"/>
      <c r="C45" s="15"/>
      <c r="D45" s="15"/>
      <c r="E45" s="15"/>
      <c r="F45" s="15"/>
      <c r="G45" s="147"/>
      <c r="I45"/>
      <c r="K45" s="15"/>
      <c r="L45" s="15"/>
      <c r="M45" s="237" t="s">
        <v>849</v>
      </c>
    </row>
    <row r="46" spans="1:15" ht="15.75">
      <c r="B46" s="250"/>
      <c r="C46" s="576"/>
      <c r="D46" s="577"/>
      <c r="E46" s="577"/>
      <c r="F46" s="577"/>
      <c r="G46" s="577"/>
      <c r="H46" s="577"/>
      <c r="I46" s="577"/>
      <c r="J46" s="578"/>
      <c r="K46" s="579"/>
      <c r="L46" s="577"/>
      <c r="M46" s="577"/>
    </row>
    <row r="47" spans="1:15">
      <c r="A47" s="318" t="s">
        <v>850</v>
      </c>
      <c r="B47" s="10"/>
      <c r="C47" s="11"/>
      <c r="D47" s="11"/>
      <c r="E47" s="11"/>
      <c r="F47" s="11"/>
      <c r="G47" s="11"/>
      <c r="H47" s="11"/>
      <c r="I47" s="11"/>
      <c r="J47" s="11"/>
      <c r="K47" s="11"/>
      <c r="L47" s="1262"/>
      <c r="M47" s="1262"/>
    </row>
    <row r="48" spans="1:15">
      <c r="A48" s="13"/>
      <c r="B48" s="19"/>
      <c r="L48" s="1483"/>
      <c r="M48"/>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tabSelected="1" zoomScale="80" zoomScaleNormal="80" workbookViewId="0">
      <pane ySplit="12" topLeftCell="A17" activePane="bottomLeft" state="frozen"/>
      <selection activeCell="N29" sqref="N29"/>
      <selection pane="bottomLeft" activeCell="N29" sqref="N29"/>
    </sheetView>
  </sheetViews>
  <sheetFormatPr defaultColWidth="8.85546875" defaultRowHeight="12.75"/>
  <cols>
    <col min="1" max="2" width="9.28515625" customWidth="1"/>
    <col min="3" max="3" width="16.85546875" customWidth="1"/>
    <col min="4" max="4" width="14.7109375" customWidth="1"/>
    <col min="5" max="5" width="15.85546875" customWidth="1"/>
    <col min="6" max="6" width="17.7109375" customWidth="1"/>
    <col min="7" max="8" width="15.28515625" customWidth="1"/>
    <col min="9" max="11" width="15.85546875" customWidth="1"/>
    <col min="12" max="12" width="17.7109375" customWidth="1"/>
    <col min="13" max="13" width="9.7109375" style="1483" customWidth="1"/>
    <col min="14" max="14" width="9.7109375" customWidth="1"/>
  </cols>
  <sheetData>
    <row r="1" spans="1:14" s="25" customFormat="1" ht="18" customHeight="1">
      <c r="A1" s="16" t="s">
        <v>1754</v>
      </c>
      <c r="B1" s="1"/>
      <c r="C1" s="1"/>
      <c r="D1" s="1"/>
      <c r="E1" s="1"/>
      <c r="F1" s="1"/>
      <c r="G1" s="1"/>
      <c r="H1" s="1"/>
      <c r="I1" s="1"/>
      <c r="J1" s="1"/>
      <c r="K1" s="1"/>
      <c r="L1" s="1"/>
      <c r="M1" s="582"/>
    </row>
    <row r="2" spans="1:14" s="25" customFormat="1" ht="18" customHeight="1">
      <c r="A2" s="875" t="s">
        <v>826</v>
      </c>
      <c r="B2" s="1"/>
      <c r="C2" s="1"/>
      <c r="D2" s="1"/>
      <c r="E2" s="1"/>
      <c r="F2" s="1"/>
      <c r="G2" s="1"/>
      <c r="H2" s="1"/>
      <c r="I2" s="1"/>
      <c r="J2" s="1"/>
      <c r="K2" s="1"/>
      <c r="L2" s="1"/>
      <c r="M2" s="582"/>
    </row>
    <row r="3" spans="1:14" s="25" customFormat="1" ht="18" customHeight="1">
      <c r="A3" s="16" t="s">
        <v>827</v>
      </c>
      <c r="B3" s="1"/>
      <c r="C3" s="1"/>
      <c r="D3" s="1"/>
      <c r="E3" s="1"/>
      <c r="F3" s="1"/>
      <c r="G3" s="1"/>
      <c r="H3" s="1"/>
      <c r="I3" s="1"/>
      <c r="J3" s="1"/>
      <c r="K3" s="1"/>
      <c r="L3" s="1"/>
      <c r="M3" s="582"/>
    </row>
    <row r="4" spans="1:14" s="25" customFormat="1" ht="18.600000000000001" customHeight="1">
      <c r="A4" s="875" t="s">
        <v>374</v>
      </c>
      <c r="B4" s="7"/>
      <c r="C4" s="7"/>
      <c r="D4" s="7"/>
      <c r="E4" s="7"/>
      <c r="F4" s="7"/>
      <c r="G4" s="7"/>
      <c r="H4" s="7"/>
      <c r="I4" s="7"/>
      <c r="J4" s="7"/>
      <c r="K4" s="7"/>
      <c r="L4" s="7"/>
      <c r="M4" s="582"/>
    </row>
    <row r="5" spans="1:14" s="25" customFormat="1" ht="18.600000000000001" customHeight="1">
      <c r="A5" s="16" t="s">
        <v>373</v>
      </c>
      <c r="B5" s="1"/>
      <c r="C5" s="1"/>
      <c r="D5" s="1"/>
      <c r="E5" s="1"/>
      <c r="F5" s="1"/>
      <c r="G5" s="1"/>
      <c r="H5" s="1"/>
      <c r="I5" s="1"/>
      <c r="J5" s="1"/>
      <c r="K5" s="1"/>
      <c r="L5" s="1"/>
      <c r="M5" s="582"/>
    </row>
    <row r="6" spans="1:14" ht="0.6" customHeight="1">
      <c r="A6" s="16"/>
      <c r="B6" s="1"/>
      <c r="C6" s="1"/>
      <c r="D6" s="1" t="s">
        <v>828</v>
      </c>
      <c r="E6" s="1"/>
      <c r="F6" s="1"/>
      <c r="G6" s="1"/>
      <c r="H6" s="1"/>
      <c r="I6" s="1"/>
      <c r="J6" s="1"/>
      <c r="K6" s="1"/>
      <c r="L6" s="1" t="s">
        <v>828</v>
      </c>
    </row>
    <row r="7" spans="1:14" ht="12.75" customHeight="1">
      <c r="A7" s="8" t="s">
        <v>369</v>
      </c>
      <c r="B7" s="1"/>
      <c r="C7" s="2"/>
      <c r="D7" s="2"/>
      <c r="E7" s="2"/>
      <c r="F7" s="2"/>
      <c r="G7" s="2"/>
      <c r="H7" s="2"/>
      <c r="I7" s="2"/>
      <c r="J7" s="232"/>
      <c r="K7" s="20"/>
      <c r="L7" s="36" t="s">
        <v>370</v>
      </c>
    </row>
    <row r="8" spans="1:14" s="41" customFormat="1" ht="18.600000000000001" customHeight="1">
      <c r="A8" s="44"/>
      <c r="B8" s="45"/>
      <c r="C8" s="302" t="s">
        <v>851</v>
      </c>
      <c r="D8" s="40"/>
      <c r="E8" s="123"/>
      <c r="F8" s="123"/>
      <c r="G8" s="122"/>
      <c r="H8" s="123"/>
      <c r="I8" s="301" t="s">
        <v>852</v>
      </c>
      <c r="J8"/>
      <c r="K8" s="1639"/>
      <c r="L8" s="73" t="s">
        <v>853</v>
      </c>
      <c r="M8" s="143"/>
    </row>
    <row r="9" spans="1:14" s="41" customFormat="1" ht="1.5" customHeight="1">
      <c r="A9" s="42"/>
      <c r="C9" s="184"/>
      <c r="D9" s="100"/>
      <c r="E9" s="184"/>
      <c r="G9" s="101"/>
      <c r="H9" s="185"/>
      <c r="I9" s="101"/>
      <c r="J9" s="1640"/>
      <c r="K9" s="1641"/>
      <c r="L9" s="1642"/>
      <c r="M9" s="143"/>
    </row>
    <row r="10" spans="1:14" s="39" customFormat="1" ht="17.45" customHeight="1">
      <c r="A10" s="24" t="s">
        <v>379</v>
      </c>
      <c r="B10" s="74"/>
      <c r="C10" s="95" t="s">
        <v>494</v>
      </c>
      <c r="D10" s="79"/>
      <c r="E10" s="79" t="s">
        <v>500</v>
      </c>
      <c r="F10"/>
      <c r="G10" s="76"/>
      <c r="H10" s="78" t="s">
        <v>386</v>
      </c>
      <c r="I10" s="186"/>
      <c r="J10" s="105" t="s">
        <v>374</v>
      </c>
      <c r="K10" s="183" t="s">
        <v>854</v>
      </c>
      <c r="L10" s="73" t="s">
        <v>830</v>
      </c>
      <c r="M10" s="144"/>
    </row>
    <row r="11" spans="1:14" s="39" customFormat="1" ht="18" customHeight="1">
      <c r="A11" s="118" t="s">
        <v>387</v>
      </c>
      <c r="B11" s="60"/>
      <c r="C11" s="95" t="s">
        <v>498</v>
      </c>
      <c r="D11" s="79" t="s">
        <v>432</v>
      </c>
      <c r="E11" s="271" t="s">
        <v>855</v>
      </c>
      <c r="F11" s="78" t="s">
        <v>391</v>
      </c>
      <c r="G11" s="95" t="s">
        <v>816</v>
      </c>
      <c r="H11" s="95" t="s">
        <v>856</v>
      </c>
      <c r="I11" s="188" t="s">
        <v>382</v>
      </c>
      <c r="J11" s="187" t="s">
        <v>375</v>
      </c>
      <c r="K11" s="183" t="s">
        <v>374</v>
      </c>
      <c r="L11" s="51" t="s">
        <v>833</v>
      </c>
      <c r="M11" s="144"/>
    </row>
    <row r="12" spans="1:14" s="39" customFormat="1" ht="31.7" customHeight="1">
      <c r="A12" s="32"/>
      <c r="B12" s="66"/>
      <c r="C12" s="68" t="s">
        <v>366</v>
      </c>
      <c r="D12" s="209" t="s">
        <v>406</v>
      </c>
      <c r="E12" s="295" t="s">
        <v>857</v>
      </c>
      <c r="F12" s="229" t="s">
        <v>858</v>
      </c>
      <c r="G12" s="230" t="s">
        <v>400</v>
      </c>
      <c r="H12" s="231" t="s">
        <v>859</v>
      </c>
      <c r="I12" s="120" t="s">
        <v>393</v>
      </c>
      <c r="J12" s="68" t="s">
        <v>860</v>
      </c>
      <c r="K12" s="189" t="s">
        <v>861</v>
      </c>
      <c r="L12" s="190" t="s">
        <v>862</v>
      </c>
      <c r="M12" s="144"/>
    </row>
    <row r="13" spans="1:14" s="306" customFormat="1" ht="20.25" customHeight="1">
      <c r="A13" s="405">
        <v>2015</v>
      </c>
      <c r="B13" s="497"/>
      <c r="C13" s="1643">
        <v>272.49399999999997</v>
      </c>
      <c r="D13" s="784">
        <v>1111.123684988054</v>
      </c>
      <c r="E13" s="682">
        <v>9563.2868831139676</v>
      </c>
      <c r="F13" s="785">
        <v>2090.722456415363</v>
      </c>
      <c r="G13" s="1644">
        <v>526.46519075277604</v>
      </c>
      <c r="H13" s="1645">
        <v>2588.0031765462918</v>
      </c>
      <c r="I13" s="788">
        <v>16152.145391816452</v>
      </c>
      <c r="J13" s="682">
        <v>14750.222166700132</v>
      </c>
      <c r="K13" s="789">
        <v>30902.317558516585</v>
      </c>
      <c r="L13" s="790">
        <v>3544.8253978157354</v>
      </c>
      <c r="M13" s="315"/>
      <c r="N13" s="967"/>
    </row>
    <row r="14" spans="1:14" s="408" customFormat="1" ht="14.85" customHeight="1">
      <c r="A14" s="356">
        <v>2016</v>
      </c>
      <c r="B14" s="551"/>
      <c r="C14" s="1646">
        <v>244.19141922499998</v>
      </c>
      <c r="D14" s="1647">
        <v>1379.965264227757</v>
      </c>
      <c r="E14" s="1648">
        <v>9684.1768024505582</v>
      </c>
      <c r="F14" s="1649">
        <v>2122.3400329330002</v>
      </c>
      <c r="G14" s="1650">
        <v>508.03213834688023</v>
      </c>
      <c r="H14" s="1651">
        <v>2821.9793468185771</v>
      </c>
      <c r="I14" s="1652">
        <v>16760.705004001771</v>
      </c>
      <c r="J14" s="1648">
        <v>14452.803721047296</v>
      </c>
      <c r="K14" s="1653">
        <v>31213.508725049072</v>
      </c>
      <c r="L14" s="1654">
        <v>4032.8557085119255</v>
      </c>
      <c r="M14" s="315"/>
      <c r="N14" s="967"/>
    </row>
    <row r="15" spans="1:14" s="408" customFormat="1" ht="14.85" customHeight="1">
      <c r="A15" s="356">
        <v>2017</v>
      </c>
      <c r="B15" s="551"/>
      <c r="C15" s="1646">
        <v>149.29214221300001</v>
      </c>
      <c r="D15" s="1647">
        <v>1109.7975951103731</v>
      </c>
      <c r="E15" s="1648">
        <v>10118.4618776599</v>
      </c>
      <c r="F15" s="1649">
        <v>2220.4920646659998</v>
      </c>
      <c r="G15" s="1650">
        <v>565.70256908627994</v>
      </c>
      <c r="H15" s="1651">
        <v>2939.7397306716152</v>
      </c>
      <c r="I15" s="1652">
        <v>17103.486713407165</v>
      </c>
      <c r="J15" s="1648">
        <v>14285.454760065642</v>
      </c>
      <c r="K15" s="1653">
        <v>31388.961473472802</v>
      </c>
      <c r="L15" s="1654">
        <v>5369.0489066365972</v>
      </c>
      <c r="M15" s="315"/>
      <c r="N15" s="967"/>
    </row>
    <row r="16" spans="1:14" s="321" customFormat="1" ht="14.25" customHeight="1">
      <c r="A16" s="747">
        <v>2018</v>
      </c>
      <c r="B16" s="748"/>
      <c r="C16" s="1139">
        <v>51.853601465000096</v>
      </c>
      <c r="D16" s="837">
        <v>1462.1701916448399</v>
      </c>
      <c r="E16" s="626">
        <v>10346.975676318638</v>
      </c>
      <c r="F16" s="1140">
        <v>2204.7496815409345</v>
      </c>
      <c r="G16" s="1141">
        <v>707.40440267365625</v>
      </c>
      <c r="H16" s="1142">
        <v>3059.1801379685185</v>
      </c>
      <c r="I16" s="1143">
        <v>17832.364570611586</v>
      </c>
      <c r="J16" s="626">
        <v>14736.649777062137</v>
      </c>
      <c r="K16" s="1144">
        <v>32568.984347673726</v>
      </c>
      <c r="L16" s="1145">
        <v>6022.3416935919404</v>
      </c>
      <c r="M16" s="315"/>
      <c r="N16" s="967"/>
    </row>
    <row r="17" spans="1:14" s="321" customFormat="1" ht="14.25" customHeight="1">
      <c r="A17" s="747">
        <v>2019</v>
      </c>
      <c r="B17" s="748"/>
      <c r="C17" s="1139">
        <v>182.071201108</v>
      </c>
      <c r="D17" s="837">
        <v>1197.8814652559513</v>
      </c>
      <c r="E17" s="626">
        <v>11551.438842662628</v>
      </c>
      <c r="F17" s="1140">
        <v>2126.8431378315859</v>
      </c>
      <c r="G17" s="1141">
        <v>692.59966619936165</v>
      </c>
      <c r="H17" s="1142">
        <v>3216.7822479616516</v>
      </c>
      <c r="I17" s="1143">
        <v>18967.637575019176</v>
      </c>
      <c r="J17" s="626">
        <v>16402.184863421702</v>
      </c>
      <c r="K17" s="1144">
        <v>35369.842438440879</v>
      </c>
      <c r="L17" s="1145">
        <v>6812.3444822128668</v>
      </c>
      <c r="M17" s="315"/>
      <c r="N17" s="967"/>
    </row>
    <row r="18" spans="1:14" s="321" customFormat="1" ht="14.25" customHeight="1">
      <c r="A18" s="747">
        <v>2020</v>
      </c>
      <c r="B18" s="748"/>
      <c r="C18" s="1139">
        <v>134.175574187</v>
      </c>
      <c r="D18" s="837">
        <v>1135.211416258172</v>
      </c>
      <c r="E18" s="626">
        <v>12275.333957990801</v>
      </c>
      <c r="F18" s="1140">
        <v>1829.3342207516425</v>
      </c>
      <c r="G18" s="1141">
        <v>1021.5094401898797</v>
      </c>
      <c r="H18" s="1142">
        <v>3215.0755486111993</v>
      </c>
      <c r="I18" s="1143">
        <v>19610.638157988695</v>
      </c>
      <c r="J18" s="626">
        <v>15836.696357492354</v>
      </c>
      <c r="K18" s="1144">
        <v>35447.334515481045</v>
      </c>
      <c r="L18" s="1145">
        <v>7090.0697655426193</v>
      </c>
      <c r="M18" s="315"/>
      <c r="N18" s="967"/>
    </row>
    <row r="19" spans="1:14" s="321" customFormat="1" ht="14.25" customHeight="1">
      <c r="A19" s="747">
        <v>2021</v>
      </c>
      <c r="B19" s="748"/>
      <c r="C19" s="1139">
        <v>129.40531700859</v>
      </c>
      <c r="D19" s="837">
        <v>1542.6027911171959</v>
      </c>
      <c r="E19" s="626">
        <v>12938.064113027462</v>
      </c>
      <c r="F19" s="1140">
        <v>1704.4448306054587</v>
      </c>
      <c r="G19" s="1141">
        <v>738.12659085207338</v>
      </c>
      <c r="H19" s="1142">
        <v>3579.6198281146708</v>
      </c>
      <c r="I19" s="1143">
        <v>20632.222205315451</v>
      </c>
      <c r="J19" s="626">
        <v>16741.780054273448</v>
      </c>
      <c r="K19" s="1144">
        <v>37374.002259588902</v>
      </c>
      <c r="L19" s="1145">
        <v>7487.6836866876311</v>
      </c>
      <c r="M19" s="315"/>
      <c r="N19" s="967"/>
    </row>
    <row r="20" spans="1:14" s="321" customFormat="1" ht="14.25" customHeight="1">
      <c r="A20" s="747">
        <v>2022</v>
      </c>
      <c r="B20" s="748"/>
      <c r="C20" s="1139">
        <v>89.310544895000007</v>
      </c>
      <c r="D20" s="837">
        <v>1758.4412589326703</v>
      </c>
      <c r="E20" s="626">
        <v>13512.008702625642</v>
      </c>
      <c r="F20" s="1140">
        <v>1652.706004200224</v>
      </c>
      <c r="G20" s="1141">
        <v>835.72642044588952</v>
      </c>
      <c r="H20" s="1142">
        <v>3434.7555623694452</v>
      </c>
      <c r="I20" s="1143">
        <v>21282.948493468873</v>
      </c>
      <c r="J20" s="626">
        <v>16964.477748442736</v>
      </c>
      <c r="K20" s="1144">
        <v>38247.426241911613</v>
      </c>
      <c r="L20" s="1145">
        <v>9235.3750090615467</v>
      </c>
      <c r="M20" s="315"/>
      <c r="N20" s="967"/>
    </row>
    <row r="21" spans="1:14" s="321" customFormat="1" ht="14.25" customHeight="1">
      <c r="A21" s="747">
        <v>2023</v>
      </c>
      <c r="B21" s="748"/>
      <c r="C21" s="1139">
        <v>138.14404708399999</v>
      </c>
      <c r="D21" s="837">
        <v>1903.4678650070223</v>
      </c>
      <c r="E21" s="626">
        <v>14192.476435533848</v>
      </c>
      <c r="F21" s="1140">
        <v>1752.2838369488788</v>
      </c>
      <c r="G21" s="1141">
        <v>1071.9268797930233</v>
      </c>
      <c r="H21" s="1142">
        <v>3492.5553861172175</v>
      </c>
      <c r="I21" s="1143">
        <v>22550.854450483985</v>
      </c>
      <c r="J21" s="626">
        <v>17709.761864411757</v>
      </c>
      <c r="K21" s="1144">
        <v>40260.67631489574</v>
      </c>
      <c r="L21" s="1145">
        <v>8098.2481488338981</v>
      </c>
      <c r="M21" s="315"/>
      <c r="N21" s="967"/>
    </row>
    <row r="22" spans="1:14" s="321" customFormat="1" ht="14.25" customHeight="1">
      <c r="A22" s="907">
        <v>2024</v>
      </c>
      <c r="B22" s="999"/>
      <c r="C22" s="1055">
        <f t="shared" ref="C22:L22" si="0">C27</f>
        <v>98.888157705999987</v>
      </c>
      <c r="D22" s="972">
        <f t="shared" si="0"/>
        <v>1702.5926545585321</v>
      </c>
      <c r="E22" s="1029">
        <f t="shared" si="0"/>
        <v>14249.887719419561</v>
      </c>
      <c r="F22" s="1056">
        <f t="shared" si="0"/>
        <v>1913.6801198752273</v>
      </c>
      <c r="G22" s="1057">
        <f t="shared" si="0"/>
        <v>869.67753145086726</v>
      </c>
      <c r="H22" s="1058">
        <f t="shared" si="0"/>
        <v>3804.5401068321003</v>
      </c>
      <c r="I22" s="1059">
        <f t="shared" si="0"/>
        <v>22639.286289842286</v>
      </c>
      <c r="J22" s="1029">
        <f t="shared" si="0"/>
        <v>19070.236476899641</v>
      </c>
      <c r="K22" s="1060">
        <f t="shared" si="0"/>
        <v>41709.512766741929</v>
      </c>
      <c r="L22" s="1061">
        <f t="shared" si="0"/>
        <v>7334.6113541364784</v>
      </c>
      <c r="M22" s="315"/>
      <c r="N22" s="967"/>
    </row>
    <row r="23" spans="1:14" s="321" customFormat="1" ht="21" customHeight="1">
      <c r="A23" s="747">
        <v>2023</v>
      </c>
      <c r="B23" s="748" t="s">
        <v>238</v>
      </c>
      <c r="C23" s="1139">
        <v>138.14404708399999</v>
      </c>
      <c r="D23" s="837">
        <v>1903.4678650070223</v>
      </c>
      <c r="E23" s="626">
        <v>14192.476435533848</v>
      </c>
      <c r="F23" s="1140">
        <v>1752.2838369488788</v>
      </c>
      <c r="G23" s="1141">
        <v>1071.9268797930233</v>
      </c>
      <c r="H23" s="1142">
        <v>3492.5553861172175</v>
      </c>
      <c r="I23" s="1143">
        <v>22550.854450483985</v>
      </c>
      <c r="J23" s="626">
        <v>17709.761864411757</v>
      </c>
      <c r="K23" s="1144">
        <v>40260.67631489574</v>
      </c>
      <c r="L23" s="1145">
        <v>8098.2481488338981</v>
      </c>
      <c r="M23" s="315"/>
      <c r="N23" s="967"/>
    </row>
    <row r="24" spans="1:14" s="321" customFormat="1" ht="21" customHeight="1">
      <c r="A24" s="747">
        <v>2024</v>
      </c>
      <c r="B24" s="748" t="s">
        <v>239</v>
      </c>
      <c r="C24" s="1139">
        <v>200.073374112133</v>
      </c>
      <c r="D24" s="837">
        <v>1883.7478437838677</v>
      </c>
      <c r="E24" s="626">
        <v>13923.443321585875</v>
      </c>
      <c r="F24" s="1140">
        <v>1670.5348163171543</v>
      </c>
      <c r="G24" s="1141">
        <v>1202.4583657163234</v>
      </c>
      <c r="H24" s="1142">
        <v>3502.1843045462401</v>
      </c>
      <c r="I24" s="1143">
        <v>22382.442026061595</v>
      </c>
      <c r="J24" s="626">
        <v>18320.1789358471</v>
      </c>
      <c r="K24" s="1144">
        <v>40702.630961908697</v>
      </c>
      <c r="L24" s="1145">
        <v>8078.9498786164168</v>
      </c>
      <c r="M24" s="1182"/>
      <c r="N24" s="967"/>
    </row>
    <row r="25" spans="1:14" s="321" customFormat="1" ht="15" customHeight="1">
      <c r="A25" s="747"/>
      <c r="B25" s="748" t="s">
        <v>240</v>
      </c>
      <c r="C25" s="1139">
        <v>90.252287471000002</v>
      </c>
      <c r="D25" s="837">
        <v>1777.1609270093923</v>
      </c>
      <c r="E25" s="626">
        <v>14187.217077307099</v>
      </c>
      <c r="F25" s="1140">
        <v>1793.930461523647</v>
      </c>
      <c r="G25" s="1141">
        <v>926.19115875134821</v>
      </c>
      <c r="H25" s="1142">
        <v>3561.4267128245556</v>
      </c>
      <c r="I25" s="1143">
        <v>22336.178624887041</v>
      </c>
      <c r="J25" s="626">
        <v>18861.69132800266</v>
      </c>
      <c r="K25" s="1144">
        <v>41197.869952889705</v>
      </c>
      <c r="L25" s="1145">
        <v>7952.2399909801152</v>
      </c>
      <c r="M25" s="1182"/>
      <c r="N25" s="967"/>
    </row>
    <row r="26" spans="1:14" s="321" customFormat="1" ht="15" customHeight="1">
      <c r="A26" s="747"/>
      <c r="B26" s="748" t="s">
        <v>237</v>
      </c>
      <c r="C26" s="1139">
        <v>72.141514293</v>
      </c>
      <c r="D26" s="837">
        <v>1787.0665777861395</v>
      </c>
      <c r="E26" s="626">
        <v>14625.196080574435</v>
      </c>
      <c r="F26" s="1140">
        <v>1954.2955666774083</v>
      </c>
      <c r="G26" s="1141">
        <v>1017.177223606166</v>
      </c>
      <c r="H26" s="1142">
        <v>3710.2120116812121</v>
      </c>
      <c r="I26" s="1143">
        <v>23166.088974618364</v>
      </c>
      <c r="J26" s="626">
        <v>18365.857669689172</v>
      </c>
      <c r="K26" s="1144">
        <v>41531.956644307531</v>
      </c>
      <c r="L26" s="1145">
        <v>8266.249593786757</v>
      </c>
      <c r="M26" s="1182"/>
      <c r="N26" s="967"/>
    </row>
    <row r="27" spans="1:14" s="321" customFormat="1" ht="15" customHeight="1">
      <c r="A27" s="747"/>
      <c r="B27" s="748" t="s">
        <v>238</v>
      </c>
      <c r="C27" s="1139">
        <v>98.888157705999987</v>
      </c>
      <c r="D27" s="837">
        <v>1702.5926545585321</v>
      </c>
      <c r="E27" s="626">
        <v>14249.887719419561</v>
      </c>
      <c r="F27" s="1140">
        <v>1913.6801198752273</v>
      </c>
      <c r="G27" s="1141">
        <v>869.67753145086726</v>
      </c>
      <c r="H27" s="1142">
        <v>3804.5401068321003</v>
      </c>
      <c r="I27" s="1143">
        <v>22639.286289842286</v>
      </c>
      <c r="J27" s="626">
        <v>19070.236476899641</v>
      </c>
      <c r="K27" s="1144">
        <v>41709.512766741929</v>
      </c>
      <c r="L27" s="1145">
        <v>7334.6113541364784</v>
      </c>
      <c r="M27" s="1182"/>
      <c r="N27" s="967"/>
    </row>
    <row r="28" spans="1:14" s="321" customFormat="1" ht="21" customHeight="1">
      <c r="A28" s="747">
        <v>2025</v>
      </c>
      <c r="B28" s="748" t="s">
        <v>239</v>
      </c>
      <c r="C28" s="1139">
        <f t="shared" ref="C28:L28" si="1">C36</f>
        <v>44.439944253</v>
      </c>
      <c r="D28" s="837">
        <f t="shared" si="1"/>
        <v>1927.7644449165841</v>
      </c>
      <c r="E28" s="626">
        <f t="shared" si="1"/>
        <v>14319.838762491878</v>
      </c>
      <c r="F28" s="1140">
        <f t="shared" si="1"/>
        <v>1962.1184425765305</v>
      </c>
      <c r="G28" s="1141">
        <f t="shared" si="1"/>
        <v>1214.1963875844197</v>
      </c>
      <c r="H28" s="1142">
        <f t="shared" si="1"/>
        <v>3784.9384567387297</v>
      </c>
      <c r="I28" s="1143">
        <f t="shared" si="1"/>
        <v>23253.196438561146</v>
      </c>
      <c r="J28" s="626">
        <f t="shared" si="1"/>
        <v>19189.879467911684</v>
      </c>
      <c r="K28" s="1144">
        <f t="shared" si="1"/>
        <v>42443.125906472822</v>
      </c>
      <c r="L28" s="1145">
        <f t="shared" si="1"/>
        <v>9589.3393788394533</v>
      </c>
      <c r="M28" s="1182"/>
      <c r="N28" s="967"/>
    </row>
    <row r="29" spans="1:14" s="321" customFormat="1" ht="15" customHeight="1">
      <c r="A29" s="747"/>
      <c r="B29" s="748" t="s">
        <v>240</v>
      </c>
      <c r="C29" s="1139">
        <f t="shared" ref="C29:L29" si="2">C39</f>
        <v>50.053778004999998</v>
      </c>
      <c r="D29" s="837">
        <f t="shared" si="2"/>
        <v>2006.1891384929681</v>
      </c>
      <c r="E29" s="626">
        <f t="shared" si="2"/>
        <v>14293.316918318213</v>
      </c>
      <c r="F29" s="1140">
        <f t="shared" si="2"/>
        <v>1913.7970924083991</v>
      </c>
      <c r="G29" s="1141">
        <f t="shared" si="2"/>
        <v>892.58117101572009</v>
      </c>
      <c r="H29" s="1142">
        <f t="shared" si="2"/>
        <v>3876.0315069659082</v>
      </c>
      <c r="I29" s="1143">
        <f t="shared" si="2"/>
        <v>23031.969605206206</v>
      </c>
      <c r="J29" s="626">
        <f t="shared" si="2"/>
        <v>20521.005799603656</v>
      </c>
      <c r="K29" s="1144">
        <f t="shared" si="2"/>
        <v>43552.975404809869</v>
      </c>
      <c r="L29" s="1145">
        <f t="shared" si="2"/>
        <v>8786.3639462993451</v>
      </c>
      <c r="M29" s="1182"/>
      <c r="N29" s="967"/>
    </row>
    <row r="30" spans="1:14" s="321" customFormat="1" ht="15" customHeight="1">
      <c r="A30" s="907"/>
      <c r="B30" s="999" t="s">
        <v>237</v>
      </c>
      <c r="C30" s="1055">
        <f t="shared" ref="C30:L30" si="3">C42</f>
        <v>24.578514128999998</v>
      </c>
      <c r="D30" s="972">
        <f t="shared" si="3"/>
        <v>1869.5094127031794</v>
      </c>
      <c r="E30" s="1029">
        <f t="shared" si="3"/>
        <v>14261.635423088221</v>
      </c>
      <c r="F30" s="1056">
        <f t="shared" si="3"/>
        <v>1942.9270921878237</v>
      </c>
      <c r="G30" s="1057">
        <f t="shared" si="3"/>
        <v>865.97338026685122</v>
      </c>
      <c r="H30" s="1058">
        <f t="shared" si="3"/>
        <v>4020.8759990375065</v>
      </c>
      <c r="I30" s="1059">
        <f t="shared" si="3"/>
        <v>22985.519821412578</v>
      </c>
      <c r="J30" s="1029">
        <f t="shared" si="3"/>
        <v>21075.22897491201</v>
      </c>
      <c r="K30" s="1060">
        <f t="shared" si="3"/>
        <v>44060.748796324588</v>
      </c>
      <c r="L30" s="1061">
        <f t="shared" si="3"/>
        <v>8458.4059642204211</v>
      </c>
      <c r="M30" s="1182"/>
      <c r="N30" s="967"/>
    </row>
    <row r="31" spans="1:14" s="306" customFormat="1" ht="21" customHeight="1">
      <c r="A31" s="405">
        <v>2024</v>
      </c>
      <c r="B31" s="497" t="s">
        <v>412</v>
      </c>
      <c r="C31" s="657">
        <v>97.480879991999998</v>
      </c>
      <c r="D31" s="784">
        <v>1709.6426296252339</v>
      </c>
      <c r="E31" s="682">
        <v>14409.187989269798</v>
      </c>
      <c r="F31" s="785">
        <v>1994.869609574223</v>
      </c>
      <c r="G31" s="786">
        <v>778.16090313107554</v>
      </c>
      <c r="H31" s="787">
        <v>3788.4358084480023</v>
      </c>
      <c r="I31" s="788">
        <v>22777.807820040332</v>
      </c>
      <c r="J31" s="788">
        <v>18264.862428210068</v>
      </c>
      <c r="K31" s="789">
        <v>41042.670248250397</v>
      </c>
      <c r="L31" s="790">
        <v>8107.341202416379</v>
      </c>
      <c r="M31" s="315"/>
      <c r="N31" s="967"/>
    </row>
    <row r="32" spans="1:14" s="306" customFormat="1" ht="16.5" customHeight="1">
      <c r="A32" s="405"/>
      <c r="B32" s="497" t="s">
        <v>413</v>
      </c>
      <c r="C32" s="657">
        <v>74.596496490000007</v>
      </c>
      <c r="D32" s="784">
        <v>1790.1024500348192</v>
      </c>
      <c r="E32" s="682">
        <v>14269.404761254083</v>
      </c>
      <c r="F32" s="785">
        <v>1932.4213104343894</v>
      </c>
      <c r="G32" s="786">
        <v>948.22629011559172</v>
      </c>
      <c r="H32" s="787">
        <v>3790.3215852674593</v>
      </c>
      <c r="I32" s="788">
        <v>22805.042893596346</v>
      </c>
      <c r="J32" s="788">
        <v>18715.500534829796</v>
      </c>
      <c r="K32" s="789">
        <v>41520.54342842615</v>
      </c>
      <c r="L32" s="790">
        <v>8262.9480924180662</v>
      </c>
      <c r="M32" s="315"/>
      <c r="N32" s="967"/>
    </row>
    <row r="33" spans="1:14" s="306" customFormat="1" ht="16.5" customHeight="1">
      <c r="A33" s="405"/>
      <c r="B33" s="497" t="s">
        <v>414</v>
      </c>
      <c r="C33" s="657">
        <v>98.888157705999987</v>
      </c>
      <c r="D33" s="784">
        <v>1702.5926545585321</v>
      </c>
      <c r="E33" s="682">
        <v>14249.887719419561</v>
      </c>
      <c r="F33" s="785">
        <v>1913.6801198752273</v>
      </c>
      <c r="G33" s="786">
        <v>869.67753145086726</v>
      </c>
      <c r="H33" s="787">
        <v>3804.5401068321003</v>
      </c>
      <c r="I33" s="788">
        <v>22639.286289842286</v>
      </c>
      <c r="J33" s="788">
        <v>19070.236476899641</v>
      </c>
      <c r="K33" s="789">
        <v>41709.512766741929</v>
      </c>
      <c r="L33" s="790">
        <v>7334.6113541364784</v>
      </c>
      <c r="M33" s="315"/>
      <c r="N33" s="967"/>
    </row>
    <row r="34" spans="1:14" s="306" customFormat="1" ht="21" customHeight="1">
      <c r="A34" s="405">
        <v>2025</v>
      </c>
      <c r="B34" s="497" t="s">
        <v>415</v>
      </c>
      <c r="C34" s="657">
        <v>61.749607289000004</v>
      </c>
      <c r="D34" s="784">
        <v>1777.7707379359615</v>
      </c>
      <c r="E34" s="682">
        <v>13962.042441869853</v>
      </c>
      <c r="F34" s="785">
        <v>1958.177305819002</v>
      </c>
      <c r="G34" s="786">
        <v>876.45812261795572</v>
      </c>
      <c r="H34" s="787">
        <v>3838.8254271337446</v>
      </c>
      <c r="I34" s="788">
        <v>22475.023642665514</v>
      </c>
      <c r="J34" s="788">
        <v>19174.743254255711</v>
      </c>
      <c r="K34" s="789">
        <v>41649.736896921226</v>
      </c>
      <c r="L34" s="790">
        <v>8195.4564086374412</v>
      </c>
      <c r="M34" s="315"/>
      <c r="N34" s="967"/>
    </row>
    <row r="35" spans="1:14" s="306" customFormat="1" ht="17.25" customHeight="1">
      <c r="A35" s="405"/>
      <c r="B35" s="497" t="s">
        <v>416</v>
      </c>
      <c r="C35" s="657">
        <v>56.451006780999997</v>
      </c>
      <c r="D35" s="784">
        <v>2143.0438181021318</v>
      </c>
      <c r="E35" s="682">
        <v>14171.539250079451</v>
      </c>
      <c r="F35" s="785">
        <v>1897.7710897787904</v>
      </c>
      <c r="G35" s="786">
        <v>848.60655386283111</v>
      </c>
      <c r="H35" s="787">
        <v>3872.7984561948729</v>
      </c>
      <c r="I35" s="788">
        <v>22990.240174799077</v>
      </c>
      <c r="J35" s="788">
        <v>18707.485402811901</v>
      </c>
      <c r="K35" s="789">
        <v>41697.725577610989</v>
      </c>
      <c r="L35" s="790">
        <v>9439.3780262205528</v>
      </c>
      <c r="M35" s="315"/>
      <c r="N35" s="967"/>
    </row>
    <row r="36" spans="1:14" s="306" customFormat="1" ht="17.25" customHeight="1">
      <c r="A36" s="405"/>
      <c r="B36" s="497" t="s">
        <v>417</v>
      </c>
      <c r="C36" s="657">
        <v>44.439944253</v>
      </c>
      <c r="D36" s="784">
        <v>1927.7644449165841</v>
      </c>
      <c r="E36" s="682">
        <v>14319.838762491878</v>
      </c>
      <c r="F36" s="785">
        <v>1962.1184425765305</v>
      </c>
      <c r="G36" s="786">
        <v>1214.1963875844197</v>
      </c>
      <c r="H36" s="787">
        <v>3784.9384567387297</v>
      </c>
      <c r="I36" s="788">
        <v>23253.196438561146</v>
      </c>
      <c r="J36" s="788">
        <v>19189.879467911684</v>
      </c>
      <c r="K36" s="789">
        <v>42443.125906472822</v>
      </c>
      <c r="L36" s="790">
        <v>9589.3393788394533</v>
      </c>
      <c r="M36" s="315"/>
      <c r="N36" s="967"/>
    </row>
    <row r="37" spans="1:14" s="306" customFormat="1" ht="17.25" customHeight="1">
      <c r="A37" s="405"/>
      <c r="B37" s="497" t="s">
        <v>418</v>
      </c>
      <c r="C37" s="657">
        <v>25.145119401999999</v>
      </c>
      <c r="D37" s="784">
        <v>2058.5562874086108</v>
      </c>
      <c r="E37" s="682">
        <v>14416.158408955196</v>
      </c>
      <c r="F37" s="785">
        <v>1967.1149536381135</v>
      </c>
      <c r="G37" s="786">
        <v>781.27495720886839</v>
      </c>
      <c r="H37" s="787">
        <v>3793.6926679379981</v>
      </c>
      <c r="I37" s="788">
        <v>23041.962394550785</v>
      </c>
      <c r="J37" s="788">
        <v>19721.419485676925</v>
      </c>
      <c r="K37" s="789">
        <v>42763.351880227725</v>
      </c>
      <c r="L37" s="790">
        <v>9436.4255424714211</v>
      </c>
      <c r="M37" s="315"/>
      <c r="N37" s="967"/>
    </row>
    <row r="38" spans="1:14" s="306" customFormat="1" ht="17.25" customHeight="1">
      <c r="A38" s="405"/>
      <c r="B38" s="497" t="s">
        <v>419</v>
      </c>
      <c r="C38" s="657">
        <v>29.390125679999997</v>
      </c>
      <c r="D38" s="784">
        <v>1966.5674939713786</v>
      </c>
      <c r="E38" s="682">
        <v>14324.238201680328</v>
      </c>
      <c r="F38" s="785">
        <v>2037.2212654817295</v>
      </c>
      <c r="G38" s="786">
        <v>829.09337528665083</v>
      </c>
      <c r="H38" s="787">
        <v>3842.4156092928256</v>
      </c>
      <c r="I38" s="788">
        <v>23028.926071392911</v>
      </c>
      <c r="J38" s="788">
        <v>20425.892499162794</v>
      </c>
      <c r="K38" s="789">
        <v>43454.818570555704</v>
      </c>
      <c r="L38" s="790">
        <v>8501.6286838079996</v>
      </c>
      <c r="M38" s="315"/>
      <c r="N38" s="967"/>
    </row>
    <row r="39" spans="1:14" s="306" customFormat="1" ht="17.25" customHeight="1">
      <c r="A39" s="405"/>
      <c r="B39" s="497" t="s">
        <v>420</v>
      </c>
      <c r="C39" s="657">
        <v>50.053778004999998</v>
      </c>
      <c r="D39" s="784">
        <v>2006.1891384929681</v>
      </c>
      <c r="E39" s="682">
        <v>14293.316918318213</v>
      </c>
      <c r="F39" s="785">
        <v>1913.7970924083991</v>
      </c>
      <c r="G39" s="786">
        <v>892.58117101572009</v>
      </c>
      <c r="H39" s="787">
        <v>3876.0315069659082</v>
      </c>
      <c r="I39" s="788">
        <v>23031.969605206206</v>
      </c>
      <c r="J39" s="788">
        <v>20521.005799603656</v>
      </c>
      <c r="K39" s="789">
        <v>43552.975404809869</v>
      </c>
      <c r="L39" s="790">
        <v>8786.3639462993451</v>
      </c>
      <c r="M39" s="315"/>
      <c r="N39" s="967"/>
    </row>
    <row r="40" spans="1:14" s="306" customFormat="1" ht="17.25" customHeight="1">
      <c r="A40" s="405"/>
      <c r="B40" s="497" t="s">
        <v>421</v>
      </c>
      <c r="C40" s="657">
        <v>24.840464957000002</v>
      </c>
      <c r="D40" s="784">
        <v>2014.3045779029353</v>
      </c>
      <c r="E40" s="682">
        <v>14045.990020125673</v>
      </c>
      <c r="F40" s="785">
        <v>2083.4008636013136</v>
      </c>
      <c r="G40" s="786">
        <v>860.18185233325721</v>
      </c>
      <c r="H40" s="787">
        <v>3928.9647397344334</v>
      </c>
      <c r="I40" s="788">
        <v>22957.682518654612</v>
      </c>
      <c r="J40" s="788">
        <v>20841.943666804782</v>
      </c>
      <c r="K40" s="789">
        <v>43799.6361854594</v>
      </c>
      <c r="L40" s="790">
        <v>8028.1163575250321</v>
      </c>
      <c r="M40" s="315"/>
      <c r="N40" s="967"/>
    </row>
    <row r="41" spans="1:14" s="306" customFormat="1" ht="17.25" customHeight="1">
      <c r="A41" s="405"/>
      <c r="B41" s="497" t="s">
        <v>422</v>
      </c>
      <c r="C41" s="657">
        <v>45.591416236000001</v>
      </c>
      <c r="D41" s="784">
        <v>1904.2991494033145</v>
      </c>
      <c r="E41" s="682">
        <v>14170.012558917124</v>
      </c>
      <c r="F41" s="785">
        <v>2086.5001881853796</v>
      </c>
      <c r="G41" s="786">
        <v>796.29861341652918</v>
      </c>
      <c r="H41" s="787">
        <v>3981.3630548837186</v>
      </c>
      <c r="I41" s="788">
        <v>22984.064981042069</v>
      </c>
      <c r="J41" s="788">
        <v>21262.937433559287</v>
      </c>
      <c r="K41" s="789">
        <v>44247.042414601354</v>
      </c>
      <c r="L41" s="790">
        <v>8376.2600566648871</v>
      </c>
      <c r="M41" s="315"/>
      <c r="N41" s="967"/>
    </row>
    <row r="42" spans="1:14" s="306" customFormat="1" ht="17.25" customHeight="1">
      <c r="A42" s="405"/>
      <c r="B42" s="497" t="s">
        <v>423</v>
      </c>
      <c r="C42" s="657">
        <v>24.578514128999998</v>
      </c>
      <c r="D42" s="784">
        <v>1869.5094127031794</v>
      </c>
      <c r="E42" s="682">
        <v>14261.635423088221</v>
      </c>
      <c r="F42" s="785">
        <v>1942.9270921878237</v>
      </c>
      <c r="G42" s="786">
        <v>865.97338026685122</v>
      </c>
      <c r="H42" s="787">
        <v>4020.8759990375065</v>
      </c>
      <c r="I42" s="788">
        <v>22985.519821412578</v>
      </c>
      <c r="J42" s="788">
        <v>21075.22897491201</v>
      </c>
      <c r="K42" s="789">
        <v>44060.748796324588</v>
      </c>
      <c r="L42" s="790">
        <v>8458.4059642204211</v>
      </c>
      <c r="M42" s="315"/>
      <c r="N42" s="967"/>
    </row>
    <row r="43" spans="1:14" s="306" customFormat="1" ht="17.25" customHeight="1">
      <c r="A43" s="405"/>
      <c r="B43" s="497" t="s">
        <v>412</v>
      </c>
      <c r="C43" s="657">
        <v>27.611715496000002</v>
      </c>
      <c r="D43" s="784">
        <v>1802.9902193616663</v>
      </c>
      <c r="E43" s="682">
        <v>14180.169231940823</v>
      </c>
      <c r="F43" s="785">
        <v>1747.2471775418758</v>
      </c>
      <c r="G43" s="786">
        <v>825.49998262699103</v>
      </c>
      <c r="H43" s="787">
        <v>4102.8956957555492</v>
      </c>
      <c r="I43" s="788">
        <v>22686.434022722904</v>
      </c>
      <c r="J43" s="788">
        <v>21501.998173392392</v>
      </c>
      <c r="K43" s="789">
        <v>44188.432196115289</v>
      </c>
      <c r="L43" s="790">
        <v>8054.6312522040544</v>
      </c>
      <c r="M43" s="315"/>
      <c r="N43" s="967"/>
    </row>
    <row r="44" spans="1:14" s="2" customFormat="1" ht="20.25" customHeight="1">
      <c r="A44" s="215" t="s">
        <v>863</v>
      </c>
      <c r="B44" s="217"/>
      <c r="C44" s="584"/>
      <c r="D44" s="217"/>
      <c r="E44" s="217"/>
      <c r="F44" s="217"/>
      <c r="G44" s="223"/>
      <c r="H44" s="217"/>
      <c r="I44" s="215"/>
      <c r="J44" s="218"/>
      <c r="K44" s="215"/>
      <c r="L44" s="236" t="s">
        <v>864</v>
      </c>
      <c r="M44" s="145"/>
    </row>
    <row r="45" spans="1:14" s="2" customFormat="1" ht="13.7" customHeight="1">
      <c r="A45" s="5" t="s">
        <v>865</v>
      </c>
      <c r="G45" s="147"/>
      <c r="I45"/>
      <c r="J45" s="7"/>
      <c r="K45"/>
      <c r="L45" s="237" t="s">
        <v>866</v>
      </c>
      <c r="M45" s="145"/>
    </row>
    <row r="46" spans="1:14" s="2" customFormat="1" ht="13.7" customHeight="1">
      <c r="A46" s="5"/>
      <c r="I46" s="6"/>
      <c r="J46" s="6"/>
      <c r="K46"/>
      <c r="L46" s="1477"/>
      <c r="M46" s="145"/>
    </row>
    <row r="47" spans="1:14">
      <c r="B47" s="7"/>
      <c r="C47" s="636"/>
      <c r="D47" s="636"/>
      <c r="E47" s="636"/>
      <c r="F47" s="636"/>
      <c r="G47" s="636"/>
      <c r="H47" s="636"/>
      <c r="I47" s="636"/>
      <c r="J47" s="636"/>
      <c r="K47" s="636"/>
      <c r="L47" s="636"/>
    </row>
    <row r="48" spans="1:14">
      <c r="B48" s="1262"/>
      <c r="C48" s="1621"/>
      <c r="D48" s="1621"/>
      <c r="E48" s="1621"/>
      <c r="F48" s="1621"/>
      <c r="G48" s="1621"/>
      <c r="H48" s="1621"/>
      <c r="I48" s="1621"/>
      <c r="J48" s="1621"/>
      <c r="K48" s="1621"/>
      <c r="L48" s="1621"/>
    </row>
    <row r="49" spans="1:13" ht="14.25">
      <c r="A49" s="318" t="s">
        <v>867</v>
      </c>
      <c r="B49" s="318"/>
      <c r="C49" s="318"/>
      <c r="D49" s="318"/>
      <c r="E49" s="318"/>
      <c r="F49" s="318"/>
      <c r="G49" s="318"/>
      <c r="H49" s="318"/>
      <c r="I49" s="318"/>
      <c r="J49" s="318"/>
      <c r="K49" s="318"/>
      <c r="L49" s="318"/>
      <c r="M49"/>
    </row>
    <row r="50" spans="1:13">
      <c r="K50" s="1483"/>
    </row>
    <row r="52" spans="1:13">
      <c r="A52" s="249"/>
      <c r="M52"/>
    </row>
    <row r="53" spans="1:13">
      <c r="A53" s="146"/>
      <c r="M53"/>
    </row>
  </sheetData>
  <phoneticPr fontId="0" type="noConversion"/>
  <printOptions horizontalCentered="1" verticalCentered="1"/>
  <pageMargins left="0" right="0" top="0" bottom="0" header="0.511811023622047" footer="0.511811023622047"/>
  <pageSetup paperSize="9" scale="7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abSelected="1" topLeftCell="A6" zoomScaleNormal="100" workbookViewId="0">
      <pane ySplit="7" topLeftCell="A26" activePane="bottomLeft" state="frozen"/>
      <selection activeCell="N29" sqref="N29"/>
      <selection pane="bottomLeft" activeCell="N29" sqref="N29"/>
    </sheetView>
  </sheetViews>
  <sheetFormatPr defaultColWidth="9.140625" defaultRowHeight="12.75"/>
  <cols>
    <col min="1" max="2" width="9.7109375" style="1251" customWidth="1"/>
    <col min="3" max="10" width="13.7109375" style="1251" customWidth="1"/>
    <col min="11" max="11" width="9.7109375" style="1251" customWidth="1"/>
    <col min="12" max="16384" width="9.140625" style="1251"/>
  </cols>
  <sheetData>
    <row r="1" spans="1:12" hidden="1"/>
    <row r="2" spans="1:12" hidden="1"/>
    <row r="3" spans="1:12" hidden="1"/>
    <row r="4" spans="1:12" hidden="1"/>
    <row r="5" spans="1:12" hidden="1"/>
    <row r="6" spans="1:12" s="381" customFormat="1" ht="18" customHeight="1">
      <c r="A6" s="165" t="s">
        <v>1753</v>
      </c>
      <c r="B6" s="1458"/>
      <c r="C6" s="382"/>
      <c r="D6" s="382"/>
      <c r="E6" s="382"/>
      <c r="F6" s="382"/>
      <c r="G6" s="382"/>
      <c r="H6" s="382"/>
      <c r="I6" s="382"/>
      <c r="J6" s="382"/>
    </row>
    <row r="7" spans="1:12" s="381" customFormat="1" ht="18" customHeight="1">
      <c r="A7" s="1629" t="s">
        <v>868</v>
      </c>
      <c r="B7" s="1458"/>
      <c r="C7" s="382"/>
      <c r="D7" s="382"/>
      <c r="E7" s="382"/>
      <c r="F7" s="382"/>
      <c r="G7" s="382"/>
      <c r="H7" s="382"/>
      <c r="I7" s="382"/>
      <c r="J7" s="382"/>
    </row>
    <row r="8" spans="1:12" s="381" customFormat="1" ht="18" customHeight="1">
      <c r="A8" s="165" t="s">
        <v>869</v>
      </c>
      <c r="B8" s="1458"/>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870</v>
      </c>
      <c r="D10" s="328"/>
      <c r="E10" s="329"/>
      <c r="F10" s="330" t="s">
        <v>372</v>
      </c>
      <c r="G10" s="327" t="s">
        <v>373</v>
      </c>
      <c r="H10" s="328"/>
      <c r="I10" s="331" t="s">
        <v>374</v>
      </c>
      <c r="J10" s="332" t="s">
        <v>497</v>
      </c>
    </row>
    <row r="11" spans="1:12" s="164" customFormat="1" ht="18" customHeight="1">
      <c r="A11" s="333" t="s">
        <v>379</v>
      </c>
      <c r="B11" s="334"/>
      <c r="C11" s="335" t="s">
        <v>432</v>
      </c>
      <c r="D11" s="336" t="s">
        <v>871</v>
      </c>
      <c r="E11" s="337" t="s">
        <v>382</v>
      </c>
      <c r="F11" s="338" t="s">
        <v>872</v>
      </c>
      <c r="G11" s="335" t="s">
        <v>432</v>
      </c>
      <c r="H11" s="336" t="s">
        <v>871</v>
      </c>
      <c r="I11" s="337" t="s">
        <v>382</v>
      </c>
      <c r="J11" s="339" t="s">
        <v>375</v>
      </c>
    </row>
    <row r="12" spans="1:12" s="161" customFormat="1" ht="30.2" customHeight="1">
      <c r="A12" s="340" t="s">
        <v>387</v>
      </c>
      <c r="B12" s="341"/>
      <c r="C12" s="342" t="s">
        <v>873</v>
      </c>
      <c r="D12" s="343" t="s">
        <v>819</v>
      </c>
      <c r="E12" s="343" t="s">
        <v>393</v>
      </c>
      <c r="F12" s="343" t="s">
        <v>874</v>
      </c>
      <c r="G12" s="342" t="s">
        <v>406</v>
      </c>
      <c r="H12" s="344" t="s">
        <v>819</v>
      </c>
      <c r="I12" s="342" t="s">
        <v>393</v>
      </c>
      <c r="J12" s="343" t="s">
        <v>875</v>
      </c>
      <c r="K12" s="345"/>
      <c r="L12" s="1630"/>
    </row>
    <row r="13" spans="1:12" s="149" customFormat="1" ht="20.25" customHeight="1">
      <c r="A13" s="521">
        <v>2015</v>
      </c>
      <c r="B13" s="523"/>
      <c r="C13" s="1631">
        <v>5407.8194753928874</v>
      </c>
      <c r="D13" s="1631">
        <v>8970.9253716994244</v>
      </c>
      <c r="E13" s="1632">
        <v>14378.745316284207</v>
      </c>
      <c r="F13" s="1633">
        <v>3527.4071688859804</v>
      </c>
      <c r="G13" s="1632">
        <v>8180.3266546307696</v>
      </c>
      <c r="H13" s="1632">
        <v>6569.8847566909972</v>
      </c>
      <c r="I13" s="1632">
        <v>14750.222166700132</v>
      </c>
      <c r="J13" s="1632">
        <v>-371.47685041592558</v>
      </c>
      <c r="K13" s="792"/>
      <c r="L13" s="792"/>
    </row>
    <row r="14" spans="1:12" s="1635" customFormat="1" ht="14.25" customHeight="1">
      <c r="A14" s="521">
        <v>2016</v>
      </c>
      <c r="B14" s="1634"/>
      <c r="C14" s="1632">
        <v>4748.6593469816726</v>
      </c>
      <c r="D14" s="1632">
        <v>9115.8419323927264</v>
      </c>
      <c r="E14" s="1632">
        <v>13864.540338904006</v>
      </c>
      <c r="F14" s="1632">
        <v>3738.7431950292416</v>
      </c>
      <c r="G14" s="1632">
        <v>8007.6571794938845</v>
      </c>
      <c r="H14" s="1632">
        <v>6445.0565690034855</v>
      </c>
      <c r="I14" s="1632">
        <v>14452.803721047296</v>
      </c>
      <c r="J14" s="1632">
        <v>-588.26338214329007</v>
      </c>
      <c r="K14" s="792"/>
      <c r="L14" s="792"/>
    </row>
    <row r="15" spans="1:12" s="1635" customFormat="1" ht="14.25" customHeight="1">
      <c r="A15" s="521">
        <v>2017</v>
      </c>
      <c r="B15" s="1634"/>
      <c r="C15" s="1632">
        <v>4556.9541569592639</v>
      </c>
      <c r="D15" s="1632">
        <v>8807.0021507301371</v>
      </c>
      <c r="E15" s="1632">
        <v>13364.043650535194</v>
      </c>
      <c r="F15" s="1632">
        <v>3797.5894805756334</v>
      </c>
      <c r="G15" s="1632">
        <v>7910.5285125719365</v>
      </c>
      <c r="H15" s="1632">
        <v>6374.9716246168573</v>
      </c>
      <c r="I15" s="1632">
        <v>14285.454760065642</v>
      </c>
      <c r="J15" s="1632">
        <v>-921.46110953044877</v>
      </c>
      <c r="K15" s="792"/>
      <c r="L15" s="792"/>
    </row>
    <row r="16" spans="1:12" s="381" customFormat="1" ht="14.25" customHeight="1">
      <c r="A16" s="852">
        <v>2018</v>
      </c>
      <c r="B16" s="853"/>
      <c r="C16" s="585">
        <v>4516.152256252074</v>
      </c>
      <c r="D16" s="585">
        <v>9113.4808562280159</v>
      </c>
      <c r="E16" s="585">
        <v>13629.708080063867</v>
      </c>
      <c r="F16" s="791">
        <v>4534.7771958793392</v>
      </c>
      <c r="G16" s="585">
        <v>7614.9494185482581</v>
      </c>
      <c r="H16" s="585">
        <v>7121.6718261759343</v>
      </c>
      <c r="I16" s="585">
        <v>14736.649777062137</v>
      </c>
      <c r="J16" s="585">
        <v>-1106.9416969982703</v>
      </c>
      <c r="K16" s="792"/>
      <c r="L16" s="792"/>
    </row>
    <row r="17" spans="1:13" s="381" customFormat="1" ht="14.25" customHeight="1">
      <c r="A17" s="852">
        <v>2019</v>
      </c>
      <c r="B17" s="853"/>
      <c r="C17" s="585">
        <v>5655.9007707818655</v>
      </c>
      <c r="D17" s="585">
        <v>9767.3400373121185</v>
      </c>
      <c r="E17" s="585">
        <v>15423.23278930428</v>
      </c>
      <c r="F17" s="791">
        <v>5506.9397616715269</v>
      </c>
      <c r="G17" s="585">
        <v>10248.71120463184</v>
      </c>
      <c r="H17" s="585">
        <v>6153.5370869886747</v>
      </c>
      <c r="I17" s="585">
        <v>16402.184863421702</v>
      </c>
      <c r="J17" s="585">
        <v>-978.95207411742194</v>
      </c>
      <c r="K17" s="792"/>
      <c r="L17" s="792"/>
    </row>
    <row r="18" spans="1:13" s="381" customFormat="1" ht="14.25" customHeight="1">
      <c r="A18" s="852">
        <v>2020</v>
      </c>
      <c r="B18" s="853"/>
      <c r="C18" s="585">
        <v>4774.7670016747634</v>
      </c>
      <c r="D18" s="585">
        <v>9732.7503727473886</v>
      </c>
      <c r="E18" s="585">
        <v>14507.584865149944</v>
      </c>
      <c r="F18" s="791">
        <v>5937.4941547068511</v>
      </c>
      <c r="G18" s="585">
        <v>10990.077961541368</v>
      </c>
      <c r="H18" s="585">
        <v>4846.5554140165823</v>
      </c>
      <c r="I18" s="585">
        <v>15836.696357492354</v>
      </c>
      <c r="J18" s="585">
        <v>-1329.1114923424102</v>
      </c>
      <c r="K18" s="792"/>
      <c r="L18" s="792"/>
    </row>
    <row r="19" spans="1:13" s="381" customFormat="1" ht="14.25" customHeight="1">
      <c r="A19" s="852">
        <v>2021</v>
      </c>
      <c r="B19" s="853"/>
      <c r="C19" s="585">
        <v>6002.2558435718265</v>
      </c>
      <c r="D19" s="585">
        <v>9245.4582250419789</v>
      </c>
      <c r="E19" s="585">
        <v>15247.818099927881</v>
      </c>
      <c r="F19" s="791">
        <v>5234.7905687626371</v>
      </c>
      <c r="G19" s="585">
        <v>10279.59821625412</v>
      </c>
      <c r="H19" s="585">
        <v>6462.1919848571524</v>
      </c>
      <c r="I19" s="585">
        <v>16741.780054273448</v>
      </c>
      <c r="J19" s="585">
        <v>-1493.9619543455665</v>
      </c>
      <c r="K19" s="792"/>
      <c r="L19" s="792"/>
    </row>
    <row r="20" spans="1:13" s="381" customFormat="1" ht="14.25" customHeight="1">
      <c r="A20" s="852">
        <v>2022</v>
      </c>
      <c r="B20" s="853"/>
      <c r="C20" s="585">
        <v>5667.8664506677687</v>
      </c>
      <c r="D20" s="585">
        <v>8697.110049465151</v>
      </c>
      <c r="E20" s="585">
        <v>14365.004196472149</v>
      </c>
      <c r="F20" s="791">
        <v>4865.4868061383531</v>
      </c>
      <c r="G20" s="585">
        <v>10164.021547249347</v>
      </c>
      <c r="H20" s="585">
        <v>6800.5364929587704</v>
      </c>
      <c r="I20" s="585">
        <v>16964.477748442736</v>
      </c>
      <c r="J20" s="585">
        <v>-2599.5235519705866</v>
      </c>
      <c r="K20" s="792"/>
      <c r="L20" s="792"/>
    </row>
    <row r="21" spans="1:13" s="381" customFormat="1" ht="14.25" customHeight="1">
      <c r="A21" s="852">
        <v>2023</v>
      </c>
      <c r="B21" s="853"/>
      <c r="C21" s="585">
        <v>5436.4479158943268</v>
      </c>
      <c r="D21" s="585">
        <v>9171.9803181576281</v>
      </c>
      <c r="E21" s="585">
        <v>14608.358006707931</v>
      </c>
      <c r="F21" s="791">
        <v>5446.4011180709149</v>
      </c>
      <c r="G21" s="585">
        <v>10590.764545120383</v>
      </c>
      <c r="H21" s="585">
        <v>7118.9568467031904</v>
      </c>
      <c r="I21" s="585">
        <v>17709.761864411757</v>
      </c>
      <c r="J21" s="585">
        <v>-3101.3999999999996</v>
      </c>
      <c r="K21" s="792"/>
      <c r="L21" s="792"/>
    </row>
    <row r="22" spans="1:13" s="381" customFormat="1" ht="14.25" customHeight="1">
      <c r="A22" s="983">
        <v>2024</v>
      </c>
      <c r="B22" s="1052"/>
      <c r="C22" s="1053">
        <f t="shared" ref="C22:J22" si="0">C27</f>
        <v>5487.9260734431728</v>
      </c>
      <c r="D22" s="1053">
        <f t="shared" si="0"/>
        <v>9358.6194223316816</v>
      </c>
      <c r="E22" s="1053">
        <f t="shared" si="0"/>
        <v>14846.494816834533</v>
      </c>
      <c r="F22" s="1054">
        <f t="shared" si="0"/>
        <v>6003.6107097827135</v>
      </c>
      <c r="G22" s="1053">
        <f t="shared" si="0"/>
        <v>13960.032754026735</v>
      </c>
      <c r="H22" s="1053">
        <f t="shared" si="0"/>
        <v>5110.1741471447785</v>
      </c>
      <c r="I22" s="1053">
        <f t="shared" si="0"/>
        <v>19070.236476899641</v>
      </c>
      <c r="J22" s="1053">
        <f t="shared" si="0"/>
        <v>-4223.7000000000007</v>
      </c>
      <c r="K22" s="792"/>
      <c r="L22" s="792"/>
    </row>
    <row r="23" spans="1:13" s="381" customFormat="1" ht="21" customHeight="1">
      <c r="A23" s="852">
        <v>2023</v>
      </c>
      <c r="B23" s="853" t="s">
        <v>238</v>
      </c>
      <c r="C23" s="585">
        <v>5436.4479158943268</v>
      </c>
      <c r="D23" s="585">
        <v>9171.9803181576281</v>
      </c>
      <c r="E23" s="585">
        <v>14608.358006707931</v>
      </c>
      <c r="F23" s="791">
        <v>5446.4011180709149</v>
      </c>
      <c r="G23" s="585">
        <v>10590.764545120383</v>
      </c>
      <c r="H23" s="585">
        <v>7118.9568467031904</v>
      </c>
      <c r="I23" s="585">
        <v>17709.761864411757</v>
      </c>
      <c r="J23" s="585">
        <v>-3101.3999999999996</v>
      </c>
      <c r="K23" s="792"/>
      <c r="L23" s="792"/>
    </row>
    <row r="24" spans="1:13" s="381" customFormat="1" ht="21" customHeight="1">
      <c r="A24" s="852">
        <v>2024</v>
      </c>
      <c r="B24" s="853" t="s">
        <v>239</v>
      </c>
      <c r="C24" s="585">
        <v>5216.8763196891769</v>
      </c>
      <c r="D24" s="585">
        <v>9407.492899040677</v>
      </c>
      <c r="E24" s="585">
        <v>14624.364205364966</v>
      </c>
      <c r="F24" s="791">
        <v>5877.5865682630883</v>
      </c>
      <c r="G24" s="585">
        <v>12819.725703926364</v>
      </c>
      <c r="H24" s="585">
        <v>5500.4983566448936</v>
      </c>
      <c r="I24" s="585">
        <v>18320.1789358471</v>
      </c>
      <c r="J24" s="585">
        <v>-3695.8000000000011</v>
      </c>
      <c r="K24" s="1183"/>
      <c r="L24" s="792"/>
    </row>
    <row r="25" spans="1:13" s="381" customFormat="1" ht="15" customHeight="1">
      <c r="A25" s="852"/>
      <c r="B25" s="853" t="s">
        <v>240</v>
      </c>
      <c r="C25" s="585">
        <v>5581.5563957780969</v>
      </c>
      <c r="D25" s="585">
        <v>9073.3885242843699</v>
      </c>
      <c r="E25" s="585">
        <v>14655.041104269798</v>
      </c>
      <c r="F25" s="791">
        <v>5721.386504021114</v>
      </c>
      <c r="G25" s="585">
        <v>13762.166244265356</v>
      </c>
      <c r="H25" s="585">
        <v>5099.462492858901</v>
      </c>
      <c r="I25" s="585">
        <v>18861.69132800266</v>
      </c>
      <c r="J25" s="585">
        <v>-4206.7000000000007</v>
      </c>
      <c r="K25" s="1183"/>
      <c r="L25" s="792"/>
    </row>
    <row r="26" spans="1:13" s="381" customFormat="1" ht="15" customHeight="1">
      <c r="A26" s="852"/>
      <c r="B26" s="853" t="s">
        <v>237</v>
      </c>
      <c r="C26" s="585">
        <v>4929.6166134010018</v>
      </c>
      <c r="D26" s="585">
        <v>9346.9932099672515</v>
      </c>
      <c r="E26" s="585">
        <v>14276.599021203841</v>
      </c>
      <c r="F26" s="791">
        <v>5977.4471861358652</v>
      </c>
      <c r="G26" s="585">
        <v>13159.85339399734</v>
      </c>
      <c r="H26" s="585">
        <v>5205.9890115296475</v>
      </c>
      <c r="I26" s="585">
        <v>18365.857669689172</v>
      </c>
      <c r="J26" s="585">
        <v>-4089.3000000000011</v>
      </c>
      <c r="K26" s="1183"/>
      <c r="L26" s="792"/>
    </row>
    <row r="27" spans="1:13" s="381" customFormat="1" ht="15" customHeight="1">
      <c r="A27" s="852"/>
      <c r="B27" s="853" t="s">
        <v>238</v>
      </c>
      <c r="C27" s="585">
        <v>5487.9260734431728</v>
      </c>
      <c r="D27" s="585">
        <v>9358.6194223316816</v>
      </c>
      <c r="E27" s="585">
        <v>14846.494816834533</v>
      </c>
      <c r="F27" s="791">
        <v>6003.6107097827135</v>
      </c>
      <c r="G27" s="585">
        <v>13960.032754026735</v>
      </c>
      <c r="H27" s="585">
        <v>5110.1741471447785</v>
      </c>
      <c r="I27" s="585">
        <v>19070.236476899641</v>
      </c>
      <c r="J27" s="585">
        <v>-4223.7000000000007</v>
      </c>
      <c r="K27" s="1183"/>
      <c r="L27" s="792"/>
    </row>
    <row r="28" spans="1:13" s="381" customFormat="1" ht="21" customHeight="1">
      <c r="A28" s="852">
        <v>2025</v>
      </c>
      <c r="B28" s="853" t="s">
        <v>239</v>
      </c>
      <c r="C28" s="585">
        <f t="shared" ref="C28:J28" si="1">C36</f>
        <v>4504.1092771355325</v>
      </c>
      <c r="D28" s="585">
        <f t="shared" si="1"/>
        <v>10113.116760051493</v>
      </c>
      <c r="E28" s="585">
        <f t="shared" si="1"/>
        <v>14617.216609590561</v>
      </c>
      <c r="F28" s="791">
        <f t="shared" si="1"/>
        <v>6439.1072428376774</v>
      </c>
      <c r="G28" s="585">
        <f t="shared" si="1"/>
        <v>13708.213774160835</v>
      </c>
      <c r="H28" s="585">
        <f t="shared" si="1"/>
        <v>5481.7294262044743</v>
      </c>
      <c r="I28" s="585">
        <f t="shared" si="1"/>
        <v>19189.879467911684</v>
      </c>
      <c r="J28" s="585">
        <f t="shared" si="1"/>
        <v>-4572.7000000000007</v>
      </c>
      <c r="K28" s="1183"/>
      <c r="L28" s="792"/>
    </row>
    <row r="29" spans="1:13" s="381" customFormat="1" ht="15" customHeight="1">
      <c r="A29" s="852"/>
      <c r="B29" s="853" t="s">
        <v>240</v>
      </c>
      <c r="C29" s="585">
        <f t="shared" ref="C29:J29" si="2">C39</f>
        <v>4830.499452097114</v>
      </c>
      <c r="D29" s="585">
        <f t="shared" si="2"/>
        <v>10506.413783679953</v>
      </c>
      <c r="E29" s="585">
        <f t="shared" si="2"/>
        <v>15336.864423943316</v>
      </c>
      <c r="F29" s="791">
        <f t="shared" si="2"/>
        <v>6784.5517516065538</v>
      </c>
      <c r="G29" s="585">
        <f t="shared" si="2"/>
        <v>16051.668485226455</v>
      </c>
      <c r="H29" s="585">
        <f t="shared" si="2"/>
        <v>4469.3246386527098</v>
      </c>
      <c r="I29" s="585">
        <f t="shared" si="2"/>
        <v>20521.005799603656</v>
      </c>
      <c r="J29" s="585">
        <f t="shared" si="2"/>
        <v>-5184.1000000000004</v>
      </c>
      <c r="K29" s="1183"/>
      <c r="L29" s="792"/>
    </row>
    <row r="30" spans="1:13" s="381" customFormat="1" ht="15" customHeight="1">
      <c r="A30" s="983"/>
      <c r="B30" s="1052" t="s">
        <v>237</v>
      </c>
      <c r="C30" s="1053">
        <f t="shared" ref="C30:J30" si="3">C42</f>
        <v>5267.0104131727585</v>
      </c>
      <c r="D30" s="1053">
        <f t="shared" si="3"/>
        <v>10692.475938242085</v>
      </c>
      <c r="E30" s="1053">
        <f t="shared" si="3"/>
        <v>15959.487446916028</v>
      </c>
      <c r="F30" s="1054">
        <f t="shared" si="3"/>
        <v>6965.508282138092</v>
      </c>
      <c r="G30" s="1053">
        <f t="shared" si="3"/>
        <v>15916.841140336403</v>
      </c>
      <c r="H30" s="1053">
        <f t="shared" si="3"/>
        <v>5158.4331686617406</v>
      </c>
      <c r="I30" s="1053">
        <f t="shared" si="3"/>
        <v>21075.22897491201</v>
      </c>
      <c r="J30" s="1053">
        <f t="shared" si="3"/>
        <v>-5115.7000000000007</v>
      </c>
      <c r="K30" s="1183"/>
      <c r="L30" s="792"/>
    </row>
    <row r="31" spans="1:13" s="381" customFormat="1" ht="21" customHeight="1">
      <c r="A31" s="852">
        <v>2024</v>
      </c>
      <c r="B31" s="853" t="s">
        <v>412</v>
      </c>
      <c r="C31" s="585">
        <v>4771.7129417440829</v>
      </c>
      <c r="D31" s="585">
        <v>9277.2167672009564</v>
      </c>
      <c r="E31" s="585">
        <v>14048.855322344096</v>
      </c>
      <c r="F31" s="791">
        <v>5920.1477731527411</v>
      </c>
      <c r="G31" s="585">
        <v>13544.761545366915</v>
      </c>
      <c r="H31" s="585">
        <v>4720.0827477946114</v>
      </c>
      <c r="I31" s="585">
        <v>18264.862428210068</v>
      </c>
      <c r="J31" s="585">
        <v>-4216.0000000000018</v>
      </c>
      <c r="K31" s="792"/>
      <c r="L31" s="792"/>
      <c r="M31" s="1090"/>
    </row>
    <row r="32" spans="1:13" s="381" customFormat="1" ht="14.25" customHeight="1">
      <c r="A32" s="852"/>
      <c r="B32" s="853" t="s">
        <v>413</v>
      </c>
      <c r="C32" s="585">
        <v>5086.6439167937624</v>
      </c>
      <c r="D32" s="585">
        <v>9485.0151338415999</v>
      </c>
      <c r="E32" s="585">
        <v>14571.573538491237</v>
      </c>
      <c r="F32" s="791">
        <v>6024.7726553020839</v>
      </c>
      <c r="G32" s="585">
        <v>13916.900463002534</v>
      </c>
      <c r="H32" s="585">
        <v>4798.6136623137681</v>
      </c>
      <c r="I32" s="585">
        <v>18715.500534829796</v>
      </c>
      <c r="J32" s="585">
        <f t="shared" ref="J32" si="4">ROUND(E32,1)-ROUND(I32,1)</f>
        <v>-4143.8999999999996</v>
      </c>
      <c r="K32" s="792"/>
      <c r="L32" s="792"/>
      <c r="M32" s="1090"/>
    </row>
    <row r="33" spans="1:13" s="381" customFormat="1" ht="14.25" customHeight="1">
      <c r="A33" s="852"/>
      <c r="B33" s="853" t="s">
        <v>414</v>
      </c>
      <c r="C33" s="585">
        <v>5487.9260734431728</v>
      </c>
      <c r="D33" s="585">
        <v>9358.6194223316816</v>
      </c>
      <c r="E33" s="585">
        <v>14846.494816834533</v>
      </c>
      <c r="F33" s="791">
        <v>6003.6107097827135</v>
      </c>
      <c r="G33" s="585">
        <v>13960.032754026735</v>
      </c>
      <c r="H33" s="585">
        <v>5110.1741471447785</v>
      </c>
      <c r="I33" s="585">
        <v>19070.236476899641</v>
      </c>
      <c r="J33" s="585">
        <f t="shared" ref="J33" si="5">ROUND(E33,1)-ROUND(I33,1)</f>
        <v>-4223.7000000000007</v>
      </c>
      <c r="K33" s="792"/>
      <c r="L33" s="792"/>
      <c r="M33" s="1090"/>
    </row>
    <row r="34" spans="1:13" s="381" customFormat="1" ht="21" customHeight="1">
      <c r="A34" s="852">
        <v>2025</v>
      </c>
      <c r="B34" s="853" t="s">
        <v>415</v>
      </c>
      <c r="C34" s="585">
        <v>5107.3370011120724</v>
      </c>
      <c r="D34" s="585">
        <v>9507.316721548752</v>
      </c>
      <c r="E34" s="585">
        <v>14614.55406497444</v>
      </c>
      <c r="F34" s="791">
        <v>6246.3913271257643</v>
      </c>
      <c r="G34" s="585">
        <v>14312.213938881421</v>
      </c>
      <c r="H34" s="585">
        <v>4862.5289218146054</v>
      </c>
      <c r="I34" s="585">
        <v>19174.743254255711</v>
      </c>
      <c r="J34" s="585">
        <f t="shared" ref="J34" si="6">ROUND(E34,1)-ROUND(I34,1)</f>
        <v>-4560.1000000000004</v>
      </c>
      <c r="K34" s="792"/>
      <c r="L34" s="792"/>
      <c r="M34" s="1090"/>
    </row>
    <row r="35" spans="1:13" s="381" customFormat="1" ht="15" customHeight="1">
      <c r="A35" s="852"/>
      <c r="B35" s="853" t="s">
        <v>416</v>
      </c>
      <c r="C35" s="585">
        <v>4401.628570853647</v>
      </c>
      <c r="D35" s="585">
        <v>9897.9811790598505</v>
      </c>
      <c r="E35" s="585">
        <v>14299.587423297402</v>
      </c>
      <c r="F35" s="791">
        <v>6255.7144548978376</v>
      </c>
      <c r="G35" s="585">
        <v>13570.363724559647</v>
      </c>
      <c r="H35" s="585">
        <v>5137.1008424848042</v>
      </c>
      <c r="I35" s="585">
        <v>18707.485402811901</v>
      </c>
      <c r="J35" s="585">
        <f t="shared" ref="J35" si="7">ROUND(E35,1)-ROUND(I35,1)</f>
        <v>-4407.8999999999996</v>
      </c>
      <c r="K35" s="792"/>
      <c r="L35" s="792"/>
      <c r="M35" s="1090"/>
    </row>
    <row r="36" spans="1:13" s="381" customFormat="1" ht="15" customHeight="1">
      <c r="A36" s="852"/>
      <c r="B36" s="853" t="s">
        <v>417</v>
      </c>
      <c r="C36" s="585">
        <v>4504.1092771355325</v>
      </c>
      <c r="D36" s="585">
        <v>10113.116760051493</v>
      </c>
      <c r="E36" s="585">
        <v>14617.216609590561</v>
      </c>
      <c r="F36" s="791">
        <v>6439.1072428376774</v>
      </c>
      <c r="G36" s="585">
        <v>13708.213774160835</v>
      </c>
      <c r="H36" s="585">
        <v>5481.7294262044743</v>
      </c>
      <c r="I36" s="585">
        <v>19189.879467911684</v>
      </c>
      <c r="J36" s="585">
        <f t="shared" ref="J36" si="8">ROUND(E36,1)-ROUND(I36,1)</f>
        <v>-4572.7000000000007</v>
      </c>
      <c r="K36" s="792"/>
      <c r="L36" s="792"/>
      <c r="M36" s="1090"/>
    </row>
    <row r="37" spans="1:13" s="381" customFormat="1" ht="15" customHeight="1">
      <c r="A37" s="852"/>
      <c r="B37" s="853" t="s">
        <v>418</v>
      </c>
      <c r="C37" s="585">
        <v>4688.0046338597695</v>
      </c>
      <c r="D37" s="585">
        <v>10373.67703006895</v>
      </c>
      <c r="E37" s="585">
        <v>15061.711720099085</v>
      </c>
      <c r="F37" s="791">
        <v>6574.5552232332984</v>
      </c>
      <c r="G37" s="585">
        <v>14311.126423101654</v>
      </c>
      <c r="H37" s="585">
        <v>5410.3299465448436</v>
      </c>
      <c r="I37" s="585">
        <v>19721.419485676925</v>
      </c>
      <c r="J37" s="585">
        <f t="shared" ref="J37" si="9">ROUND(E37,1)-ROUND(I37,1)</f>
        <v>-4659.7000000000007</v>
      </c>
      <c r="K37" s="792"/>
      <c r="L37" s="792"/>
      <c r="M37" s="1090"/>
    </row>
    <row r="38" spans="1:13" s="381" customFormat="1" ht="15" customHeight="1">
      <c r="A38" s="852"/>
      <c r="B38" s="853" t="s">
        <v>419</v>
      </c>
      <c r="C38" s="585">
        <v>4848.230494130119</v>
      </c>
      <c r="D38" s="585">
        <v>10420.510344273025</v>
      </c>
      <c r="E38" s="585">
        <v>15268.652679477085</v>
      </c>
      <c r="F38" s="791">
        <v>6579.2075677094635</v>
      </c>
      <c r="G38" s="585">
        <v>15306.084666865552</v>
      </c>
      <c r="H38" s="585">
        <v>5119.8383967689542</v>
      </c>
      <c r="I38" s="585">
        <v>20425.892499162794</v>
      </c>
      <c r="J38" s="585">
        <f t="shared" ref="J38" si="10">ROUND(E38,1)-ROUND(I38,1)</f>
        <v>-5157.2000000000007</v>
      </c>
      <c r="K38" s="792"/>
      <c r="L38" s="792"/>
      <c r="M38" s="1090"/>
    </row>
    <row r="39" spans="1:13" s="381" customFormat="1" ht="15" customHeight="1">
      <c r="A39" s="852"/>
      <c r="B39" s="853" t="s">
        <v>420</v>
      </c>
      <c r="C39" s="585">
        <v>4830.499452097114</v>
      </c>
      <c r="D39" s="585">
        <v>10506.413783679953</v>
      </c>
      <c r="E39" s="585">
        <v>15336.864423943316</v>
      </c>
      <c r="F39" s="791">
        <v>6784.5517516065538</v>
      </c>
      <c r="G39" s="585">
        <v>16051.668485226455</v>
      </c>
      <c r="H39" s="585">
        <v>4469.3246386527098</v>
      </c>
      <c r="I39" s="585">
        <v>20521.005799603656</v>
      </c>
      <c r="J39" s="585">
        <f t="shared" ref="J39" si="11">ROUND(E39,1)-ROUND(I39,1)</f>
        <v>-5184.1000000000004</v>
      </c>
      <c r="K39" s="792"/>
      <c r="L39" s="792"/>
      <c r="M39" s="1090"/>
    </row>
    <row r="40" spans="1:13" s="381" customFormat="1" ht="15" customHeight="1">
      <c r="A40" s="852"/>
      <c r="B40" s="853" t="s">
        <v>421</v>
      </c>
      <c r="C40" s="585">
        <v>5000.6346386774649</v>
      </c>
      <c r="D40" s="585">
        <v>10587.995823277408</v>
      </c>
      <c r="E40" s="585">
        <v>15588.617386193881</v>
      </c>
      <c r="F40" s="791">
        <v>6784.5836816694919</v>
      </c>
      <c r="G40" s="585">
        <v>15903.730598464761</v>
      </c>
      <c r="H40" s="585">
        <v>4938.2109670891659</v>
      </c>
      <c r="I40" s="585">
        <v>20841.943666804782</v>
      </c>
      <c r="J40" s="585">
        <f t="shared" ref="J40" si="12">ROUND(E40,1)-ROUND(I40,1)</f>
        <v>-5253.3000000000011</v>
      </c>
      <c r="K40" s="792"/>
      <c r="L40" s="792"/>
      <c r="M40" s="1090"/>
    </row>
    <row r="41" spans="1:13" s="381" customFormat="1" ht="15" customHeight="1">
      <c r="A41" s="852"/>
      <c r="B41" s="853" t="s">
        <v>422</v>
      </c>
      <c r="C41" s="585">
        <v>5440.9352203382277</v>
      </c>
      <c r="D41" s="585">
        <v>10769.183902448549</v>
      </c>
      <c r="E41" s="585">
        <v>16210.065705840276</v>
      </c>
      <c r="F41" s="791">
        <v>6862.7351399999243</v>
      </c>
      <c r="G41" s="585">
        <v>16148.855871202679</v>
      </c>
      <c r="H41" s="585">
        <v>5113.9868290960731</v>
      </c>
      <c r="I41" s="585">
        <v>21262.937433559287</v>
      </c>
      <c r="J41" s="585">
        <f t="shared" ref="J41" si="13">ROUND(E41,1)-ROUND(I41,1)</f>
        <v>-5052.8000000000011</v>
      </c>
      <c r="K41" s="792"/>
      <c r="L41" s="792"/>
      <c r="M41" s="1090"/>
    </row>
    <row r="42" spans="1:13" s="381" customFormat="1" ht="15" customHeight="1">
      <c r="A42" s="852"/>
      <c r="B42" s="853" t="s">
        <v>423</v>
      </c>
      <c r="C42" s="585">
        <v>5267.0104131727585</v>
      </c>
      <c r="D42" s="585">
        <v>10692.475938242085</v>
      </c>
      <c r="E42" s="585">
        <v>15959.487446916028</v>
      </c>
      <c r="F42" s="791">
        <v>6965.508282138092</v>
      </c>
      <c r="G42" s="585">
        <v>15916.841140336403</v>
      </c>
      <c r="H42" s="585">
        <v>5158.4331686617406</v>
      </c>
      <c r="I42" s="585">
        <v>21075.22897491201</v>
      </c>
      <c r="J42" s="585">
        <f t="shared" ref="J42" si="14">ROUND(E42,1)-ROUND(I42,1)</f>
        <v>-5115.7000000000007</v>
      </c>
      <c r="K42" s="792"/>
      <c r="L42" s="792"/>
      <c r="M42" s="1090"/>
    </row>
    <row r="43" spans="1:13" s="381" customFormat="1" ht="15" customHeight="1">
      <c r="A43" s="852"/>
      <c r="B43" s="853" t="s">
        <v>412</v>
      </c>
      <c r="C43" s="585">
        <v>4919.0056045653473</v>
      </c>
      <c r="D43" s="585">
        <v>10758.255003074741</v>
      </c>
      <c r="E43" s="585">
        <v>15677.273757909072</v>
      </c>
      <c r="F43" s="791">
        <v>6343.3166108797741</v>
      </c>
      <c r="G43" s="585">
        <v>15668.264510499394</v>
      </c>
      <c r="H43" s="585">
        <v>5833.7371570795576</v>
      </c>
      <c r="I43" s="585">
        <v>21501.998173392392</v>
      </c>
      <c r="J43" s="585">
        <f t="shared" ref="J43" si="15">ROUND(E43,1)-ROUND(I43,1)</f>
        <v>-5824.7000000000007</v>
      </c>
      <c r="K43" s="792"/>
      <c r="L43" s="792"/>
      <c r="M43" s="1090"/>
    </row>
    <row r="44" spans="1:13" s="323" customFormat="1" ht="21.2" customHeight="1">
      <c r="A44" s="279"/>
      <c r="B44" s="346"/>
      <c r="C44" s="346"/>
      <c r="D44" s="346"/>
      <c r="E44" s="346"/>
      <c r="F44" s="346"/>
      <c r="G44" s="346"/>
      <c r="H44" s="346"/>
      <c r="I44" s="347"/>
      <c r="J44" s="1636"/>
    </row>
    <row r="45" spans="1:13" ht="14.25">
      <c r="A45" s="355"/>
      <c r="B45" s="321"/>
      <c r="C45" s="321"/>
      <c r="D45" s="321"/>
      <c r="E45" s="321"/>
      <c r="F45" s="321"/>
      <c r="G45" s="321"/>
      <c r="J45" s="1637"/>
    </row>
    <row r="46" spans="1:13">
      <c r="G46" s="1638"/>
    </row>
    <row r="47" spans="1:13">
      <c r="A47" s="349" t="s">
        <v>876</v>
      </c>
      <c r="B47" s="1250"/>
      <c r="C47" s="1250"/>
      <c r="D47" s="1250"/>
      <c r="E47" s="1250"/>
      <c r="F47" s="1250"/>
      <c r="G47" s="1250"/>
      <c r="H47" s="1250"/>
      <c r="I47" s="1250"/>
      <c r="J47" s="1250"/>
    </row>
    <row r="48" spans="1:13">
      <c r="C48" s="1570"/>
      <c r="D48" s="1570"/>
      <c r="E48" s="1570"/>
      <c r="F48" s="1570"/>
      <c r="G48" s="1570"/>
      <c r="H48" s="1570"/>
      <c r="I48" s="1570"/>
      <c r="J48" s="1570"/>
    </row>
    <row r="49" spans="1:10">
      <c r="C49" s="1570"/>
      <c r="D49" s="1570"/>
      <c r="E49" s="1570"/>
      <c r="F49" s="1570"/>
      <c r="G49" s="1570"/>
      <c r="H49" s="1570"/>
      <c r="I49" s="1570"/>
      <c r="J49" s="1570"/>
    </row>
    <row r="51" spans="1:10">
      <c r="C51" s="1250"/>
    </row>
    <row r="53" spans="1:10">
      <c r="A53" s="350"/>
    </row>
    <row r="54" spans="1:10">
      <c r="C54" s="351"/>
    </row>
  </sheetData>
  <phoneticPr fontId="0" type="noConversion"/>
  <printOptions horizontalCentered="1" verticalCentered="1"/>
  <pageMargins left="0" right="0" top="0" bottom="0" header="0.511811023622047" footer="0.511811023622047"/>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abSelected="1" topLeftCell="A42" zoomScale="70" zoomScaleNormal="70" workbookViewId="0">
      <selection activeCell="N29" sqref="N29"/>
    </sheetView>
  </sheetViews>
  <sheetFormatPr defaultColWidth="12.42578125" defaultRowHeight="15"/>
  <cols>
    <col min="1" max="1" width="34.42578125" style="1801" customWidth="1"/>
    <col min="2" max="2" width="18.28515625" style="1809" customWidth="1"/>
    <col min="3" max="3" width="17.42578125" style="1809" customWidth="1"/>
    <col min="4" max="4" width="62.42578125" style="1810" customWidth="1"/>
    <col min="5" max="5" width="16.28515625" style="1794" bestFit="1" customWidth="1"/>
    <col min="6" max="7" width="12.42578125" style="1794"/>
    <col min="8" max="8" width="25.28515625" style="1794" customWidth="1"/>
    <col min="9" max="16384" width="12.42578125" style="1794"/>
  </cols>
  <sheetData>
    <row r="1" spans="1:8" ht="18">
      <c r="A1" s="1856" t="s">
        <v>117</v>
      </c>
      <c r="B1" s="1856"/>
      <c r="C1" s="1856"/>
      <c r="D1" s="1856"/>
      <c r="E1" s="1856"/>
      <c r="F1" s="1856"/>
      <c r="G1" s="1856"/>
      <c r="H1" s="1856"/>
    </row>
    <row r="2" spans="1:8" ht="24" customHeight="1">
      <c r="A2" s="1857" t="s">
        <v>118</v>
      </c>
      <c r="B2" s="1858"/>
      <c r="C2" s="1858"/>
      <c r="D2" s="1858"/>
      <c r="E2" s="1858"/>
      <c r="F2" s="1858"/>
      <c r="G2" s="1858"/>
      <c r="H2" s="1859"/>
    </row>
    <row r="3" spans="1:8" ht="27" customHeight="1">
      <c r="A3" s="1860" t="s">
        <v>119</v>
      </c>
      <c r="B3" s="1860"/>
      <c r="C3" s="1860"/>
      <c r="D3" s="1860"/>
      <c r="E3" s="1860"/>
      <c r="F3" s="1860"/>
      <c r="G3" s="1860"/>
      <c r="H3" s="1860"/>
    </row>
    <row r="4" spans="1:8" ht="42" customHeight="1">
      <c r="A4" s="1795" t="s">
        <v>120</v>
      </c>
      <c r="B4" s="1855" t="s">
        <v>121</v>
      </c>
      <c r="C4" s="1855"/>
      <c r="D4" s="1855"/>
      <c r="E4" s="1855"/>
      <c r="F4" s="1855"/>
      <c r="G4" s="1855"/>
      <c r="H4" s="1855"/>
    </row>
    <row r="5" spans="1:8" ht="45" customHeight="1">
      <c r="A5" s="1796" t="s">
        <v>122</v>
      </c>
      <c r="B5" s="1855" t="s">
        <v>123</v>
      </c>
      <c r="C5" s="1855"/>
      <c r="D5" s="1855"/>
      <c r="E5" s="1855"/>
      <c r="F5" s="1855"/>
      <c r="G5" s="1855"/>
      <c r="H5" s="1855"/>
    </row>
    <row r="6" spans="1:8" ht="33" customHeight="1">
      <c r="A6" s="1795" t="s">
        <v>124</v>
      </c>
      <c r="B6" s="1855" t="s">
        <v>125</v>
      </c>
      <c r="C6" s="1855"/>
      <c r="D6" s="1855"/>
      <c r="E6" s="1855"/>
      <c r="F6" s="1855"/>
      <c r="G6" s="1855"/>
      <c r="H6" s="1855"/>
    </row>
    <row r="7" spans="1:8" ht="42.75" customHeight="1">
      <c r="A7" s="1795" t="s">
        <v>126</v>
      </c>
      <c r="B7" s="1855" t="s">
        <v>127</v>
      </c>
      <c r="C7" s="1855"/>
      <c r="D7" s="1855"/>
      <c r="E7" s="1855"/>
      <c r="F7" s="1855"/>
      <c r="G7" s="1855"/>
      <c r="H7" s="1855"/>
    </row>
    <row r="8" spans="1:8" ht="58.35" customHeight="1">
      <c r="A8" s="1795" t="s">
        <v>128</v>
      </c>
      <c r="B8" s="1862" t="s">
        <v>129</v>
      </c>
      <c r="C8" s="1863"/>
      <c r="D8" s="1863"/>
      <c r="E8" s="1863"/>
      <c r="F8" s="1863"/>
      <c r="G8" s="1863"/>
      <c r="H8" s="1864"/>
    </row>
    <row r="9" spans="1:8" ht="21.75" customHeight="1">
      <c r="A9" s="1795" t="s">
        <v>130</v>
      </c>
      <c r="B9" s="1855" t="s">
        <v>131</v>
      </c>
      <c r="C9" s="1855"/>
      <c r="D9" s="1855"/>
      <c r="E9" s="1855"/>
      <c r="F9" s="1855"/>
      <c r="G9" s="1855"/>
      <c r="H9" s="1855"/>
    </row>
    <row r="10" spans="1:8" ht="165" customHeight="1">
      <c r="A10" s="1795" t="s">
        <v>132</v>
      </c>
      <c r="B10" s="1862" t="s">
        <v>133</v>
      </c>
      <c r="C10" s="1863"/>
      <c r="D10" s="1863"/>
      <c r="E10" s="1863"/>
      <c r="F10" s="1863"/>
      <c r="G10" s="1863"/>
      <c r="H10" s="1864"/>
    </row>
    <row r="11" spans="1:8" ht="51.75" customHeight="1">
      <c r="A11" s="1795" t="s">
        <v>134</v>
      </c>
      <c r="B11" s="1855" t="s">
        <v>135</v>
      </c>
      <c r="C11" s="1855"/>
      <c r="D11" s="1855"/>
      <c r="E11" s="1855"/>
      <c r="F11" s="1855"/>
      <c r="G11" s="1855"/>
      <c r="H11" s="1855"/>
    </row>
    <row r="12" spans="1:8" ht="27.6" customHeight="1">
      <c r="A12" s="1795" t="s">
        <v>136</v>
      </c>
      <c r="B12" s="1855" t="s">
        <v>137</v>
      </c>
      <c r="C12" s="1855"/>
      <c r="D12" s="1855"/>
      <c r="E12" s="1855"/>
      <c r="F12" s="1855"/>
      <c r="G12" s="1855"/>
      <c r="H12" s="1855"/>
    </row>
    <row r="13" spans="1:8" ht="34.5" customHeight="1">
      <c r="A13" s="1865" t="s">
        <v>138</v>
      </c>
      <c r="B13" s="1865"/>
      <c r="C13" s="1865"/>
      <c r="D13" s="1865"/>
      <c r="E13" s="1865"/>
      <c r="F13" s="1865"/>
      <c r="G13" s="1865"/>
      <c r="H13" s="1865"/>
    </row>
    <row r="14" spans="1:8" ht="24.75" customHeight="1">
      <c r="A14" s="1867" t="s">
        <v>139</v>
      </c>
      <c r="B14" s="1867"/>
      <c r="C14" s="1867"/>
      <c r="D14" s="1867"/>
      <c r="E14" s="1867"/>
      <c r="F14" s="1867"/>
      <c r="G14" s="1867"/>
      <c r="H14" s="1867"/>
    </row>
    <row r="15" spans="1:8" ht="20.45" customHeight="1">
      <c r="A15" s="1797" t="s">
        <v>140</v>
      </c>
      <c r="B15" s="1866" t="s">
        <v>141</v>
      </c>
      <c r="C15" s="1866"/>
      <c r="D15" s="1866"/>
      <c r="E15" s="1797" t="s">
        <v>142</v>
      </c>
      <c r="F15" s="1797" t="s">
        <v>143</v>
      </c>
      <c r="G15" s="1797" t="s">
        <v>6</v>
      </c>
      <c r="H15" s="1797" t="s">
        <v>144</v>
      </c>
    </row>
    <row r="16" spans="1:8" ht="130.5" customHeight="1">
      <c r="A16" s="1798" t="s">
        <v>8</v>
      </c>
      <c r="B16" s="1868" t="s">
        <v>145</v>
      </c>
      <c r="C16" s="1868"/>
      <c r="D16" s="1868"/>
      <c r="E16" s="1799" t="s">
        <v>146</v>
      </c>
      <c r="F16" s="1799">
        <v>3</v>
      </c>
      <c r="G16" s="1799" t="s">
        <v>147</v>
      </c>
      <c r="H16" s="1799" t="s">
        <v>148</v>
      </c>
    </row>
    <row r="17" spans="1:9" ht="57.75" customHeight="1">
      <c r="A17" s="1798" t="s">
        <v>10</v>
      </c>
      <c r="B17" s="1861" t="s">
        <v>149</v>
      </c>
      <c r="C17" s="1861"/>
      <c r="D17" s="1861"/>
      <c r="E17" s="1799" t="s">
        <v>146</v>
      </c>
      <c r="F17" s="1799">
        <v>4</v>
      </c>
      <c r="G17" s="1799" t="s">
        <v>147</v>
      </c>
      <c r="H17" s="1799" t="s">
        <v>148</v>
      </c>
    </row>
    <row r="18" spans="1:9" ht="44.25" customHeight="1">
      <c r="A18" s="1798" t="s">
        <v>150</v>
      </c>
      <c r="B18" s="1861" t="s">
        <v>151</v>
      </c>
      <c r="C18" s="1861"/>
      <c r="D18" s="1861"/>
      <c r="E18" s="1799" t="s">
        <v>146</v>
      </c>
      <c r="F18" s="1800" t="s">
        <v>152</v>
      </c>
      <c r="G18" s="1799" t="s">
        <v>153</v>
      </c>
      <c r="H18" s="1799" t="s">
        <v>154</v>
      </c>
      <c r="I18" s="1801"/>
    </row>
    <row r="19" spans="1:9" ht="44.25" customHeight="1">
      <c r="A19" s="1798" t="s">
        <v>155</v>
      </c>
      <c r="B19" s="1861" t="s">
        <v>156</v>
      </c>
      <c r="C19" s="1861"/>
      <c r="D19" s="1861"/>
      <c r="E19" s="1799" t="s">
        <v>146</v>
      </c>
      <c r="F19" s="1800" t="s">
        <v>157</v>
      </c>
      <c r="G19" s="1799" t="s">
        <v>153</v>
      </c>
      <c r="H19" s="1799" t="s">
        <v>154</v>
      </c>
      <c r="I19" s="1801"/>
    </row>
    <row r="20" spans="1:9" ht="111.6" customHeight="1">
      <c r="A20" s="1798" t="s">
        <v>26</v>
      </c>
      <c r="B20" s="1861" t="s">
        <v>158</v>
      </c>
      <c r="C20" s="1861"/>
      <c r="D20" s="1861"/>
      <c r="E20" s="1799" t="s">
        <v>146</v>
      </c>
      <c r="F20" s="1800" t="s">
        <v>159</v>
      </c>
      <c r="G20" s="1799" t="s">
        <v>147</v>
      </c>
      <c r="H20" s="1799" t="s">
        <v>148</v>
      </c>
    </row>
    <row r="21" spans="1:9" ht="25.5" customHeight="1">
      <c r="A21" s="1867" t="s">
        <v>0</v>
      </c>
      <c r="B21" s="1867"/>
      <c r="C21" s="1867"/>
      <c r="D21" s="1867"/>
      <c r="E21" s="1867"/>
      <c r="F21" s="1867"/>
      <c r="G21" s="1867"/>
      <c r="H21" s="1867"/>
    </row>
    <row r="22" spans="1:9" ht="20.45" customHeight="1">
      <c r="A22" s="1797" t="s">
        <v>140</v>
      </c>
      <c r="B22" s="1866" t="s">
        <v>141</v>
      </c>
      <c r="C22" s="1866"/>
      <c r="D22" s="1866"/>
      <c r="E22" s="1797" t="s">
        <v>142</v>
      </c>
      <c r="F22" s="1797" t="s">
        <v>143</v>
      </c>
      <c r="G22" s="1797" t="s">
        <v>6</v>
      </c>
      <c r="H22" s="1797" t="s">
        <v>144</v>
      </c>
    </row>
    <row r="23" spans="1:9" ht="127.5" customHeight="1">
      <c r="A23" s="1208" t="s">
        <v>160</v>
      </c>
      <c r="B23" s="1872" t="s">
        <v>161</v>
      </c>
      <c r="C23" s="1872"/>
      <c r="D23" s="1872"/>
      <c r="E23" s="1799" t="s">
        <v>146</v>
      </c>
      <c r="F23" s="1802">
        <v>1</v>
      </c>
      <c r="G23" s="1799" t="s">
        <v>147</v>
      </c>
      <c r="H23" s="1799" t="s">
        <v>148</v>
      </c>
    </row>
    <row r="24" spans="1:9" ht="101.25" customHeight="1">
      <c r="A24" s="1798" t="s">
        <v>162</v>
      </c>
      <c r="B24" s="1861" t="s">
        <v>163</v>
      </c>
      <c r="C24" s="1861"/>
      <c r="D24" s="1861"/>
      <c r="E24" s="1799" t="s">
        <v>146</v>
      </c>
      <c r="F24" s="1799">
        <v>13</v>
      </c>
      <c r="G24" s="1799" t="s">
        <v>164</v>
      </c>
      <c r="H24" s="1799" t="s">
        <v>148</v>
      </c>
    </row>
    <row r="25" spans="1:9" ht="103.5" customHeight="1">
      <c r="A25" s="1798" t="s">
        <v>165</v>
      </c>
      <c r="B25" s="1868" t="s">
        <v>166</v>
      </c>
      <c r="C25" s="1868"/>
      <c r="D25" s="1868"/>
      <c r="E25" s="1799" t="s">
        <v>146</v>
      </c>
      <c r="F25" s="1800" t="s">
        <v>167</v>
      </c>
      <c r="G25" s="1799" t="s">
        <v>147</v>
      </c>
      <c r="H25" s="1799" t="s">
        <v>148</v>
      </c>
    </row>
    <row r="26" spans="1:9" ht="60.6" customHeight="1">
      <c r="A26" s="1798" t="s">
        <v>168</v>
      </c>
      <c r="B26" s="1868" t="s">
        <v>169</v>
      </c>
      <c r="C26" s="1868"/>
      <c r="D26" s="1868"/>
      <c r="E26" s="1799" t="s">
        <v>146</v>
      </c>
      <c r="F26" s="1800" t="s">
        <v>170</v>
      </c>
      <c r="G26" s="1799" t="s">
        <v>164</v>
      </c>
      <c r="H26" s="1799" t="s">
        <v>148</v>
      </c>
    </row>
    <row r="27" spans="1:9" ht="90.75" customHeight="1">
      <c r="A27" s="1798" t="s">
        <v>171</v>
      </c>
      <c r="B27" s="1868" t="s">
        <v>172</v>
      </c>
      <c r="C27" s="1868"/>
      <c r="D27" s="1868"/>
      <c r="E27" s="1799" t="s">
        <v>146</v>
      </c>
      <c r="F27" s="1800" t="s">
        <v>173</v>
      </c>
      <c r="G27" s="1799" t="s">
        <v>164</v>
      </c>
      <c r="H27" s="1799" t="s">
        <v>148</v>
      </c>
    </row>
    <row r="28" spans="1:9" ht="61.5" customHeight="1">
      <c r="A28" s="1798" t="s">
        <v>73</v>
      </c>
      <c r="B28" s="1868" t="s">
        <v>174</v>
      </c>
      <c r="C28" s="1868"/>
      <c r="D28" s="1868"/>
      <c r="E28" s="1799" t="s">
        <v>175</v>
      </c>
      <c r="F28" s="1800" t="s">
        <v>176</v>
      </c>
      <c r="G28" s="1799" t="s">
        <v>147</v>
      </c>
      <c r="H28" s="1799" t="s">
        <v>148</v>
      </c>
    </row>
    <row r="29" spans="1:9" ht="57" customHeight="1">
      <c r="A29" s="1798" t="s">
        <v>177</v>
      </c>
      <c r="B29" s="1868" t="s">
        <v>178</v>
      </c>
      <c r="C29" s="1868"/>
      <c r="D29" s="1868"/>
      <c r="E29" s="1799" t="s">
        <v>175</v>
      </c>
      <c r="F29" s="1800" t="s">
        <v>179</v>
      </c>
      <c r="G29" s="1799" t="s">
        <v>147</v>
      </c>
      <c r="H29" s="1799" t="s">
        <v>180</v>
      </c>
    </row>
    <row r="30" spans="1:9" ht="141" customHeight="1">
      <c r="A30" s="1798" t="s">
        <v>77</v>
      </c>
      <c r="B30" s="1861" t="s">
        <v>181</v>
      </c>
      <c r="C30" s="1861"/>
      <c r="D30" s="1861"/>
      <c r="E30" s="1799" t="s">
        <v>146</v>
      </c>
      <c r="F30" s="1800" t="s">
        <v>182</v>
      </c>
      <c r="G30" s="1799" t="s">
        <v>147</v>
      </c>
      <c r="H30" s="1799" t="s">
        <v>148</v>
      </c>
    </row>
    <row r="31" spans="1:9" ht="73.5" customHeight="1">
      <c r="A31" s="1798" t="s">
        <v>81</v>
      </c>
      <c r="B31" s="1861" t="s">
        <v>183</v>
      </c>
      <c r="C31" s="1861"/>
      <c r="D31" s="1861"/>
      <c r="E31" s="1799" t="s">
        <v>146</v>
      </c>
      <c r="F31" s="1803" t="s">
        <v>184</v>
      </c>
      <c r="G31" s="1799" t="s">
        <v>147</v>
      </c>
      <c r="H31" s="1799" t="s">
        <v>148</v>
      </c>
    </row>
    <row r="32" spans="1:9" ht="28.5" customHeight="1">
      <c r="A32" s="1867" t="s">
        <v>185</v>
      </c>
      <c r="B32" s="1867"/>
      <c r="C32" s="1867"/>
      <c r="D32" s="1867"/>
      <c r="E32" s="1867"/>
      <c r="F32" s="1867"/>
      <c r="G32" s="1867"/>
      <c r="H32" s="1867"/>
    </row>
    <row r="33" spans="1:8" ht="20.45" customHeight="1">
      <c r="A33" s="1797" t="s">
        <v>140</v>
      </c>
      <c r="B33" s="1866" t="s">
        <v>141</v>
      </c>
      <c r="C33" s="1866"/>
      <c r="D33" s="1866"/>
      <c r="E33" s="1797" t="s">
        <v>142</v>
      </c>
      <c r="F33" s="1797" t="s">
        <v>143</v>
      </c>
      <c r="G33" s="1797" t="s">
        <v>6</v>
      </c>
      <c r="H33" s="1797" t="s">
        <v>144</v>
      </c>
    </row>
    <row r="34" spans="1:8" ht="43.5" customHeight="1">
      <c r="A34" s="1804" t="s">
        <v>97</v>
      </c>
      <c r="B34" s="1869" t="s">
        <v>186</v>
      </c>
      <c r="C34" s="1870"/>
      <c r="D34" s="1871"/>
      <c r="E34" s="1803" t="s">
        <v>175</v>
      </c>
      <c r="F34" s="1805" t="s">
        <v>187</v>
      </c>
      <c r="G34" s="1803" t="s">
        <v>153</v>
      </c>
      <c r="H34" s="1806" t="s">
        <v>188</v>
      </c>
    </row>
    <row r="35" spans="1:8" ht="319.5" customHeight="1">
      <c r="A35" s="1798" t="s">
        <v>99</v>
      </c>
      <c r="B35" s="1875" t="s">
        <v>1775</v>
      </c>
      <c r="C35" s="1876"/>
      <c r="D35" s="1876"/>
      <c r="E35" s="1799" t="s">
        <v>175</v>
      </c>
      <c r="F35" s="1803">
        <v>52</v>
      </c>
      <c r="G35" s="1799" t="s">
        <v>147</v>
      </c>
      <c r="H35" s="1799" t="s">
        <v>148</v>
      </c>
    </row>
    <row r="36" spans="1:8" ht="41.25" customHeight="1">
      <c r="A36" s="1798" t="s">
        <v>101</v>
      </c>
      <c r="B36" s="1868" t="s">
        <v>189</v>
      </c>
      <c r="C36" s="1868"/>
      <c r="D36" s="1868"/>
      <c r="E36" s="1799" t="s">
        <v>175</v>
      </c>
      <c r="F36" s="1800" t="s">
        <v>190</v>
      </c>
      <c r="G36" s="1799" t="s">
        <v>147</v>
      </c>
      <c r="H36" s="1799" t="s">
        <v>148</v>
      </c>
    </row>
    <row r="37" spans="1:8" ht="41.25" customHeight="1">
      <c r="A37" s="1798" t="s">
        <v>103</v>
      </c>
      <c r="B37" s="1868" t="s">
        <v>191</v>
      </c>
      <c r="C37" s="1868"/>
      <c r="D37" s="1868"/>
      <c r="E37" s="1799" t="s">
        <v>146</v>
      </c>
      <c r="F37" s="1800" t="s">
        <v>192</v>
      </c>
      <c r="G37" s="1799" t="s">
        <v>147</v>
      </c>
      <c r="H37" s="1799" t="s">
        <v>148</v>
      </c>
    </row>
    <row r="38" spans="1:8" ht="105" customHeight="1">
      <c r="A38" s="1798" t="s">
        <v>193</v>
      </c>
      <c r="B38" s="1868" t="s">
        <v>194</v>
      </c>
      <c r="C38" s="1868"/>
      <c r="D38" s="1868"/>
      <c r="E38" s="1802" t="s">
        <v>195</v>
      </c>
      <c r="F38" s="1800" t="s">
        <v>196</v>
      </c>
      <c r="G38" s="1799" t="s">
        <v>147</v>
      </c>
      <c r="H38" s="1799" t="s">
        <v>180</v>
      </c>
    </row>
    <row r="39" spans="1:8" ht="48.75" customHeight="1">
      <c r="A39" s="1798" t="s">
        <v>197</v>
      </c>
      <c r="B39" s="1868" t="s">
        <v>198</v>
      </c>
      <c r="C39" s="1868"/>
      <c r="D39" s="1868"/>
      <c r="E39" s="1799" t="s">
        <v>175</v>
      </c>
      <c r="F39" s="1799">
        <v>59</v>
      </c>
      <c r="G39" s="1799" t="s">
        <v>164</v>
      </c>
      <c r="H39" s="1799" t="s">
        <v>180</v>
      </c>
    </row>
    <row r="40" spans="1:8" ht="27.75" customHeight="1">
      <c r="A40" s="1877" t="s">
        <v>199</v>
      </c>
      <c r="B40" s="1877"/>
      <c r="C40" s="1877"/>
      <c r="D40" s="1877"/>
      <c r="E40" s="1877"/>
      <c r="F40" s="1877"/>
      <c r="G40" s="1877"/>
      <c r="H40" s="1877"/>
    </row>
    <row r="41" spans="1:8" ht="208.35" customHeight="1">
      <c r="A41" s="1208" t="s">
        <v>66</v>
      </c>
      <c r="B41" s="1872" t="s">
        <v>200</v>
      </c>
      <c r="C41" s="1872"/>
      <c r="D41" s="1872"/>
      <c r="E41" s="1802" t="s">
        <v>175</v>
      </c>
      <c r="F41" s="1802" t="s">
        <v>201</v>
      </c>
      <c r="G41" s="1802" t="s">
        <v>153</v>
      </c>
      <c r="H41" s="1802" t="s">
        <v>202</v>
      </c>
    </row>
    <row r="42" spans="1:8" ht="24.6" customHeight="1">
      <c r="A42" s="1860" t="s">
        <v>203</v>
      </c>
      <c r="B42" s="1860"/>
      <c r="C42" s="1860"/>
      <c r="D42" s="1860"/>
      <c r="E42" s="1860"/>
      <c r="F42" s="1860"/>
      <c r="G42" s="1860"/>
      <c r="H42" s="1860"/>
    </row>
    <row r="43" spans="1:8" ht="31.5" customHeight="1">
      <c r="A43" s="1873" t="s">
        <v>142</v>
      </c>
      <c r="B43" s="1855" t="s">
        <v>204</v>
      </c>
      <c r="C43" s="1855"/>
      <c r="D43" s="1855"/>
      <c r="E43" s="1855"/>
      <c r="F43" s="1855"/>
      <c r="G43" s="1855"/>
      <c r="H43" s="1855"/>
    </row>
    <row r="44" spans="1:8" ht="28.5" customHeight="1">
      <c r="A44" s="1874"/>
      <c r="B44" s="1855" t="s">
        <v>205</v>
      </c>
      <c r="C44" s="1855"/>
      <c r="D44" s="1855"/>
      <c r="E44" s="1855"/>
      <c r="F44" s="1855"/>
      <c r="G44" s="1855"/>
      <c r="H44" s="1855"/>
    </row>
    <row r="45" spans="1:8" ht="18" customHeight="1">
      <c r="A45" s="1873" t="s">
        <v>206</v>
      </c>
      <c r="B45" s="1855" t="s">
        <v>207</v>
      </c>
      <c r="C45" s="1855"/>
      <c r="D45" s="1855"/>
      <c r="E45" s="1855"/>
      <c r="F45" s="1855"/>
      <c r="G45" s="1855"/>
      <c r="H45" s="1855"/>
    </row>
    <row r="46" spans="1:8" ht="18" customHeight="1">
      <c r="A46" s="1874"/>
      <c r="B46" s="1855" t="s">
        <v>208</v>
      </c>
      <c r="C46" s="1855"/>
      <c r="D46" s="1855"/>
      <c r="E46" s="1855"/>
      <c r="F46" s="1855"/>
      <c r="G46" s="1855"/>
      <c r="H46" s="1855"/>
    </row>
    <row r="47" spans="1:8" ht="18" customHeight="1">
      <c r="A47" s="1807" t="s">
        <v>209</v>
      </c>
      <c r="B47" s="1855" t="s">
        <v>210</v>
      </c>
      <c r="C47" s="1855"/>
      <c r="D47" s="1855"/>
      <c r="E47" s="1855"/>
      <c r="F47" s="1855"/>
      <c r="G47" s="1855"/>
      <c r="H47" s="1855"/>
    </row>
    <row r="48" spans="1:8" ht="76.5" customHeight="1">
      <c r="A48" s="1795" t="s">
        <v>211</v>
      </c>
      <c r="B48" s="1855" t="s">
        <v>212</v>
      </c>
      <c r="C48" s="1855"/>
      <c r="D48" s="1855"/>
      <c r="E48" s="1855"/>
      <c r="F48" s="1855"/>
      <c r="G48" s="1855"/>
      <c r="H48" s="1855"/>
    </row>
    <row r="49" spans="1:8" ht="28.5" customHeight="1">
      <c r="A49" s="1860" t="s">
        <v>213</v>
      </c>
      <c r="B49" s="1860"/>
      <c r="C49" s="1860"/>
      <c r="D49" s="1860"/>
      <c r="E49" s="1860"/>
      <c r="F49" s="1860"/>
      <c r="G49" s="1860"/>
      <c r="H49" s="1860"/>
    </row>
    <row r="50" spans="1:8" ht="101.25" customHeight="1">
      <c r="A50" s="1796" t="s">
        <v>214</v>
      </c>
      <c r="B50" s="1855" t="s">
        <v>215</v>
      </c>
      <c r="C50" s="1855"/>
      <c r="D50" s="1855"/>
      <c r="E50" s="1855"/>
      <c r="F50" s="1855"/>
      <c r="G50" s="1855"/>
      <c r="H50" s="1855"/>
    </row>
    <row r="51" spans="1:8" ht="50.45" customHeight="1">
      <c r="A51" s="1796" t="s">
        <v>216</v>
      </c>
      <c r="B51" s="1855" t="s">
        <v>217</v>
      </c>
      <c r="C51" s="1855"/>
      <c r="D51" s="1855"/>
      <c r="E51" s="1855"/>
      <c r="F51" s="1855"/>
      <c r="G51" s="1855"/>
      <c r="H51" s="1855"/>
    </row>
    <row r="52" spans="1:8" ht="44.1" customHeight="1">
      <c r="A52" s="1796" t="s">
        <v>218</v>
      </c>
      <c r="B52" s="1855" t="s">
        <v>219</v>
      </c>
      <c r="C52" s="1855"/>
      <c r="D52" s="1855"/>
      <c r="E52" s="1855"/>
      <c r="F52" s="1855"/>
      <c r="G52" s="1855"/>
      <c r="H52" s="1855"/>
    </row>
    <row r="53" spans="1:8" ht="42.6" customHeight="1">
      <c r="A53" s="1795" t="s">
        <v>220</v>
      </c>
      <c r="B53" s="1855" t="s">
        <v>221</v>
      </c>
      <c r="C53" s="1855"/>
      <c r="D53" s="1855"/>
      <c r="E53" s="1855"/>
      <c r="F53" s="1855"/>
      <c r="G53" s="1855"/>
      <c r="H53" s="1855"/>
    </row>
    <row r="54" spans="1:8" ht="54.6" customHeight="1">
      <c r="A54" s="1796" t="s">
        <v>222</v>
      </c>
      <c r="B54" s="1855" t="s">
        <v>223</v>
      </c>
      <c r="C54" s="1855"/>
      <c r="D54" s="1855"/>
      <c r="E54" s="1855"/>
      <c r="F54" s="1855"/>
      <c r="G54" s="1855"/>
      <c r="H54" s="1855"/>
    </row>
    <row r="55" spans="1:8" ht="41.45" customHeight="1">
      <c r="A55" s="1808" t="s">
        <v>224</v>
      </c>
      <c r="B55" s="1878" t="s">
        <v>225</v>
      </c>
      <c r="C55" s="1878"/>
      <c r="D55" s="1878"/>
      <c r="E55" s="1878"/>
      <c r="F55" s="1878"/>
      <c r="G55" s="1878"/>
      <c r="H55" s="1878"/>
    </row>
    <row r="56" spans="1:8" ht="15.75" customHeight="1">
      <c r="A56" s="1808" t="s">
        <v>226</v>
      </c>
      <c r="B56" s="1879" t="s">
        <v>227</v>
      </c>
      <c r="C56" s="1879"/>
      <c r="D56" s="1879"/>
      <c r="E56" s="1879"/>
      <c r="F56" s="1879"/>
      <c r="G56" s="1879"/>
      <c r="H56" s="1879"/>
    </row>
  </sheetData>
  <mergeCells count="58">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 ref="B44:H44"/>
    <mergeCell ref="A45:A46"/>
    <mergeCell ref="B45:H45"/>
    <mergeCell ref="B46:H46"/>
    <mergeCell ref="B35:D35"/>
    <mergeCell ref="B37:D37"/>
    <mergeCell ref="B38:D38"/>
    <mergeCell ref="B39:D39"/>
    <mergeCell ref="A40:H40"/>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tabSelected="1" zoomScale="90" zoomScaleNormal="90" workbookViewId="0">
      <pane ySplit="12" topLeftCell="A32" activePane="bottomLeft" state="frozen"/>
      <selection activeCell="N29" sqref="N29"/>
      <selection pane="bottomLeft" activeCell="N29" sqref="N29"/>
    </sheetView>
  </sheetViews>
  <sheetFormatPr defaultColWidth="8.85546875" defaultRowHeight="12.75"/>
  <cols>
    <col min="1" max="2" width="9.28515625" customWidth="1"/>
    <col min="3" max="6" width="12.7109375" customWidth="1"/>
    <col min="7" max="7" width="12.42578125" customWidth="1"/>
    <col min="8" max="11" width="12.7109375" customWidth="1"/>
    <col min="12" max="12" width="13.28515625" customWidth="1"/>
    <col min="13" max="14" width="12.7109375" customWidth="1"/>
  </cols>
  <sheetData>
    <row r="1" spans="1:16" s="25" customFormat="1" ht="18" customHeight="1">
      <c r="A1" s="16" t="s">
        <v>1752</v>
      </c>
      <c r="B1" s="4"/>
      <c r="C1" s="3"/>
      <c r="D1" s="3"/>
      <c r="E1" s="3"/>
      <c r="F1" s="3"/>
      <c r="G1" s="3"/>
      <c r="H1" s="3"/>
      <c r="I1" s="3"/>
      <c r="J1" s="3"/>
      <c r="K1" s="3"/>
      <c r="L1" s="3"/>
      <c r="M1" s="3"/>
      <c r="N1" s="3"/>
    </row>
    <row r="2" spans="1:16" s="25" customFormat="1" ht="18" customHeight="1">
      <c r="A2" s="875" t="s">
        <v>826</v>
      </c>
      <c r="B2" s="4"/>
      <c r="C2" s="3"/>
      <c r="D2" s="3"/>
      <c r="E2" s="3"/>
      <c r="F2" s="3"/>
      <c r="G2" s="3"/>
      <c r="H2" s="3"/>
      <c r="I2" s="3"/>
      <c r="J2" s="3"/>
      <c r="K2" s="3"/>
      <c r="L2" s="3"/>
      <c r="M2" s="3"/>
      <c r="N2" s="3"/>
    </row>
    <row r="3" spans="1:16" s="25" customFormat="1" ht="18" customHeight="1">
      <c r="A3" s="16" t="s">
        <v>827</v>
      </c>
      <c r="B3" s="1"/>
      <c r="C3" s="1"/>
      <c r="D3" s="1"/>
      <c r="E3" s="1"/>
      <c r="F3" s="1"/>
      <c r="G3" s="1"/>
      <c r="H3" s="1"/>
      <c r="I3" s="1"/>
      <c r="J3" s="1"/>
      <c r="K3" s="1"/>
      <c r="L3" s="1"/>
      <c r="M3" s="7"/>
      <c r="N3" s="1613"/>
    </row>
    <row r="4" spans="1:16" s="25" customFormat="1" ht="18" customHeight="1">
      <c r="A4" s="875"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828</v>
      </c>
      <c r="E6" s="3"/>
      <c r="F6" s="3"/>
      <c r="G6" s="3"/>
      <c r="H6" s="3"/>
      <c r="I6" s="3"/>
      <c r="J6" s="3"/>
      <c r="K6" s="3"/>
      <c r="L6" s="3" t="s">
        <v>828</v>
      </c>
      <c r="M6" s="3"/>
      <c r="N6" s="3"/>
    </row>
    <row r="7" spans="1:16" s="25" customFormat="1" ht="13.7" customHeight="1">
      <c r="A7" s="8" t="s">
        <v>369</v>
      </c>
      <c r="N7" s="21" t="s">
        <v>370</v>
      </c>
    </row>
    <row r="8" spans="1:16" s="39" customFormat="1" ht="17.45" customHeight="1">
      <c r="A8" s="53"/>
      <c r="B8" s="239"/>
      <c r="C8" s="264" t="s">
        <v>493</v>
      </c>
      <c r="D8" s="40"/>
      <c r="E8" s="238"/>
      <c r="F8" s="133"/>
      <c r="G8" s="134"/>
      <c r="H8" s="135"/>
      <c r="I8" s="244"/>
      <c r="J8" s="296" t="s">
        <v>491</v>
      </c>
      <c r="K8" s="1909" t="s">
        <v>877</v>
      </c>
      <c r="L8" s="1910"/>
      <c r="M8" s="1909" t="s">
        <v>878</v>
      </c>
      <c r="N8" s="1910"/>
    </row>
    <row r="9" spans="1:16" s="39" customFormat="1" ht="17.45" customHeight="1">
      <c r="A9" s="56"/>
      <c r="C9" s="27" t="s">
        <v>432</v>
      </c>
      <c r="D9" s="100"/>
      <c r="E9" s="28" t="s">
        <v>879</v>
      </c>
      <c r="F9" s="81"/>
      <c r="G9" s="136" t="s">
        <v>391</v>
      </c>
      <c r="H9" s="137"/>
      <c r="I9" s="1623" t="s">
        <v>392</v>
      </c>
      <c r="J9" s="113"/>
      <c r="K9" s="1911"/>
      <c r="L9" s="1912"/>
      <c r="M9" s="1911"/>
      <c r="N9" s="1912"/>
    </row>
    <row r="10" spans="1:16" s="39" customFormat="1" ht="17.45" customHeight="1">
      <c r="A10" s="24" t="s">
        <v>379</v>
      </c>
      <c r="B10" s="74"/>
      <c r="C10" s="97" t="s">
        <v>406</v>
      </c>
      <c r="D10" s="60"/>
      <c r="E10" s="97" t="s">
        <v>880</v>
      </c>
      <c r="F10" s="60"/>
      <c r="G10" s="57" t="s">
        <v>832</v>
      </c>
      <c r="H10" s="98"/>
      <c r="I10" s="57" t="s">
        <v>400</v>
      </c>
      <c r="J10" s="98"/>
      <c r="K10" s="1913"/>
      <c r="L10" s="1914"/>
      <c r="M10" s="1913"/>
      <c r="N10" s="1914"/>
    </row>
    <row r="11" spans="1:16" s="39" customFormat="1" ht="17.45" customHeight="1">
      <c r="A11" s="62" t="s">
        <v>387</v>
      </c>
      <c r="B11" s="60"/>
      <c r="C11" s="94" t="s">
        <v>473</v>
      </c>
      <c r="D11" s="94" t="s">
        <v>389</v>
      </c>
      <c r="E11" s="94" t="s">
        <v>473</v>
      </c>
      <c r="F11" s="94" t="s">
        <v>389</v>
      </c>
      <c r="G11" s="94" t="s">
        <v>473</v>
      </c>
      <c r="H11" s="94" t="s">
        <v>389</v>
      </c>
      <c r="I11" s="94" t="s">
        <v>473</v>
      </c>
      <c r="J11" s="94" t="s">
        <v>389</v>
      </c>
      <c r="K11" s="94" t="s">
        <v>473</v>
      </c>
      <c r="L11" s="94" t="s">
        <v>389</v>
      </c>
      <c r="M11" s="94" t="s">
        <v>473</v>
      </c>
      <c r="N11" s="94" t="s">
        <v>389</v>
      </c>
    </row>
    <row r="12" spans="1:16" s="39" customFormat="1" ht="17.45" customHeight="1">
      <c r="A12" s="32"/>
      <c r="B12" s="66"/>
      <c r="C12" s="138" t="s">
        <v>147</v>
      </c>
      <c r="D12" s="139" t="s">
        <v>477</v>
      </c>
      <c r="E12" s="121" t="s">
        <v>147</v>
      </c>
      <c r="F12" s="121" t="s">
        <v>477</v>
      </c>
      <c r="G12" s="120" t="s">
        <v>147</v>
      </c>
      <c r="H12" s="138" t="s">
        <v>477</v>
      </c>
      <c r="I12" s="120" t="s">
        <v>147</v>
      </c>
      <c r="J12" s="138" t="s">
        <v>477</v>
      </c>
      <c r="K12" s="57" t="s">
        <v>147</v>
      </c>
      <c r="L12" s="68" t="s">
        <v>477</v>
      </c>
      <c r="M12" s="57" t="s">
        <v>147</v>
      </c>
      <c r="N12" s="68" t="s">
        <v>477</v>
      </c>
      <c r="O12" s="197"/>
      <c r="P12" s="197"/>
    </row>
    <row r="13" spans="1:16" s="306" customFormat="1" ht="20.25" customHeight="1">
      <c r="A13" s="405">
        <v>2015</v>
      </c>
      <c r="B13" s="497"/>
      <c r="C13" s="793">
        <v>1960.9424921713576</v>
      </c>
      <c r="D13" s="795">
        <v>1115.614277232005</v>
      </c>
      <c r="E13" s="673">
        <v>7002.3189586057724</v>
      </c>
      <c r="F13" s="673">
        <v>1625.0951946091045</v>
      </c>
      <c r="G13" s="728">
        <v>3100.5648351560008</v>
      </c>
      <c r="H13" s="1624">
        <v>801.3058446782502</v>
      </c>
      <c r="I13" s="728">
        <v>647.48403707369687</v>
      </c>
      <c r="J13" s="794">
        <v>270.27726360412316</v>
      </c>
      <c r="K13" s="794">
        <v>429.71097219663432</v>
      </c>
      <c r="L13" s="672">
        <v>13949.034344087573</v>
      </c>
      <c r="M13" s="659">
        <v>13140.971295152125</v>
      </c>
      <c r="N13" s="659">
        <v>17761.326924211055</v>
      </c>
      <c r="O13" s="1051"/>
      <c r="P13" s="778"/>
    </row>
    <row r="14" spans="1:16" s="408" customFormat="1" ht="14.25" customHeight="1">
      <c r="A14" s="356">
        <v>2016</v>
      </c>
      <c r="B14" s="551"/>
      <c r="C14" s="1625">
        <v>2241.9197084711595</v>
      </c>
      <c r="D14" s="1626">
        <v>982.80852227224796</v>
      </c>
      <c r="E14" s="1609">
        <v>7220.5557834359906</v>
      </c>
      <c r="F14" s="1609">
        <v>1534.9834630955163</v>
      </c>
      <c r="G14" s="1610">
        <v>3603.1453387712995</v>
      </c>
      <c r="H14" s="1627">
        <v>1033.0679236714145</v>
      </c>
      <c r="I14" s="1610">
        <v>422.71642688375033</v>
      </c>
      <c r="J14" s="1627">
        <v>309.81442793346923</v>
      </c>
      <c r="K14" s="1628">
        <v>359.37773054676381</v>
      </c>
      <c r="L14" s="1620">
        <v>13505.142608357241</v>
      </c>
      <c r="M14" s="1612">
        <v>13847.714479513312</v>
      </c>
      <c r="N14" s="1612">
        <v>17365.836945329891</v>
      </c>
      <c r="O14" s="1051"/>
      <c r="P14" s="778"/>
    </row>
    <row r="15" spans="1:16" s="408" customFormat="1" ht="14.25" customHeight="1">
      <c r="A15" s="356">
        <v>2017</v>
      </c>
      <c r="B15" s="551"/>
      <c r="C15" s="1625">
        <v>1805.3731951232771</v>
      </c>
      <c r="D15" s="1626">
        <v>1321.1626571899901</v>
      </c>
      <c r="E15" s="1609">
        <v>7406.1137585436081</v>
      </c>
      <c r="F15" s="1609">
        <v>1564.0839115697083</v>
      </c>
      <c r="G15" s="1610">
        <v>3680.8766901588542</v>
      </c>
      <c r="H15" s="1627">
        <v>1389.4876380810647</v>
      </c>
      <c r="I15" s="1610">
        <v>647.546344134317</v>
      </c>
      <c r="J15" s="1627">
        <v>210.30022560414562</v>
      </c>
      <c r="K15" s="1628">
        <v>400.25913072478875</v>
      </c>
      <c r="L15" s="1620">
        <v>12963.744519810403</v>
      </c>
      <c r="M15" s="1612">
        <v>13940.169101222122</v>
      </c>
      <c r="N15" s="1612">
        <v>17448.818952255315</v>
      </c>
      <c r="O15" s="1051"/>
      <c r="P15" s="778"/>
    </row>
    <row r="16" spans="1:16" s="321" customFormat="1" ht="14.25" customHeight="1">
      <c r="A16" s="747">
        <v>2018</v>
      </c>
      <c r="B16" s="748"/>
      <c r="C16" s="1137">
        <v>1728.9934081527347</v>
      </c>
      <c r="D16" s="1128">
        <v>1384.2007318882495</v>
      </c>
      <c r="E16" s="1129">
        <v>7880.1793050599927</v>
      </c>
      <c r="F16" s="1129">
        <v>1980.3431307119811</v>
      </c>
      <c r="G16" s="774">
        <v>3785.4850874866829</v>
      </c>
      <c r="H16" s="1138">
        <v>1266.5280800091759</v>
      </c>
      <c r="I16" s="1131">
        <v>665.44588410057418</v>
      </c>
      <c r="J16" s="1138">
        <v>248.15564364648375</v>
      </c>
      <c r="K16" s="1138">
        <v>402.74333957722922</v>
      </c>
      <c r="L16" s="1136">
        <v>13226.954740486637</v>
      </c>
      <c r="M16" s="1132">
        <v>14462.842695332831</v>
      </c>
      <c r="N16" s="1132">
        <v>18106.182326742528</v>
      </c>
      <c r="O16" s="1051"/>
      <c r="P16" s="778"/>
    </row>
    <row r="17" spans="1:16" s="321" customFormat="1" ht="14.25" customHeight="1">
      <c r="A17" s="747">
        <v>2019</v>
      </c>
      <c r="B17" s="748"/>
      <c r="C17" s="1137">
        <v>2180.6278704200699</v>
      </c>
      <c r="D17" s="1128">
        <v>1371.416890401</v>
      </c>
      <c r="E17" s="1129">
        <v>7967.2746840819391</v>
      </c>
      <c r="F17" s="1129">
        <v>1999.5105152603878</v>
      </c>
      <c r="G17" s="774">
        <v>4110.5731272226203</v>
      </c>
      <c r="H17" s="1138">
        <v>1425.9638774436141</v>
      </c>
      <c r="I17" s="1131">
        <v>657.7577115403501</v>
      </c>
      <c r="J17" s="1138">
        <v>233.4447737333669</v>
      </c>
      <c r="K17" s="1138">
        <v>408.33242946602365</v>
      </c>
      <c r="L17" s="1136">
        <v>15014.900359838257</v>
      </c>
      <c r="M17" s="1132">
        <v>15324.564850064096</v>
      </c>
      <c r="N17" s="1132">
        <v>20045.236416676627</v>
      </c>
      <c r="O17" s="1051"/>
      <c r="P17" s="778"/>
    </row>
    <row r="18" spans="1:16" s="321" customFormat="1" ht="14.25" customHeight="1">
      <c r="A18" s="747">
        <v>2020</v>
      </c>
      <c r="B18" s="748"/>
      <c r="C18" s="1137">
        <v>2086.0830684103757</v>
      </c>
      <c r="D18" s="1128">
        <v>1225.8267552026164</v>
      </c>
      <c r="E18" s="1129">
        <v>8647.3298049779605</v>
      </c>
      <c r="F18" s="1129">
        <v>1996.9894211305998</v>
      </c>
      <c r="G18" s="774">
        <v>4204.9430043860884</v>
      </c>
      <c r="H18" s="1138">
        <v>1805.7602954840879</v>
      </c>
      <c r="I18" s="1131">
        <v>643.88072840408779</v>
      </c>
      <c r="J18" s="1138">
        <v>328.87657437006823</v>
      </c>
      <c r="K18" s="1138">
        <v>314.25472310182943</v>
      </c>
      <c r="L18" s="1136">
        <v>14193.330142048115</v>
      </c>
      <c r="M18" s="1132">
        <v>15896.53070040784</v>
      </c>
      <c r="N18" s="1132">
        <v>19550.80381710799</v>
      </c>
      <c r="O18" s="1051"/>
      <c r="P18" s="778"/>
    </row>
    <row r="19" spans="1:16" s="321" customFormat="1" ht="14.25" customHeight="1">
      <c r="A19" s="747">
        <v>2021</v>
      </c>
      <c r="B19" s="748"/>
      <c r="C19" s="1137">
        <v>2581.0980337518458</v>
      </c>
      <c r="D19" s="1128">
        <v>1232.7892185193825</v>
      </c>
      <c r="E19" s="1129">
        <v>9112.3303129845972</v>
      </c>
      <c r="F19" s="1129">
        <v>1998.7970612516267</v>
      </c>
      <c r="G19" s="774">
        <v>4177.9175002049833</v>
      </c>
      <c r="H19" s="1138">
        <v>2101.5095958580255</v>
      </c>
      <c r="I19" s="1131">
        <v>672.09250113343592</v>
      </c>
      <c r="J19" s="1138">
        <v>249.66496613441313</v>
      </c>
      <c r="K19" s="1138">
        <v>235.71413871026149</v>
      </c>
      <c r="L19" s="1136">
        <v>15012.103961217619</v>
      </c>
      <c r="M19" s="1132">
        <v>16779.13972157225</v>
      </c>
      <c r="N19" s="1132">
        <v>20594.857567788935</v>
      </c>
      <c r="O19" s="1051"/>
      <c r="P19" s="778"/>
    </row>
    <row r="20" spans="1:16" s="321" customFormat="1" ht="14.25" customHeight="1">
      <c r="A20" s="747">
        <v>2022</v>
      </c>
      <c r="B20" s="748"/>
      <c r="C20" s="1137">
        <v>3778.7774098079249</v>
      </c>
      <c r="D20" s="1129">
        <v>986.09263033792263</v>
      </c>
      <c r="E20" s="1129">
        <v>9492.6956354081321</v>
      </c>
      <c r="F20" s="1129">
        <v>2012.704595707509</v>
      </c>
      <c r="G20" s="774">
        <v>4258.4236957163212</v>
      </c>
      <c r="H20" s="1138">
        <v>2160.4888362533788</v>
      </c>
      <c r="I20" s="1131">
        <v>733.30571172024702</v>
      </c>
      <c r="J20" s="1138">
        <v>459.93298391512099</v>
      </c>
      <c r="K20" s="1138">
        <v>243.26403618512978</v>
      </c>
      <c r="L20" s="1136">
        <v>14121.74016028702</v>
      </c>
      <c r="M20" s="1132">
        <v>18506.466488837756</v>
      </c>
      <c r="N20" s="1132">
        <v>19740.939206500949</v>
      </c>
      <c r="O20" s="1051"/>
      <c r="P20" s="778"/>
    </row>
    <row r="21" spans="1:16" s="321" customFormat="1" ht="14.25" customHeight="1">
      <c r="A21" s="747">
        <v>2023</v>
      </c>
      <c r="B21" s="748"/>
      <c r="C21" s="1137">
        <v>5271.9115894603692</v>
      </c>
      <c r="D21" s="1128">
        <v>999.99121646635058</v>
      </c>
      <c r="E21" s="1129">
        <v>9312.1377551914738</v>
      </c>
      <c r="F21" s="1129">
        <v>2492.7932144980614</v>
      </c>
      <c r="G21" s="774">
        <v>3724.3620432554553</v>
      </c>
      <c r="H21" s="1138">
        <v>2739.6142896728402</v>
      </c>
      <c r="I21" s="1131">
        <v>739.85087319588081</v>
      </c>
      <c r="J21" s="1138">
        <v>371.6402519642254</v>
      </c>
      <c r="K21" s="1138">
        <v>288.89795858719913</v>
      </c>
      <c r="L21" s="1136">
        <v>14319.460048120731</v>
      </c>
      <c r="M21" s="1132">
        <v>19337.160219690373</v>
      </c>
      <c r="N21" s="1132">
        <v>20923.519020722208</v>
      </c>
      <c r="O21" s="1051"/>
      <c r="P21" s="778"/>
    </row>
    <row r="22" spans="1:16" s="321" customFormat="1" ht="14.25" customHeight="1">
      <c r="A22" s="907">
        <v>2024</v>
      </c>
      <c r="B22" s="999"/>
      <c r="C22" s="1049">
        <f t="shared" ref="C22:N22" si="0">C27</f>
        <v>5744.192081734911</v>
      </c>
      <c r="D22" s="1037">
        <f t="shared" si="0"/>
        <v>1037.5755893101007</v>
      </c>
      <c r="E22" s="1038">
        <f t="shared" si="0"/>
        <v>9200.9377915581754</v>
      </c>
      <c r="F22" s="1038">
        <f t="shared" si="0"/>
        <v>2696.0696973528684</v>
      </c>
      <c r="G22" s="1045">
        <f t="shared" si="0"/>
        <v>3553.2149766721632</v>
      </c>
      <c r="H22" s="1050">
        <f t="shared" si="0"/>
        <v>3381.2093407789757</v>
      </c>
      <c r="I22" s="1040">
        <f t="shared" si="0"/>
        <v>842.87488864541831</v>
      </c>
      <c r="J22" s="1050">
        <f t="shared" si="0"/>
        <v>406.93969637970042</v>
      </c>
      <c r="K22" s="1050">
        <f t="shared" si="0"/>
        <v>61.115379244246824</v>
      </c>
      <c r="L22" s="1048">
        <f t="shared" si="0"/>
        <v>14785.379437590287</v>
      </c>
      <c r="M22" s="1041">
        <f t="shared" si="0"/>
        <v>19402.315117854912</v>
      </c>
      <c r="N22" s="1041">
        <f t="shared" si="0"/>
        <v>22307.203761411933</v>
      </c>
      <c r="O22" s="1051"/>
      <c r="P22" s="778"/>
    </row>
    <row r="23" spans="1:16" s="321" customFormat="1" ht="21" customHeight="1">
      <c r="A23" s="747">
        <v>2023</v>
      </c>
      <c r="B23" s="748" t="s">
        <v>238</v>
      </c>
      <c r="C23" s="1137">
        <v>5271.9115894603692</v>
      </c>
      <c r="D23" s="1128">
        <v>999.99121646635058</v>
      </c>
      <c r="E23" s="1129">
        <v>9312.1377551914738</v>
      </c>
      <c r="F23" s="1129">
        <v>2492.7932144980614</v>
      </c>
      <c r="G23" s="774">
        <v>3724.3620432554553</v>
      </c>
      <c r="H23" s="1138">
        <v>2739.6142896728402</v>
      </c>
      <c r="I23" s="1131">
        <v>739.85087319588081</v>
      </c>
      <c r="J23" s="1138">
        <v>371.6402519642254</v>
      </c>
      <c r="K23" s="1138">
        <v>288.89795858719913</v>
      </c>
      <c r="L23" s="1136">
        <v>14319.460048120731</v>
      </c>
      <c r="M23" s="1132">
        <v>19337.160219690373</v>
      </c>
      <c r="N23" s="1132">
        <v>20923.519020722208</v>
      </c>
      <c r="O23" s="1051"/>
      <c r="P23" s="778"/>
    </row>
    <row r="24" spans="1:16" s="321" customFormat="1" ht="21" customHeight="1">
      <c r="A24" s="747">
        <v>2024</v>
      </c>
      <c r="B24" s="748" t="s">
        <v>239</v>
      </c>
      <c r="C24" s="1137">
        <v>5003.96151225629</v>
      </c>
      <c r="D24" s="1128">
        <v>973.04452596919168</v>
      </c>
      <c r="E24" s="1129">
        <v>9397.9642028220842</v>
      </c>
      <c r="F24" s="1129">
        <v>2705.3220961752295</v>
      </c>
      <c r="G24" s="774">
        <v>4035.4390333644915</v>
      </c>
      <c r="H24" s="1138">
        <v>2854.7908395833001</v>
      </c>
      <c r="I24" s="1131">
        <v>672.43241975780006</v>
      </c>
      <c r="J24" s="1138">
        <v>435.28969430104269</v>
      </c>
      <c r="K24" s="1138">
        <v>251.90789717562973</v>
      </c>
      <c r="L24" s="1136">
        <v>14372.456308189336</v>
      </c>
      <c r="M24" s="1132">
        <v>19361.675065376301</v>
      </c>
      <c r="N24" s="1132">
        <v>21340.9034642181</v>
      </c>
      <c r="O24" s="1051"/>
      <c r="P24" s="778"/>
    </row>
    <row r="25" spans="1:16" s="321" customFormat="1" ht="15" customHeight="1">
      <c r="A25" s="747"/>
      <c r="B25" s="748" t="s">
        <v>240</v>
      </c>
      <c r="C25" s="1137">
        <v>5509.2012285140117</v>
      </c>
      <c r="D25" s="1128">
        <v>1022.6210433750223</v>
      </c>
      <c r="E25" s="1129">
        <v>9411.7824305124232</v>
      </c>
      <c r="F25" s="1129">
        <v>2830.4775419966436</v>
      </c>
      <c r="G25" s="774">
        <v>3589.0568292421995</v>
      </c>
      <c r="H25" s="1138">
        <v>3001.4442848773788</v>
      </c>
      <c r="I25" s="1131">
        <v>840.12712742166764</v>
      </c>
      <c r="J25" s="1138">
        <v>338.162242385958</v>
      </c>
      <c r="K25" s="1138">
        <v>213.69745932866709</v>
      </c>
      <c r="L25" s="1136">
        <v>14441.343644941131</v>
      </c>
      <c r="M25" s="1132">
        <v>19563.855075018975</v>
      </c>
      <c r="N25" s="1132">
        <v>21634.028757576136</v>
      </c>
      <c r="O25" s="1051"/>
      <c r="P25" s="778"/>
    </row>
    <row r="26" spans="1:16" s="321" customFormat="1" ht="15" customHeight="1">
      <c r="A26" s="747"/>
      <c r="B26" s="748" t="s">
        <v>237</v>
      </c>
      <c r="C26" s="1137">
        <v>6099.6432338433115</v>
      </c>
      <c r="D26" s="1128">
        <v>986.18268099025317</v>
      </c>
      <c r="E26" s="1129">
        <v>9415.7859072480278</v>
      </c>
      <c r="F26" s="1129">
        <v>2716.380117097493</v>
      </c>
      <c r="G26" s="774">
        <v>3528.9750683616512</v>
      </c>
      <c r="H26" s="1138">
        <v>3253.8491691414902</v>
      </c>
      <c r="I26" s="1131">
        <v>789.42914558159191</v>
      </c>
      <c r="J26" s="1138">
        <v>465.16374890984383</v>
      </c>
      <c r="K26" s="1138">
        <v>58.480571016295457</v>
      </c>
      <c r="L26" s="1136">
        <v>14218.118450187547</v>
      </c>
      <c r="M26" s="1132">
        <v>19892.313926050883</v>
      </c>
      <c r="N26" s="1132">
        <v>21639.674166326626</v>
      </c>
      <c r="O26" s="1051"/>
      <c r="P26" s="778"/>
    </row>
    <row r="27" spans="1:16" s="321" customFormat="1" ht="15" customHeight="1">
      <c r="A27" s="747"/>
      <c r="B27" s="748" t="s">
        <v>238</v>
      </c>
      <c r="C27" s="1137">
        <v>5744.192081734911</v>
      </c>
      <c r="D27" s="1128">
        <v>1037.5755893101007</v>
      </c>
      <c r="E27" s="1129">
        <v>9200.9377915581754</v>
      </c>
      <c r="F27" s="1129">
        <v>2696.0696973528684</v>
      </c>
      <c r="G27" s="774">
        <v>3553.2149766721632</v>
      </c>
      <c r="H27" s="1138">
        <v>3381.2093407789757</v>
      </c>
      <c r="I27" s="1131">
        <v>842.87488864541831</v>
      </c>
      <c r="J27" s="1138">
        <v>406.93969637970042</v>
      </c>
      <c r="K27" s="1138">
        <v>61.115379244246824</v>
      </c>
      <c r="L27" s="1136">
        <v>14785.379437590287</v>
      </c>
      <c r="M27" s="1132">
        <v>19402.315117854912</v>
      </c>
      <c r="N27" s="1132">
        <v>22307.203761411933</v>
      </c>
      <c r="O27" s="1051"/>
      <c r="P27" s="778"/>
    </row>
    <row r="28" spans="1:16" s="321" customFormat="1" ht="21" customHeight="1">
      <c r="A28" s="747">
        <v>2025</v>
      </c>
      <c r="B28" s="748" t="s">
        <v>239</v>
      </c>
      <c r="C28" s="1137">
        <f t="shared" ref="C28:N28" si="1">C36</f>
        <v>6174.4822321740648</v>
      </c>
      <c r="D28" s="1128">
        <f t="shared" si="1"/>
        <v>1221.5685891409726</v>
      </c>
      <c r="E28" s="1129">
        <f t="shared" si="1"/>
        <v>9320.9150851286195</v>
      </c>
      <c r="F28" s="1129">
        <f t="shared" si="1"/>
        <v>2888.4885730699057</v>
      </c>
      <c r="G28" s="774">
        <f t="shared" si="1"/>
        <v>3467.1049914566661</v>
      </c>
      <c r="H28" s="1138">
        <f t="shared" si="1"/>
        <v>3491.1097714417983</v>
      </c>
      <c r="I28" s="1131">
        <f t="shared" si="1"/>
        <v>907.4563050088824</v>
      </c>
      <c r="J28" s="1138">
        <f t="shared" si="1"/>
        <v>354.73180621175339</v>
      </c>
      <c r="K28" s="1138">
        <f t="shared" si="1"/>
        <v>139.10299156218213</v>
      </c>
      <c r="L28" s="1136">
        <f t="shared" si="1"/>
        <v>14478.113618028379</v>
      </c>
      <c r="M28" s="1132">
        <f t="shared" si="1"/>
        <v>20009.071605330424</v>
      </c>
      <c r="N28" s="1132">
        <f t="shared" si="1"/>
        <v>22434.012357892811</v>
      </c>
      <c r="O28" s="1051"/>
      <c r="P28" s="778"/>
    </row>
    <row r="29" spans="1:16" s="321" customFormat="1" ht="15" customHeight="1">
      <c r="A29" s="747"/>
      <c r="B29" s="748" t="s">
        <v>240</v>
      </c>
      <c r="C29" s="1137">
        <f t="shared" ref="C29:N29" si="2">C39</f>
        <v>6045.9517197261075</v>
      </c>
      <c r="D29" s="1128">
        <f t="shared" si="2"/>
        <v>1046.2982146225997</v>
      </c>
      <c r="E29" s="1129">
        <f t="shared" si="2"/>
        <v>9360.1815903129664</v>
      </c>
      <c r="F29" s="1129">
        <f t="shared" si="2"/>
        <v>2866.0114155227857</v>
      </c>
      <c r="G29" s="774">
        <f t="shared" si="2"/>
        <v>3808.6276445895369</v>
      </c>
      <c r="H29" s="1138">
        <f t="shared" si="2"/>
        <v>3802.7221006311402</v>
      </c>
      <c r="I29" s="1131">
        <f t="shared" si="2"/>
        <v>864.47639993511302</v>
      </c>
      <c r="J29" s="1138">
        <f t="shared" si="2"/>
        <v>421.81779784993921</v>
      </c>
      <c r="K29" s="1138">
        <f t="shared" si="2"/>
        <v>115.57014593158601</v>
      </c>
      <c r="L29" s="1136">
        <f t="shared" si="2"/>
        <v>15221.29427801173</v>
      </c>
      <c r="M29" s="1132">
        <f t="shared" si="2"/>
        <v>20194.857500495309</v>
      </c>
      <c r="N29" s="1132">
        <f t="shared" si="2"/>
        <v>23358.143806638192</v>
      </c>
      <c r="O29" s="1051"/>
      <c r="P29" s="778"/>
    </row>
    <row r="30" spans="1:16" s="321" customFormat="1" ht="15" customHeight="1">
      <c r="A30" s="907"/>
      <c r="B30" s="999" t="s">
        <v>237</v>
      </c>
      <c r="C30" s="1049">
        <f t="shared" ref="C30:N30" si="3">C42</f>
        <v>5183.3850556084917</v>
      </c>
      <c r="D30" s="1037">
        <f t="shared" si="3"/>
        <v>1230.741957589622</v>
      </c>
      <c r="E30" s="1038">
        <f t="shared" si="3"/>
        <v>9343.8965127904667</v>
      </c>
      <c r="F30" s="1038">
        <f t="shared" si="3"/>
        <v>2726.9782774882915</v>
      </c>
      <c r="G30" s="1045">
        <f t="shared" si="3"/>
        <v>4206.3971113845828</v>
      </c>
      <c r="H30" s="1050">
        <f t="shared" si="3"/>
        <v>4231.1280173743644</v>
      </c>
      <c r="I30" s="1040">
        <f t="shared" si="3"/>
        <v>799.99636400237432</v>
      </c>
      <c r="J30" s="1050">
        <f t="shared" si="3"/>
        <v>378.69889483828905</v>
      </c>
      <c r="K30" s="1050">
        <f t="shared" si="3"/>
        <v>142.580116935766</v>
      </c>
      <c r="L30" s="1048">
        <f t="shared" si="3"/>
        <v>15816.907329980262</v>
      </c>
      <c r="M30" s="1041">
        <f t="shared" si="3"/>
        <v>19676.255160721685</v>
      </c>
      <c r="N30" s="1041">
        <f t="shared" si="3"/>
        <v>24384.44447727083</v>
      </c>
      <c r="O30" s="1051"/>
      <c r="P30" s="778"/>
    </row>
    <row r="31" spans="1:16" s="306" customFormat="1" ht="21" customHeight="1">
      <c r="A31" s="405">
        <v>2024</v>
      </c>
      <c r="B31" s="497" t="s">
        <v>412</v>
      </c>
      <c r="C31" s="793">
        <v>5971.9961747161842</v>
      </c>
      <c r="D31" s="793">
        <v>970.23267851603623</v>
      </c>
      <c r="E31" s="673">
        <v>9389.5373292245786</v>
      </c>
      <c r="F31" s="673">
        <v>2659.7625002212517</v>
      </c>
      <c r="G31" s="728">
        <v>3498.6610846968988</v>
      </c>
      <c r="H31" s="794">
        <v>3261.0378711667126</v>
      </c>
      <c r="I31" s="728">
        <v>821.53556683704585</v>
      </c>
      <c r="J31" s="794">
        <v>421.05439161132756</v>
      </c>
      <c r="K31" s="794">
        <v>86.468141306400199</v>
      </c>
      <c r="L31" s="672">
        <v>13962.357181037698</v>
      </c>
      <c r="M31" s="659">
        <v>19768.228296781108</v>
      </c>
      <c r="N31" s="659">
        <v>21274.454622553028</v>
      </c>
      <c r="O31" s="314"/>
      <c r="P31" s="314"/>
    </row>
    <row r="32" spans="1:16" s="306" customFormat="1" ht="16.5" customHeight="1">
      <c r="A32" s="405"/>
      <c r="B32" s="497" t="s">
        <v>413</v>
      </c>
      <c r="C32" s="793">
        <v>6105.5426646461392</v>
      </c>
      <c r="D32" s="793">
        <v>1028.9578541298015</v>
      </c>
      <c r="E32" s="673">
        <v>9186.6271001545429</v>
      </c>
      <c r="F32" s="673">
        <v>2725.8504895043548</v>
      </c>
      <c r="G32" s="728">
        <v>3474.8692348022446</v>
      </c>
      <c r="H32" s="794">
        <v>3190.78613203132</v>
      </c>
      <c r="I32" s="728">
        <v>922.66833355531048</v>
      </c>
      <c r="J32" s="794">
        <v>313.54102928727082</v>
      </c>
      <c r="K32" s="794">
        <v>67.357657665405057</v>
      </c>
      <c r="L32" s="672">
        <v>14504.235880825832</v>
      </c>
      <c r="M32" s="659">
        <v>19757.064990823645</v>
      </c>
      <c r="N32" s="659">
        <v>21763.391385778577</v>
      </c>
      <c r="O32" s="314"/>
      <c r="P32" s="314"/>
    </row>
    <row r="33" spans="1:16" s="306" customFormat="1" ht="16.5" customHeight="1">
      <c r="A33" s="405"/>
      <c r="B33" s="497" t="s">
        <v>414</v>
      </c>
      <c r="C33" s="793">
        <v>5744.192081734911</v>
      </c>
      <c r="D33" s="793">
        <v>1037.5755893101007</v>
      </c>
      <c r="E33" s="673">
        <v>9200.9377915581754</v>
      </c>
      <c r="F33" s="673">
        <v>2696.0696973528684</v>
      </c>
      <c r="G33" s="728">
        <v>3553.2149766721632</v>
      </c>
      <c r="H33" s="794">
        <v>3381.2093407789757</v>
      </c>
      <c r="I33" s="728">
        <v>842.87488864541831</v>
      </c>
      <c r="J33" s="794">
        <v>406.93969637970042</v>
      </c>
      <c r="K33" s="794">
        <v>61.115379244246824</v>
      </c>
      <c r="L33" s="672">
        <v>14785.379437590287</v>
      </c>
      <c r="M33" s="659">
        <v>19402.315117854912</v>
      </c>
      <c r="N33" s="659">
        <v>22307.203761411933</v>
      </c>
      <c r="O33" s="314"/>
      <c r="P33" s="314"/>
    </row>
    <row r="34" spans="1:16" s="306" customFormat="1" ht="21" customHeight="1">
      <c r="A34" s="405">
        <v>2025</v>
      </c>
      <c r="B34" s="497" t="s">
        <v>415</v>
      </c>
      <c r="C34" s="793">
        <v>6054.1371127082439</v>
      </c>
      <c r="D34" s="793">
        <v>1069.7624333299043</v>
      </c>
      <c r="E34" s="673">
        <v>9126.784712032997</v>
      </c>
      <c r="F34" s="673">
        <v>2701.1512413349324</v>
      </c>
      <c r="G34" s="728">
        <v>3368.8019094074102</v>
      </c>
      <c r="H34" s="794">
        <v>3491.9071644430483</v>
      </c>
      <c r="I34" s="728">
        <v>752.5129505779845</v>
      </c>
      <c r="J34" s="794">
        <v>470.0151543474791</v>
      </c>
      <c r="K34" s="794">
        <v>65.759941898472007</v>
      </c>
      <c r="L34" s="672">
        <v>14548.814123075968</v>
      </c>
      <c r="M34" s="659">
        <v>19367.976626625106</v>
      </c>
      <c r="N34" s="659">
        <v>22281.66011653133</v>
      </c>
      <c r="O34" s="314"/>
      <c r="P34" s="314"/>
    </row>
    <row r="35" spans="1:16" s="306" customFormat="1" ht="16.5" customHeight="1">
      <c r="A35" s="405"/>
      <c r="B35" s="497" t="s">
        <v>416</v>
      </c>
      <c r="C35" s="793">
        <v>6108.1874731799489</v>
      </c>
      <c r="D35" s="793">
        <v>1165.4606395416668</v>
      </c>
      <c r="E35" s="673">
        <v>9275.635263480197</v>
      </c>
      <c r="F35" s="673">
        <v>2670.4740335721472</v>
      </c>
      <c r="G35" s="728">
        <v>3397.7697077426619</v>
      </c>
      <c r="H35" s="794">
        <v>3546.3439361543715</v>
      </c>
      <c r="I35" s="728">
        <v>864.93699909959344</v>
      </c>
      <c r="J35" s="794">
        <v>369.25967363414037</v>
      </c>
      <c r="K35" s="794">
        <v>87.757378795459005</v>
      </c>
      <c r="L35" s="672">
        <v>14211.830044501943</v>
      </c>
      <c r="M35" s="659">
        <v>19734.316822297853</v>
      </c>
      <c r="N35" s="659">
        <v>21963.388327404271</v>
      </c>
      <c r="O35" s="314"/>
      <c r="P35" s="314"/>
    </row>
    <row r="36" spans="1:16" s="306" customFormat="1" ht="16.5" customHeight="1">
      <c r="A36" s="405"/>
      <c r="B36" s="497" t="s">
        <v>417</v>
      </c>
      <c r="C36" s="793">
        <v>6174.4822321740648</v>
      </c>
      <c r="D36" s="793">
        <v>1221.5685891409726</v>
      </c>
      <c r="E36" s="673">
        <v>9320.9150851286195</v>
      </c>
      <c r="F36" s="673">
        <v>2888.4885730699057</v>
      </c>
      <c r="G36" s="728">
        <v>3467.1049914566661</v>
      </c>
      <c r="H36" s="794">
        <v>3491.1097714417983</v>
      </c>
      <c r="I36" s="728">
        <v>907.4563050088824</v>
      </c>
      <c r="J36" s="794">
        <v>354.73180621175339</v>
      </c>
      <c r="K36" s="794">
        <v>139.10299156218213</v>
      </c>
      <c r="L36" s="672">
        <v>14478.113618028379</v>
      </c>
      <c r="M36" s="659">
        <v>20009.071605330424</v>
      </c>
      <c r="N36" s="659">
        <v>22434.012357892811</v>
      </c>
      <c r="O36" s="314"/>
      <c r="P36" s="314"/>
    </row>
    <row r="37" spans="1:16" s="306" customFormat="1" ht="16.5" customHeight="1">
      <c r="A37" s="405"/>
      <c r="B37" s="497" t="s">
        <v>418</v>
      </c>
      <c r="C37" s="793">
        <v>6072.3349884104791</v>
      </c>
      <c r="D37" s="793">
        <v>1215.986277428528</v>
      </c>
      <c r="E37" s="673">
        <v>9369.7046806870567</v>
      </c>
      <c r="F37" s="673">
        <v>2815.3561583233059</v>
      </c>
      <c r="G37" s="728">
        <v>3610.4026503808363</v>
      </c>
      <c r="H37" s="794">
        <v>3426.7465280304177</v>
      </c>
      <c r="I37" s="728">
        <v>903.06584264325465</v>
      </c>
      <c r="J37" s="794">
        <v>288.13717086670454</v>
      </c>
      <c r="K37" s="794">
        <v>128.59184971236698</v>
      </c>
      <c r="L37" s="672">
        <v>14933.119870386718</v>
      </c>
      <c r="M37" s="659">
        <v>20084.100011833994</v>
      </c>
      <c r="N37" s="659">
        <v>22679.336005035675</v>
      </c>
      <c r="O37" s="314"/>
      <c r="P37" s="314"/>
    </row>
    <row r="38" spans="1:16" s="306" customFormat="1" ht="16.5" customHeight="1">
      <c r="A38" s="405"/>
      <c r="B38" s="497" t="s">
        <v>419</v>
      </c>
      <c r="C38" s="793">
        <v>6081.8081511230284</v>
      </c>
      <c r="D38" s="793">
        <v>1076.2569001500899</v>
      </c>
      <c r="E38" s="673">
        <v>9338.5169237477512</v>
      </c>
      <c r="F38" s="673">
        <v>2880.1585820429941</v>
      </c>
      <c r="G38" s="728">
        <v>3792.3201207868128</v>
      </c>
      <c r="H38" s="794">
        <v>3763.2354608824994</v>
      </c>
      <c r="I38" s="728">
        <v>842.86385015139126</v>
      </c>
      <c r="J38" s="794">
        <v>410.9394825658274</v>
      </c>
      <c r="K38" s="794">
        <v>129.15778669406816</v>
      </c>
      <c r="L38" s="672">
        <v>15139.494892783016</v>
      </c>
      <c r="M38" s="659">
        <v>20184.656832503049</v>
      </c>
      <c r="N38" s="659">
        <v>23270.115318424425</v>
      </c>
      <c r="O38" s="314"/>
      <c r="P38" s="314"/>
    </row>
    <row r="39" spans="1:16" s="306" customFormat="1" ht="16.5" customHeight="1">
      <c r="A39" s="405"/>
      <c r="B39" s="497" t="s">
        <v>420</v>
      </c>
      <c r="C39" s="793">
        <v>6045.9517197261075</v>
      </c>
      <c r="D39" s="793">
        <v>1046.2982146225997</v>
      </c>
      <c r="E39" s="673">
        <v>9360.1815903129664</v>
      </c>
      <c r="F39" s="673">
        <v>2866.0114155227857</v>
      </c>
      <c r="G39" s="728">
        <v>3808.6276445895369</v>
      </c>
      <c r="H39" s="794">
        <v>3802.7221006311402</v>
      </c>
      <c r="I39" s="728">
        <v>864.47639993511302</v>
      </c>
      <c r="J39" s="794">
        <v>421.81779784993921</v>
      </c>
      <c r="K39" s="794">
        <v>115.57014593158601</v>
      </c>
      <c r="L39" s="672">
        <v>15221.29427801173</v>
      </c>
      <c r="M39" s="659">
        <v>20194.857500495309</v>
      </c>
      <c r="N39" s="659">
        <v>23358.143806638192</v>
      </c>
      <c r="O39" s="314"/>
      <c r="P39" s="314"/>
    </row>
    <row r="40" spans="1:16" s="306" customFormat="1" ht="16.5" customHeight="1">
      <c r="A40" s="405"/>
      <c r="B40" s="497" t="s">
        <v>421</v>
      </c>
      <c r="C40" s="793">
        <v>5889.7772837661532</v>
      </c>
      <c r="D40" s="793">
        <v>1174.0263996884023</v>
      </c>
      <c r="E40" s="673">
        <v>9344.0253017316245</v>
      </c>
      <c r="F40" s="673">
        <v>2826.5588192589057</v>
      </c>
      <c r="G40" s="728">
        <v>3777.6254517686784</v>
      </c>
      <c r="H40" s="794">
        <v>3993.7219360018789</v>
      </c>
      <c r="I40" s="728">
        <v>862.75254675655231</v>
      </c>
      <c r="J40" s="794">
        <v>342.53322706109992</v>
      </c>
      <c r="K40" s="794">
        <v>116.68122227596601</v>
      </c>
      <c r="L40" s="672">
        <v>15471.936163917915</v>
      </c>
      <c r="M40" s="659">
        <v>19990.861806298977</v>
      </c>
      <c r="N40" s="659">
        <v>23808.736545928201</v>
      </c>
      <c r="O40" s="314"/>
      <c r="P40" s="314"/>
    </row>
    <row r="41" spans="1:16" s="306" customFormat="1" ht="16.5" customHeight="1">
      <c r="A41" s="405"/>
      <c r="B41" s="497" t="s">
        <v>422</v>
      </c>
      <c r="C41" s="793">
        <v>5382.6111329489831</v>
      </c>
      <c r="D41" s="793">
        <v>1093.5200676300012</v>
      </c>
      <c r="E41" s="673">
        <v>9300.410142191964</v>
      </c>
      <c r="F41" s="673">
        <v>2801.8783244062361</v>
      </c>
      <c r="G41" s="728">
        <v>4172.8679013411383</v>
      </c>
      <c r="H41" s="794">
        <v>4079.4094300331099</v>
      </c>
      <c r="I41" s="728">
        <v>873.24183190792849</v>
      </c>
      <c r="J41" s="794">
        <v>332.96292589171674</v>
      </c>
      <c r="K41" s="794">
        <v>195.49207999570001</v>
      </c>
      <c r="L41" s="672">
        <v>16014.573625844576</v>
      </c>
      <c r="M41" s="659">
        <v>19924.623088385717</v>
      </c>
      <c r="N41" s="659">
        <v>24322.364373805645</v>
      </c>
      <c r="O41" s="314"/>
      <c r="P41" s="314"/>
    </row>
    <row r="42" spans="1:16" s="306" customFormat="1" ht="16.5" customHeight="1">
      <c r="A42" s="405"/>
      <c r="B42" s="497" t="s">
        <v>423</v>
      </c>
      <c r="C42" s="793">
        <v>5183.3850556084917</v>
      </c>
      <c r="D42" s="793">
        <v>1230.741957589622</v>
      </c>
      <c r="E42" s="673">
        <v>9343.8965127904667</v>
      </c>
      <c r="F42" s="673">
        <v>2726.9782774882915</v>
      </c>
      <c r="G42" s="728">
        <v>4206.3971113845828</v>
      </c>
      <c r="H42" s="794">
        <v>4231.1280173743644</v>
      </c>
      <c r="I42" s="728">
        <v>799.99636400237432</v>
      </c>
      <c r="J42" s="794">
        <v>378.69889483828905</v>
      </c>
      <c r="K42" s="794">
        <v>142.580116935766</v>
      </c>
      <c r="L42" s="672">
        <v>15816.907329980262</v>
      </c>
      <c r="M42" s="659">
        <v>19676.255160721685</v>
      </c>
      <c r="N42" s="659">
        <v>24384.44447727083</v>
      </c>
      <c r="O42" s="314"/>
      <c r="P42" s="314"/>
    </row>
    <row r="43" spans="1:16" s="306" customFormat="1" ht="16.5" customHeight="1">
      <c r="A43" s="405"/>
      <c r="B43" s="497" t="s">
        <v>412</v>
      </c>
      <c r="C43" s="793">
        <v>5524.1935543917243</v>
      </c>
      <c r="D43" s="793">
        <v>1266.2737701423521</v>
      </c>
      <c r="E43" s="673">
        <v>9362.2319394318256</v>
      </c>
      <c r="F43" s="673">
        <v>2823.505643115061</v>
      </c>
      <c r="G43" s="728">
        <v>4236.6708973132672</v>
      </c>
      <c r="H43" s="794">
        <v>4136.7132714690197</v>
      </c>
      <c r="I43" s="728">
        <v>854.16996554387651</v>
      </c>
      <c r="J43" s="794">
        <v>307.30785193708238</v>
      </c>
      <c r="K43" s="794">
        <v>125.33268749476599</v>
      </c>
      <c r="L43" s="672">
        <v>15551.961070414305</v>
      </c>
      <c r="M43" s="659">
        <v>20102.599044175462</v>
      </c>
      <c r="N43" s="659">
        <v>24085.761607077824</v>
      </c>
      <c r="O43" s="314"/>
      <c r="P43" s="314"/>
    </row>
    <row r="44" spans="1:16">
      <c r="A44" s="1259"/>
      <c r="B44" s="1259"/>
      <c r="C44" s="1259"/>
      <c r="D44" s="1259"/>
      <c r="E44" s="1259"/>
      <c r="F44" s="1259"/>
      <c r="G44" s="1259"/>
      <c r="H44" s="1259"/>
      <c r="I44" s="1259"/>
      <c r="J44" s="1259"/>
      <c r="K44" s="1259"/>
      <c r="L44" s="1259"/>
      <c r="M44" s="1259"/>
      <c r="N44" s="1259"/>
    </row>
    <row r="45" spans="1:16">
      <c r="C45" s="1621"/>
      <c r="D45" s="1621"/>
      <c r="E45" s="1621"/>
      <c r="F45" s="1621"/>
      <c r="G45" s="1621"/>
      <c r="H45" s="1621"/>
      <c r="I45" s="1621"/>
      <c r="J45" s="1621"/>
      <c r="K45" s="1621"/>
      <c r="L45" s="1621"/>
      <c r="M45" s="1621"/>
      <c r="N45" s="1621"/>
    </row>
    <row r="46" spans="1:16">
      <c r="B46" s="1262"/>
      <c r="C46" s="1621"/>
      <c r="D46" s="1621"/>
      <c r="E46" s="1621"/>
      <c r="F46" s="1621"/>
      <c r="G46" s="1621"/>
      <c r="H46" s="1621"/>
      <c r="I46" s="1621"/>
      <c r="J46" s="1621"/>
      <c r="K46" s="1621"/>
      <c r="L46" s="1621"/>
      <c r="M46" s="1621"/>
      <c r="N46" s="1621"/>
    </row>
    <row r="47" spans="1:16" ht="14.25">
      <c r="A47" s="318" t="s">
        <v>881</v>
      </c>
      <c r="B47" s="1262"/>
      <c r="C47" s="1262"/>
      <c r="D47" s="1262"/>
      <c r="E47" s="1262"/>
      <c r="F47" s="1262"/>
      <c r="G47" s="1262"/>
      <c r="H47" s="1262"/>
      <c r="I47" s="1262"/>
      <c r="J47" s="1262"/>
      <c r="K47" s="1262"/>
      <c r="L47" s="1262"/>
      <c r="M47" s="1262"/>
      <c r="N47" s="1262"/>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tabSelected="1" zoomScale="90" zoomScaleNormal="90" workbookViewId="0">
      <pane ySplit="12" topLeftCell="A31" activePane="bottomLeft" state="frozen"/>
      <selection activeCell="N29" sqref="N29"/>
      <selection pane="bottomLeft" activeCell="N29" sqref="N29"/>
    </sheetView>
  </sheetViews>
  <sheetFormatPr defaultColWidth="8.85546875" defaultRowHeight="12.75"/>
  <cols>
    <col min="1" max="2" width="9.7109375" customWidth="1"/>
    <col min="3" max="14" width="12.7109375" customWidth="1"/>
  </cols>
  <sheetData>
    <row r="1" spans="1:16" s="25" customFormat="1" ht="18" customHeight="1">
      <c r="A1" s="16" t="s">
        <v>1751</v>
      </c>
      <c r="B1" s="4"/>
      <c r="C1" s="3"/>
      <c r="D1" s="3"/>
      <c r="E1" s="3"/>
      <c r="F1" s="3"/>
      <c r="G1" s="3"/>
      <c r="H1" s="3"/>
      <c r="I1" s="3"/>
      <c r="J1" s="3"/>
      <c r="K1" s="3"/>
      <c r="L1" s="3"/>
      <c r="M1" s="3"/>
      <c r="N1" s="3"/>
    </row>
    <row r="2" spans="1:16" s="25" customFormat="1" ht="18" customHeight="1">
      <c r="A2" s="875" t="s">
        <v>826</v>
      </c>
      <c r="B2" s="4"/>
      <c r="C2" s="3"/>
      <c r="D2" s="3"/>
      <c r="E2" s="3"/>
      <c r="F2" s="3"/>
      <c r="G2" s="3"/>
      <c r="H2" s="3"/>
      <c r="I2" s="3"/>
      <c r="J2" s="3"/>
      <c r="K2" s="3"/>
      <c r="L2" s="3"/>
      <c r="M2" s="3"/>
      <c r="N2" s="3"/>
    </row>
    <row r="3" spans="1:16" s="25" customFormat="1" ht="18" customHeight="1">
      <c r="A3" s="16" t="s">
        <v>827</v>
      </c>
      <c r="B3" s="1"/>
      <c r="C3" s="1"/>
      <c r="D3" s="1"/>
      <c r="E3" s="1"/>
      <c r="F3" s="1"/>
      <c r="G3" s="1"/>
      <c r="H3" s="1"/>
      <c r="I3" s="1"/>
      <c r="J3" s="1"/>
      <c r="K3" s="1"/>
      <c r="L3" s="1"/>
      <c r="M3" s="7"/>
      <c r="N3" s="1613"/>
    </row>
    <row r="4" spans="1:16" s="25" customFormat="1" ht="18" customHeight="1">
      <c r="A4" s="875"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828</v>
      </c>
      <c r="E6" s="3"/>
      <c r="F6" s="3"/>
      <c r="G6" s="3"/>
      <c r="H6" s="3"/>
      <c r="I6" s="3"/>
      <c r="J6" s="3"/>
      <c r="K6" s="3"/>
      <c r="L6" s="3" t="s">
        <v>828</v>
      </c>
      <c r="M6" s="3"/>
      <c r="N6" s="3"/>
    </row>
    <row r="7" spans="1:16" s="25" customFormat="1" ht="15">
      <c r="A7" s="8" t="s">
        <v>369</v>
      </c>
      <c r="M7" s="1614"/>
      <c r="N7" s="21" t="s">
        <v>370</v>
      </c>
    </row>
    <row r="8" spans="1:16" s="140" customFormat="1" ht="17.45" customHeight="1">
      <c r="A8" s="53"/>
      <c r="B8" s="127"/>
      <c r="C8" s="297" t="s">
        <v>851</v>
      </c>
      <c r="D8" s="133"/>
      <c r="E8" s="133"/>
      <c r="F8" s="133"/>
      <c r="G8" s="134"/>
      <c r="H8" s="135"/>
      <c r="I8" s="245"/>
      <c r="J8" s="296" t="s">
        <v>852</v>
      </c>
      <c r="K8" s="1909" t="s">
        <v>882</v>
      </c>
      <c r="L8" s="1910"/>
      <c r="M8" s="1909" t="s">
        <v>883</v>
      </c>
      <c r="N8" s="1910"/>
    </row>
    <row r="9" spans="1:16" s="140" customFormat="1" ht="17.45" customHeight="1">
      <c r="A9" s="56"/>
      <c r="B9" s="39"/>
      <c r="C9" s="27" t="s">
        <v>432</v>
      </c>
      <c r="D9" s="100"/>
      <c r="E9" s="28" t="s">
        <v>879</v>
      </c>
      <c r="F9" s="81"/>
      <c r="G9" s="136" t="s">
        <v>391</v>
      </c>
      <c r="H9" s="137"/>
      <c r="I9" s="141" t="s">
        <v>392</v>
      </c>
      <c r="J9" s="113"/>
      <c r="K9" s="1911"/>
      <c r="L9" s="1912"/>
      <c r="M9" s="1911"/>
      <c r="N9" s="1912"/>
    </row>
    <row r="10" spans="1:16" s="140" customFormat="1" ht="17.45" customHeight="1">
      <c r="A10" s="24" t="s">
        <v>379</v>
      </c>
      <c r="B10" s="74"/>
      <c r="C10" s="97" t="s">
        <v>406</v>
      </c>
      <c r="D10" s="60"/>
      <c r="E10" s="97" t="s">
        <v>880</v>
      </c>
      <c r="F10" s="60"/>
      <c r="G10" s="57" t="s">
        <v>832</v>
      </c>
      <c r="H10" s="98"/>
      <c r="I10" s="57" t="s">
        <v>400</v>
      </c>
      <c r="J10" s="98"/>
      <c r="K10" s="1913"/>
      <c r="L10" s="1914"/>
      <c r="M10" s="1913"/>
      <c r="N10" s="1914"/>
    </row>
    <row r="11" spans="1:16" s="140" customFormat="1" ht="17.45" customHeight="1">
      <c r="A11" s="62" t="s">
        <v>387</v>
      </c>
      <c r="B11" s="60"/>
      <c r="C11" s="94" t="s">
        <v>473</v>
      </c>
      <c r="D11" s="94" t="s">
        <v>389</v>
      </c>
      <c r="E11" s="94" t="s">
        <v>473</v>
      </c>
      <c r="F11" s="94" t="s">
        <v>389</v>
      </c>
      <c r="G11" s="94" t="s">
        <v>473</v>
      </c>
      <c r="H11" s="94" t="s">
        <v>389</v>
      </c>
      <c r="I11" s="94" t="s">
        <v>473</v>
      </c>
      <c r="J11" s="94" t="s">
        <v>389</v>
      </c>
      <c r="K11" s="94" t="s">
        <v>473</v>
      </c>
      <c r="L11" s="94" t="s">
        <v>389</v>
      </c>
      <c r="M11" s="94" t="s">
        <v>473</v>
      </c>
      <c r="N11" s="94" t="s">
        <v>389</v>
      </c>
    </row>
    <row r="12" spans="1:16" s="140" customFormat="1" ht="17.45" customHeight="1">
      <c r="A12" s="32"/>
      <c r="B12" s="66"/>
      <c r="C12" s="138" t="s">
        <v>147</v>
      </c>
      <c r="D12" s="139" t="s">
        <v>477</v>
      </c>
      <c r="E12" s="121" t="s">
        <v>147</v>
      </c>
      <c r="F12" s="121" t="s">
        <v>477</v>
      </c>
      <c r="G12" s="120" t="s">
        <v>147</v>
      </c>
      <c r="H12" s="138" t="s">
        <v>477</v>
      </c>
      <c r="I12" s="120" t="s">
        <v>147</v>
      </c>
      <c r="J12" s="138" t="s">
        <v>477</v>
      </c>
      <c r="K12" s="57" t="s">
        <v>147</v>
      </c>
      <c r="L12" s="68" t="s">
        <v>477</v>
      </c>
      <c r="M12" s="57" t="s">
        <v>147</v>
      </c>
      <c r="N12" s="68" t="s">
        <v>477</v>
      </c>
      <c r="O12" s="197"/>
      <c r="P12" s="197"/>
    </row>
    <row r="13" spans="1:16" s="306" customFormat="1" ht="20.25" customHeight="1">
      <c r="A13" s="405">
        <v>2015</v>
      </c>
      <c r="B13" s="497"/>
      <c r="C13" s="641">
        <v>411.47210010218009</v>
      </c>
      <c r="D13" s="641">
        <v>972.14558488587386</v>
      </c>
      <c r="E13" s="642">
        <v>7486.6245487390643</v>
      </c>
      <c r="F13" s="642">
        <v>2076.6623343749029</v>
      </c>
      <c r="G13" s="641">
        <v>1911.3589308613632</v>
      </c>
      <c r="H13" s="641">
        <v>179.31352555399997</v>
      </c>
      <c r="I13" s="642">
        <v>2305.7090678587274</v>
      </c>
      <c r="J13" s="661">
        <v>808.8092994403404</v>
      </c>
      <c r="K13" s="673">
        <v>1397.0035951027414</v>
      </c>
      <c r="L13" s="642">
        <v>13353.168571597391</v>
      </c>
      <c r="M13" s="672">
        <v>13512.218242664076</v>
      </c>
      <c r="N13" s="672">
        <v>17390.149315852508</v>
      </c>
      <c r="O13" s="314"/>
      <c r="P13" s="314"/>
    </row>
    <row r="14" spans="1:16" s="408" customFormat="1" ht="14.25" customHeight="1">
      <c r="A14" s="356">
        <v>2016</v>
      </c>
      <c r="B14" s="551"/>
      <c r="C14" s="1615">
        <v>579.85826877843999</v>
      </c>
      <c r="D14" s="1615">
        <v>1044.308414674317</v>
      </c>
      <c r="E14" s="1616">
        <v>7443.1104031751838</v>
      </c>
      <c r="F14" s="1616">
        <v>2241.0663992753734</v>
      </c>
      <c r="G14" s="1617">
        <v>1822.4270104740001</v>
      </c>
      <c r="H14" s="1618">
        <v>299.88302245900002</v>
      </c>
      <c r="I14" s="1616">
        <v>2571.3646182724069</v>
      </c>
      <c r="J14" s="1619">
        <v>758.64686689305063</v>
      </c>
      <c r="K14" s="1609">
        <v>1308.5493400848645</v>
      </c>
      <c r="L14" s="1616">
        <v>13144.254380962431</v>
      </c>
      <c r="M14" s="1620">
        <v>13725.349640784894</v>
      </c>
      <c r="N14" s="1620">
        <v>17488.159084264171</v>
      </c>
      <c r="O14" s="314"/>
      <c r="P14" s="314"/>
    </row>
    <row r="15" spans="1:16" s="408" customFormat="1" ht="14.25" customHeight="1">
      <c r="A15" s="356">
        <v>2017</v>
      </c>
      <c r="B15" s="551"/>
      <c r="C15" s="1615">
        <v>504.59508169000003</v>
      </c>
      <c r="D15" s="1615">
        <v>754.4946556333731</v>
      </c>
      <c r="E15" s="1616">
        <v>7541.8592944910406</v>
      </c>
      <c r="F15" s="1616">
        <v>2576.602583168858</v>
      </c>
      <c r="G15" s="1617">
        <v>1962.8939980619998</v>
      </c>
      <c r="H15" s="1618">
        <v>257.598066604</v>
      </c>
      <c r="I15" s="1616">
        <v>2669.4350580149198</v>
      </c>
      <c r="J15" s="1619">
        <v>836.00724174297557</v>
      </c>
      <c r="K15" s="1609">
        <v>1063.8516252512086</v>
      </c>
      <c r="L15" s="1616">
        <v>13221.603134814433</v>
      </c>
      <c r="M15" s="1620">
        <v>13742.655791509169</v>
      </c>
      <c r="N15" s="1620">
        <v>17646.30568196364</v>
      </c>
      <c r="O15" s="314"/>
      <c r="P15" s="314"/>
    </row>
    <row r="16" spans="1:16" s="321" customFormat="1" ht="14.25" customHeight="1">
      <c r="A16" s="747">
        <v>2018</v>
      </c>
      <c r="B16" s="748"/>
      <c r="C16" s="1134">
        <v>533.80858013498005</v>
      </c>
      <c r="D16" s="1134">
        <v>980.25521297485989</v>
      </c>
      <c r="E16" s="1135">
        <v>7543.6063947340472</v>
      </c>
      <c r="F16" s="1135">
        <v>2803.369281584592</v>
      </c>
      <c r="G16" s="774">
        <v>1914.1885228199344</v>
      </c>
      <c r="H16" s="1106">
        <v>290.54115872100004</v>
      </c>
      <c r="I16" s="1135">
        <v>2847.7626825348239</v>
      </c>
      <c r="J16" s="1105">
        <v>918.84185810735062</v>
      </c>
      <c r="K16" s="1129">
        <v>1112.6454569580051</v>
      </c>
      <c r="L16" s="1135">
        <v>13624.004320104132</v>
      </c>
      <c r="M16" s="1136">
        <v>13951.992516181792</v>
      </c>
      <c r="N16" s="1136">
        <v>18616.991831491934</v>
      </c>
      <c r="O16" s="762"/>
      <c r="P16" s="314"/>
    </row>
    <row r="17" spans="1:16" s="321" customFormat="1" ht="14.25" customHeight="1">
      <c r="A17" s="747">
        <v>2019</v>
      </c>
      <c r="B17" s="748"/>
      <c r="C17" s="1134">
        <v>453.11124023702553</v>
      </c>
      <c r="D17" s="1134">
        <v>926.86142612692572</v>
      </c>
      <c r="E17" s="1135">
        <v>8469.8172098400155</v>
      </c>
      <c r="F17" s="1135">
        <v>3081.6416328226128</v>
      </c>
      <c r="G17" s="774">
        <v>1768.4751209395436</v>
      </c>
      <c r="H17" s="1106">
        <v>358.33801689204216</v>
      </c>
      <c r="I17" s="1135">
        <v>3010.6580249900762</v>
      </c>
      <c r="J17" s="1105">
        <v>898.72388917093622</v>
      </c>
      <c r="K17" s="1129">
        <v>1245.8330786345402</v>
      </c>
      <c r="L17" s="1135">
        <v>15156.351784787163</v>
      </c>
      <c r="M17" s="1136">
        <v>14947.895688641198</v>
      </c>
      <c r="N17" s="1136">
        <v>20421.936749799679</v>
      </c>
      <c r="O17" s="762"/>
      <c r="P17" s="314"/>
    </row>
    <row r="18" spans="1:16" s="321" customFormat="1" ht="14.25" customHeight="1">
      <c r="A18" s="747">
        <v>2020</v>
      </c>
      <c r="B18" s="748"/>
      <c r="C18" s="1134">
        <v>627.23756981760005</v>
      </c>
      <c r="D18" s="1134">
        <v>642.15942062757199</v>
      </c>
      <c r="E18" s="1135">
        <v>9386.5943541492525</v>
      </c>
      <c r="F18" s="1135">
        <v>2888.7396038415468</v>
      </c>
      <c r="G18" s="774">
        <v>1604.9321082341826</v>
      </c>
      <c r="H18" s="1106">
        <v>224.40211251746001</v>
      </c>
      <c r="I18" s="1135">
        <v>3161.3656544262094</v>
      </c>
      <c r="J18" s="1105">
        <v>1075.2193343748693</v>
      </c>
      <c r="K18" s="1129">
        <v>1492.1692631043511</v>
      </c>
      <c r="L18" s="1135">
        <v>14344.527094388002</v>
      </c>
      <c r="M18" s="1136">
        <v>16272.296949731597</v>
      </c>
      <c r="N18" s="1136">
        <v>19175.037565749451</v>
      </c>
      <c r="O18" s="762"/>
      <c r="P18" s="314"/>
    </row>
    <row r="19" spans="1:16" s="321" customFormat="1" ht="14.25" customHeight="1">
      <c r="A19" s="747">
        <v>2021</v>
      </c>
      <c r="B19" s="748"/>
      <c r="C19" s="1134">
        <v>816.43419702265294</v>
      </c>
      <c r="D19" s="1134">
        <v>855.5739111031329</v>
      </c>
      <c r="E19" s="1135">
        <v>9801.1705898501423</v>
      </c>
      <c r="F19" s="1135">
        <v>3136.8935231773212</v>
      </c>
      <c r="G19" s="774">
        <v>1530.7053879053758</v>
      </c>
      <c r="H19" s="1106">
        <v>173.74944270008302</v>
      </c>
      <c r="I19" s="1135">
        <v>3469.4260958318041</v>
      </c>
      <c r="J19" s="1105">
        <v>848.29032313494008</v>
      </c>
      <c r="K19" s="1129">
        <v>1670.9038253670476</v>
      </c>
      <c r="L19" s="1135">
        <v>15070.876228906402</v>
      </c>
      <c r="M19" s="1136">
        <v>17288.618830567022</v>
      </c>
      <c r="N19" s="1136">
        <v>20085.38342902188</v>
      </c>
      <c r="O19" s="762"/>
      <c r="P19" s="314"/>
    </row>
    <row r="20" spans="1:16" s="321" customFormat="1" ht="14.25" customHeight="1">
      <c r="A20" s="747">
        <v>2022</v>
      </c>
      <c r="B20" s="748"/>
      <c r="C20" s="1134">
        <v>843.29459444807503</v>
      </c>
      <c r="D20" s="774">
        <v>1004.4372093795953</v>
      </c>
      <c r="E20" s="1135">
        <v>10241.441116201067</v>
      </c>
      <c r="F20" s="1135">
        <v>3270.567586424575</v>
      </c>
      <c r="G20" s="774">
        <v>1470.3895143201501</v>
      </c>
      <c r="H20" s="1106">
        <v>182.31648988007402</v>
      </c>
      <c r="I20" s="1135">
        <v>3715.7714144109677</v>
      </c>
      <c r="J20" s="1105">
        <v>554.71056840436722</v>
      </c>
      <c r="K20" s="1129">
        <v>2033.2400491979361</v>
      </c>
      <c r="L20" s="1135">
        <v>14931.257699244801</v>
      </c>
      <c r="M20" s="1136">
        <v>18304.136688578201</v>
      </c>
      <c r="N20" s="1136">
        <v>19943.289553333412</v>
      </c>
      <c r="O20" s="762"/>
      <c r="P20" s="314"/>
    </row>
    <row r="21" spans="1:16" s="321" customFormat="1" ht="14.25" customHeight="1">
      <c r="A21" s="747">
        <v>2023</v>
      </c>
      <c r="B21" s="748"/>
      <c r="C21" s="1134">
        <v>1202.2561152707158</v>
      </c>
      <c r="D21" s="1134">
        <v>839.33579682030654</v>
      </c>
      <c r="E21" s="1135">
        <v>10658.7212228889</v>
      </c>
      <c r="F21" s="1135">
        <v>3533.7552126449473</v>
      </c>
      <c r="G21" s="774">
        <v>1535.0102197801789</v>
      </c>
      <c r="H21" s="1106">
        <v>217.27361716870001</v>
      </c>
      <c r="I21" s="1135">
        <v>3839.9558149555178</v>
      </c>
      <c r="J21" s="1105">
        <v>724.52645095472292</v>
      </c>
      <c r="K21" s="1129">
        <v>2154.9120775464348</v>
      </c>
      <c r="L21" s="1135">
        <v>15554.859786865323</v>
      </c>
      <c r="M21" s="1136">
        <v>19390.855450441741</v>
      </c>
      <c r="N21" s="1136">
        <v>20869.760864454001</v>
      </c>
      <c r="O21" s="762"/>
      <c r="P21" s="314"/>
    </row>
    <row r="22" spans="1:16" s="321" customFormat="1" ht="14.25" customHeight="1">
      <c r="A22" s="907">
        <v>2024</v>
      </c>
      <c r="B22" s="999"/>
      <c r="C22" s="1043">
        <f t="shared" ref="C22:N22" si="0">C27</f>
        <v>930.28124494219765</v>
      </c>
      <c r="D22" s="1043">
        <f t="shared" si="0"/>
        <v>871.19956732233447</v>
      </c>
      <c r="E22" s="1044">
        <f t="shared" si="0"/>
        <v>10988.361236316472</v>
      </c>
      <c r="F22" s="1044">
        <f t="shared" si="0"/>
        <v>3261.5264831030895</v>
      </c>
      <c r="G22" s="1045">
        <f t="shared" si="0"/>
        <v>1623.8124745880173</v>
      </c>
      <c r="H22" s="1046">
        <f t="shared" si="0"/>
        <v>289.86764528721</v>
      </c>
      <c r="I22" s="1044">
        <f t="shared" si="0"/>
        <v>4117.5987201834232</v>
      </c>
      <c r="J22" s="1047">
        <f t="shared" si="0"/>
        <v>556.62891809954442</v>
      </c>
      <c r="K22" s="1038">
        <f t="shared" si="0"/>
        <v>2403.9347012814801</v>
      </c>
      <c r="L22" s="1044">
        <f t="shared" si="0"/>
        <v>16666.301775618158</v>
      </c>
      <c r="M22" s="1048">
        <f t="shared" si="0"/>
        <v>20063.988377311591</v>
      </c>
      <c r="N22" s="1048">
        <f t="shared" si="0"/>
        <v>21645.474389430336</v>
      </c>
      <c r="O22" s="762"/>
      <c r="P22" s="314"/>
    </row>
    <row r="23" spans="1:16" s="321" customFormat="1" ht="21" customHeight="1">
      <c r="A23" s="747">
        <v>2023</v>
      </c>
      <c r="B23" s="748" t="s">
        <v>238</v>
      </c>
      <c r="C23" s="1134">
        <v>1202.2561152707158</v>
      </c>
      <c r="D23" s="1134">
        <v>839.33579682030654</v>
      </c>
      <c r="E23" s="1135">
        <v>10658.7212228889</v>
      </c>
      <c r="F23" s="1135">
        <v>3533.7552126449473</v>
      </c>
      <c r="G23" s="774">
        <v>1535.0102197801789</v>
      </c>
      <c r="H23" s="1106">
        <v>217.27361716870001</v>
      </c>
      <c r="I23" s="1135">
        <v>3839.9558149555178</v>
      </c>
      <c r="J23" s="1105">
        <v>724.52645095472292</v>
      </c>
      <c r="K23" s="1129">
        <v>2154.9120775464348</v>
      </c>
      <c r="L23" s="1135">
        <v>15554.859786865323</v>
      </c>
      <c r="M23" s="1136">
        <v>19390.855450441741</v>
      </c>
      <c r="N23" s="1136">
        <v>20869.760864454001</v>
      </c>
      <c r="O23" s="762"/>
      <c r="P23" s="314"/>
    </row>
    <row r="24" spans="1:16" s="321" customFormat="1" ht="21" customHeight="1">
      <c r="A24" s="747">
        <v>2024</v>
      </c>
      <c r="B24" s="748" t="s">
        <v>239</v>
      </c>
      <c r="C24" s="1134">
        <v>1183.810280177016</v>
      </c>
      <c r="D24" s="1134">
        <v>900.01093771898479</v>
      </c>
      <c r="E24" s="1135">
        <v>10634.427779371332</v>
      </c>
      <c r="F24" s="1135">
        <v>3288.975542214544</v>
      </c>
      <c r="G24" s="774">
        <v>1480.9630760084744</v>
      </c>
      <c r="H24" s="1106">
        <v>189.54174030868001</v>
      </c>
      <c r="I24" s="1135">
        <v>3879.712132388875</v>
      </c>
      <c r="J24" s="1105">
        <v>824.96053787368896</v>
      </c>
      <c r="K24" s="1129">
        <v>2246.5797315036871</v>
      </c>
      <c r="L24" s="1135">
        <v>16073.599204343416</v>
      </c>
      <c r="M24" s="1136">
        <v>19425.542999449386</v>
      </c>
      <c r="N24" s="1136">
        <v>21277.087962459314</v>
      </c>
      <c r="O24" s="762"/>
      <c r="P24" s="314"/>
    </row>
    <row r="25" spans="1:16" s="321" customFormat="1" ht="15" customHeight="1">
      <c r="A25" s="747"/>
      <c r="B25" s="748" t="s">
        <v>240</v>
      </c>
      <c r="C25" s="1134">
        <v>1071.072295868006</v>
      </c>
      <c r="D25" s="1134">
        <v>796.39091861238626</v>
      </c>
      <c r="E25" s="1135">
        <v>10859.91471771923</v>
      </c>
      <c r="F25" s="1135">
        <v>3327.3023595878703</v>
      </c>
      <c r="G25" s="774">
        <v>1549.9033962921471</v>
      </c>
      <c r="H25" s="1106">
        <v>244.02706523149996</v>
      </c>
      <c r="I25" s="1135">
        <v>3831.5075777901575</v>
      </c>
      <c r="J25" s="1105">
        <v>656.11029378574619</v>
      </c>
      <c r="K25" s="1129">
        <v>2367.6286423170923</v>
      </c>
      <c r="L25" s="1135">
        <v>16494.062685685567</v>
      </c>
      <c r="M25" s="1136">
        <v>19679.976629986631</v>
      </c>
      <c r="N25" s="1136">
        <v>21517.89332290307</v>
      </c>
      <c r="O25" s="762"/>
      <c r="P25" s="314"/>
    </row>
    <row r="26" spans="1:16" s="321" customFormat="1" ht="15" customHeight="1">
      <c r="A26" s="747"/>
      <c r="B26" s="748" t="s">
        <v>237</v>
      </c>
      <c r="C26" s="1134">
        <v>1116.7813995381957</v>
      </c>
      <c r="D26" s="1134">
        <v>742.42669254094369</v>
      </c>
      <c r="E26" s="1135">
        <v>11074.786968199263</v>
      </c>
      <c r="F26" s="1135">
        <v>3550.4091123751705</v>
      </c>
      <c r="G26" s="774">
        <v>1640.8124888836282</v>
      </c>
      <c r="H26" s="1106">
        <v>313.48307779378001</v>
      </c>
      <c r="I26" s="1135">
        <v>3984.0506199647352</v>
      </c>
      <c r="J26" s="1105">
        <v>743.33861532264211</v>
      </c>
      <c r="K26" s="1129">
        <v>2405.6938350365413</v>
      </c>
      <c r="L26" s="1135">
        <v>15960.163834652631</v>
      </c>
      <c r="M26" s="1136">
        <v>20222.155311622362</v>
      </c>
      <c r="N26" s="1136">
        <v>21309.771332685166</v>
      </c>
      <c r="O26" s="762"/>
      <c r="P26" s="314"/>
    </row>
    <row r="27" spans="1:16" s="321" customFormat="1" ht="15" customHeight="1">
      <c r="A27" s="747"/>
      <c r="B27" s="748" t="s">
        <v>238</v>
      </c>
      <c r="C27" s="1134">
        <v>930.28124494219765</v>
      </c>
      <c r="D27" s="1134">
        <v>871.19956732233447</v>
      </c>
      <c r="E27" s="1135">
        <v>10988.361236316472</v>
      </c>
      <c r="F27" s="1135">
        <v>3261.5264831030895</v>
      </c>
      <c r="G27" s="774">
        <v>1623.8124745880173</v>
      </c>
      <c r="H27" s="1106">
        <v>289.86764528721</v>
      </c>
      <c r="I27" s="1135">
        <v>4117.5987201834232</v>
      </c>
      <c r="J27" s="1105">
        <v>556.62891809954442</v>
      </c>
      <c r="K27" s="1129">
        <v>2403.9347012814801</v>
      </c>
      <c r="L27" s="1135">
        <v>16666.301775618158</v>
      </c>
      <c r="M27" s="1136">
        <v>20063.988377311591</v>
      </c>
      <c r="N27" s="1136">
        <v>21645.474389430336</v>
      </c>
      <c r="O27" s="762"/>
      <c r="P27" s="314"/>
    </row>
    <row r="28" spans="1:16" s="321" customFormat="1" ht="21" customHeight="1">
      <c r="A28" s="747">
        <v>2025</v>
      </c>
      <c r="B28" s="748" t="s">
        <v>239</v>
      </c>
      <c r="C28" s="1134">
        <f t="shared" ref="C28:N28" si="1">C36</f>
        <v>798.10153525018609</v>
      </c>
      <c r="D28" s="1134">
        <f t="shared" si="1"/>
        <v>1174.1028539193978</v>
      </c>
      <c r="E28" s="1135">
        <f t="shared" si="1"/>
        <v>11107.106318496106</v>
      </c>
      <c r="F28" s="1135">
        <f t="shared" si="1"/>
        <v>3212.7324439957683</v>
      </c>
      <c r="G28" s="774">
        <f t="shared" si="1"/>
        <v>1599.2386725409904</v>
      </c>
      <c r="H28" s="1106">
        <f t="shared" si="1"/>
        <v>362.85977003554001</v>
      </c>
      <c r="I28" s="1135">
        <f t="shared" si="1"/>
        <v>4164.725628651483</v>
      </c>
      <c r="J28" s="1105">
        <f t="shared" si="1"/>
        <v>834.40921567166583</v>
      </c>
      <c r="K28" s="1129">
        <f t="shared" si="1"/>
        <v>2441.664980596393</v>
      </c>
      <c r="L28" s="1135">
        <f t="shared" si="1"/>
        <v>16748.234487315291</v>
      </c>
      <c r="M28" s="1136">
        <f t="shared" si="1"/>
        <v>20110.837135535166</v>
      </c>
      <c r="N28" s="1136">
        <f t="shared" si="1"/>
        <v>22332.338770937666</v>
      </c>
      <c r="O28" s="762"/>
      <c r="P28" s="314"/>
    </row>
    <row r="29" spans="1:16" s="321" customFormat="1" ht="15" customHeight="1">
      <c r="A29" s="747"/>
      <c r="B29" s="748" t="s">
        <v>240</v>
      </c>
      <c r="C29" s="1134">
        <f t="shared" ref="C29:N29" si="2">C39</f>
        <v>942.3736359945791</v>
      </c>
      <c r="D29" s="1134">
        <f t="shared" si="2"/>
        <v>1113.8692805033891</v>
      </c>
      <c r="E29" s="1135">
        <f t="shared" si="2"/>
        <v>11337.045133693466</v>
      </c>
      <c r="F29" s="1135">
        <f t="shared" si="2"/>
        <v>2956.2717846247456</v>
      </c>
      <c r="G29" s="774">
        <f t="shared" si="2"/>
        <v>1620.2024719686988</v>
      </c>
      <c r="H29" s="1106">
        <f t="shared" si="2"/>
        <v>293.59462043969995</v>
      </c>
      <c r="I29" s="1135">
        <f t="shared" si="2"/>
        <v>4151.9225557460322</v>
      </c>
      <c r="J29" s="1105">
        <f t="shared" si="2"/>
        <v>616.69012223559662</v>
      </c>
      <c r="K29" s="1129">
        <f t="shared" si="2"/>
        <v>2499.9296688517206</v>
      </c>
      <c r="L29" s="1135">
        <f t="shared" si="2"/>
        <v>18021.076130751931</v>
      </c>
      <c r="M29" s="1136">
        <f t="shared" si="2"/>
        <v>20551.443466254499</v>
      </c>
      <c r="N29" s="1136">
        <f t="shared" si="2"/>
        <v>23001.551938555363</v>
      </c>
      <c r="O29" s="762"/>
      <c r="P29" s="314"/>
    </row>
    <row r="30" spans="1:16" s="321" customFormat="1" ht="15" customHeight="1">
      <c r="A30" s="907"/>
      <c r="B30" s="999" t="s">
        <v>237</v>
      </c>
      <c r="C30" s="1043">
        <f t="shared" ref="C30:N30" si="3">C42</f>
        <v>670.16860175031206</v>
      </c>
      <c r="D30" s="1043">
        <f t="shared" si="3"/>
        <v>1223.9193250818671</v>
      </c>
      <c r="E30" s="1044">
        <f t="shared" si="3"/>
        <v>11214.613588011998</v>
      </c>
      <c r="F30" s="1044">
        <f t="shared" si="3"/>
        <v>3047.0418350762216</v>
      </c>
      <c r="G30" s="1045">
        <f t="shared" si="3"/>
        <v>1627.0745406242427</v>
      </c>
      <c r="H30" s="1046">
        <f t="shared" si="3"/>
        <v>315.84255156358103</v>
      </c>
      <c r="I30" s="1044">
        <f t="shared" si="3"/>
        <v>4265.1643748854422</v>
      </c>
      <c r="J30" s="1047">
        <f t="shared" si="3"/>
        <v>621.70500441891625</v>
      </c>
      <c r="K30" s="1038">
        <f t="shared" si="3"/>
        <v>2147.737856369446</v>
      </c>
      <c r="L30" s="1044">
        <f t="shared" si="3"/>
        <v>18927.471118542562</v>
      </c>
      <c r="M30" s="1048">
        <f t="shared" si="3"/>
        <v>19924.758961641441</v>
      </c>
      <c r="N30" s="1048">
        <f t="shared" si="3"/>
        <v>24135.939834683148</v>
      </c>
      <c r="O30" s="762"/>
      <c r="P30" s="314"/>
    </row>
    <row r="31" spans="1:16" s="306" customFormat="1" ht="21" customHeight="1">
      <c r="A31" s="405">
        <v>2024</v>
      </c>
      <c r="B31" s="497" t="s">
        <v>412</v>
      </c>
      <c r="C31" s="660">
        <v>852.22748668192582</v>
      </c>
      <c r="D31" s="660">
        <v>954.9060229353081</v>
      </c>
      <c r="E31" s="642">
        <v>11091.598960764653</v>
      </c>
      <c r="F31" s="642">
        <v>3317.5890285051451</v>
      </c>
      <c r="G31" s="641">
        <v>1629.1815696079029</v>
      </c>
      <c r="H31" s="680">
        <v>365.68803996631993</v>
      </c>
      <c r="I31" s="642">
        <v>4033.6485042928389</v>
      </c>
      <c r="J31" s="661">
        <v>532.96820728623857</v>
      </c>
      <c r="K31" s="673">
        <v>2445.9618318484881</v>
      </c>
      <c r="L31" s="642">
        <v>15818.920596361579</v>
      </c>
      <c r="M31" s="672">
        <v>20052.598353195808</v>
      </c>
      <c r="N31" s="672">
        <v>20990.071895054589</v>
      </c>
      <c r="O31" s="314"/>
      <c r="P31" s="314"/>
    </row>
    <row r="32" spans="1:16" s="306" customFormat="1" ht="16.5" customHeight="1">
      <c r="A32" s="405"/>
      <c r="B32" s="497" t="s">
        <v>413</v>
      </c>
      <c r="C32" s="660">
        <v>884.10582996133371</v>
      </c>
      <c r="D32" s="660">
        <v>980.59311656348564</v>
      </c>
      <c r="E32" s="642">
        <v>11022.605367681017</v>
      </c>
      <c r="F32" s="642">
        <v>3246.7993935730669</v>
      </c>
      <c r="G32" s="641">
        <v>1596.5677620834792</v>
      </c>
      <c r="H32" s="680">
        <v>335.84354835091005</v>
      </c>
      <c r="I32" s="642">
        <v>4162.5167863767292</v>
      </c>
      <c r="J32" s="661">
        <v>576.03108900632196</v>
      </c>
      <c r="K32" s="673">
        <v>2418.0877213310955</v>
      </c>
      <c r="L32" s="642">
        <v>16297.4128134987</v>
      </c>
      <c r="M32" s="672">
        <v>20083.883467433654</v>
      </c>
      <c r="N32" s="672">
        <v>21436.639960992485</v>
      </c>
      <c r="O32" s="314"/>
      <c r="P32" s="314"/>
    </row>
    <row r="33" spans="1:16" s="306" customFormat="1" ht="16.5" customHeight="1">
      <c r="A33" s="405"/>
      <c r="B33" s="497" t="s">
        <v>414</v>
      </c>
      <c r="C33" s="660">
        <v>930.28124494219765</v>
      </c>
      <c r="D33" s="660">
        <v>871.19956732233447</v>
      </c>
      <c r="E33" s="642">
        <v>10988.361236316472</v>
      </c>
      <c r="F33" s="642">
        <v>3261.5264831030895</v>
      </c>
      <c r="G33" s="641">
        <v>1623.8124745880173</v>
      </c>
      <c r="H33" s="680">
        <v>289.86764528721</v>
      </c>
      <c r="I33" s="642">
        <v>4117.5987201834232</v>
      </c>
      <c r="J33" s="661">
        <v>556.62891809954442</v>
      </c>
      <c r="K33" s="673">
        <v>2403.9347012814801</v>
      </c>
      <c r="L33" s="642">
        <v>16666.301775618158</v>
      </c>
      <c r="M33" s="672">
        <v>20063.988377311591</v>
      </c>
      <c r="N33" s="672">
        <v>21645.474389430336</v>
      </c>
      <c r="O33" s="314"/>
      <c r="P33" s="314"/>
    </row>
    <row r="34" spans="1:16" s="306" customFormat="1" ht="21" customHeight="1">
      <c r="A34" s="405">
        <v>2025</v>
      </c>
      <c r="B34" s="497" t="s">
        <v>415</v>
      </c>
      <c r="C34" s="660">
        <v>837.766365827448</v>
      </c>
      <c r="D34" s="660">
        <v>1001.7439793975135</v>
      </c>
      <c r="E34" s="642">
        <v>10866.499240726742</v>
      </c>
      <c r="F34" s="642">
        <v>3095.5432011431126</v>
      </c>
      <c r="G34" s="641">
        <v>1671.8198774779219</v>
      </c>
      <c r="H34" s="680">
        <v>286.35742834107998</v>
      </c>
      <c r="I34" s="642">
        <v>4110.6625891082922</v>
      </c>
      <c r="J34" s="661">
        <v>604.64096064340902</v>
      </c>
      <c r="K34" s="673">
        <v>2425.1411311128963</v>
      </c>
      <c r="L34" s="642">
        <v>16749.582123142813</v>
      </c>
      <c r="M34" s="672">
        <v>19911.889204253293</v>
      </c>
      <c r="N34" s="672">
        <v>21737.827692667932</v>
      </c>
      <c r="O34" s="314"/>
      <c r="P34" s="314"/>
    </row>
    <row r="35" spans="1:16" s="306" customFormat="1" ht="16.5" customHeight="1">
      <c r="A35" s="405"/>
      <c r="B35" s="497" t="s">
        <v>416</v>
      </c>
      <c r="C35" s="660">
        <v>861.93667301508094</v>
      </c>
      <c r="D35" s="660">
        <v>1337.558151868051</v>
      </c>
      <c r="E35" s="642">
        <v>11109.706254639505</v>
      </c>
      <c r="F35" s="642">
        <v>3061.8429954399476</v>
      </c>
      <c r="G35" s="641">
        <v>1546.7948103901263</v>
      </c>
      <c r="H35" s="680">
        <v>350.97627938866401</v>
      </c>
      <c r="I35" s="642">
        <v>4172.0700559006546</v>
      </c>
      <c r="J35" s="661">
        <v>549.33495415704874</v>
      </c>
      <c r="K35" s="673">
        <v>2410.910691766469</v>
      </c>
      <c r="L35" s="642">
        <v>16296.574711045434</v>
      </c>
      <c r="M35" s="672">
        <v>20101.44848571184</v>
      </c>
      <c r="N35" s="672">
        <v>21596.277091899145</v>
      </c>
      <c r="O35" s="314"/>
      <c r="P35" s="314"/>
    </row>
    <row r="36" spans="1:16" s="306" customFormat="1" ht="16.5" customHeight="1">
      <c r="A36" s="405"/>
      <c r="B36" s="497" t="s">
        <v>417</v>
      </c>
      <c r="C36" s="660">
        <v>798.10153525018609</v>
      </c>
      <c r="D36" s="660">
        <v>1174.1028539193978</v>
      </c>
      <c r="E36" s="642">
        <v>11107.106318496106</v>
      </c>
      <c r="F36" s="642">
        <v>3212.7324439957683</v>
      </c>
      <c r="G36" s="641">
        <v>1599.2386725409904</v>
      </c>
      <c r="H36" s="680">
        <v>362.85977003554001</v>
      </c>
      <c r="I36" s="642">
        <v>4164.725628651483</v>
      </c>
      <c r="J36" s="661">
        <v>834.40921567166583</v>
      </c>
      <c r="K36" s="673">
        <v>2441.664980596393</v>
      </c>
      <c r="L36" s="642">
        <v>16748.234487315291</v>
      </c>
      <c r="M36" s="672">
        <v>20110.837135535166</v>
      </c>
      <c r="N36" s="672">
        <v>22332.338770937666</v>
      </c>
      <c r="O36" s="314"/>
      <c r="P36" s="314"/>
    </row>
    <row r="37" spans="1:16" s="306" customFormat="1" ht="16.5" customHeight="1">
      <c r="A37" s="405"/>
      <c r="B37" s="497" t="s">
        <v>418</v>
      </c>
      <c r="C37" s="660">
        <v>770.17289356689491</v>
      </c>
      <c r="D37" s="660">
        <v>1313.5285132437161</v>
      </c>
      <c r="E37" s="642">
        <v>11251.854204862582</v>
      </c>
      <c r="F37" s="642">
        <v>3164.3242040926152</v>
      </c>
      <c r="G37" s="641">
        <v>1657.7447856620656</v>
      </c>
      <c r="H37" s="680">
        <v>309.37016797604804</v>
      </c>
      <c r="I37" s="642">
        <v>4087.6270720626326</v>
      </c>
      <c r="J37" s="661">
        <v>487.36055308423386</v>
      </c>
      <c r="K37" s="673">
        <v>2469.1445157491044</v>
      </c>
      <c r="L37" s="642">
        <v>17252.274969927817</v>
      </c>
      <c r="M37" s="672">
        <v>20236.513471903279</v>
      </c>
      <c r="N37" s="672">
        <v>22526.858408324431</v>
      </c>
      <c r="O37" s="314"/>
      <c r="P37" s="314"/>
    </row>
    <row r="38" spans="1:16" s="306" customFormat="1" ht="16.5" customHeight="1">
      <c r="A38" s="405"/>
      <c r="B38" s="497" t="s">
        <v>419</v>
      </c>
      <c r="C38" s="660">
        <v>862.38657478700907</v>
      </c>
      <c r="D38" s="660">
        <v>1133.5710448643692</v>
      </c>
      <c r="E38" s="642">
        <v>11206.995669248294</v>
      </c>
      <c r="F38" s="642">
        <v>3117.2425324320329</v>
      </c>
      <c r="G38" s="641">
        <v>1727.3447197589996</v>
      </c>
      <c r="H38" s="680">
        <v>309.87654572272999</v>
      </c>
      <c r="I38" s="642">
        <v>4131.9487660393152</v>
      </c>
      <c r="J38" s="661">
        <v>539.56021854016103</v>
      </c>
      <c r="K38" s="673">
        <v>2408.9642539902948</v>
      </c>
      <c r="L38" s="642">
        <v>18016.928245172501</v>
      </c>
      <c r="M38" s="672">
        <v>20337.639983823909</v>
      </c>
      <c r="N38" s="672">
        <v>23117.178586731796</v>
      </c>
      <c r="O38" s="314"/>
      <c r="P38" s="314"/>
    </row>
    <row r="39" spans="1:16" s="306" customFormat="1" ht="16.5" customHeight="1">
      <c r="A39" s="405"/>
      <c r="B39" s="497" t="s">
        <v>420</v>
      </c>
      <c r="C39" s="660">
        <v>942.3736359945791</v>
      </c>
      <c r="D39" s="660">
        <v>1113.8692805033891</v>
      </c>
      <c r="E39" s="642">
        <v>11337.045133693466</v>
      </c>
      <c r="F39" s="642">
        <v>2956.2717846247456</v>
      </c>
      <c r="G39" s="641">
        <v>1620.2024719686988</v>
      </c>
      <c r="H39" s="680">
        <v>293.59462043969995</v>
      </c>
      <c r="I39" s="642">
        <v>4151.9225557460322</v>
      </c>
      <c r="J39" s="661">
        <v>616.69012223559662</v>
      </c>
      <c r="K39" s="673">
        <v>2499.9296688517206</v>
      </c>
      <c r="L39" s="642">
        <v>18021.076130751931</v>
      </c>
      <c r="M39" s="672">
        <v>20551.443466254499</v>
      </c>
      <c r="N39" s="672">
        <v>23001.551938555363</v>
      </c>
      <c r="O39" s="314"/>
      <c r="P39" s="314"/>
    </row>
    <row r="40" spans="1:16" s="306" customFormat="1" ht="16.5" customHeight="1">
      <c r="A40" s="405"/>
      <c r="B40" s="497" t="s">
        <v>421</v>
      </c>
      <c r="C40" s="660">
        <v>801.60958979720908</v>
      </c>
      <c r="D40" s="660">
        <v>1237.535453062726</v>
      </c>
      <c r="E40" s="642">
        <v>11151.196545952756</v>
      </c>
      <c r="F40" s="642">
        <v>2894.7934741729173</v>
      </c>
      <c r="G40" s="641">
        <v>1769.7911703206996</v>
      </c>
      <c r="H40" s="680">
        <v>313.60969328061401</v>
      </c>
      <c r="I40" s="642">
        <v>4183.1028244292193</v>
      </c>
      <c r="J40" s="661">
        <v>606.06376763847061</v>
      </c>
      <c r="K40" s="673">
        <v>2408.1161837592185</v>
      </c>
      <c r="L40" s="642">
        <v>18433.837483045565</v>
      </c>
      <c r="M40" s="672">
        <v>20313.816314259107</v>
      </c>
      <c r="N40" s="672">
        <v>23485.819871200292</v>
      </c>
      <c r="O40" s="314"/>
      <c r="P40" s="314"/>
    </row>
    <row r="41" spans="1:16" s="306" customFormat="1" ht="16.5" customHeight="1">
      <c r="A41" s="405"/>
      <c r="B41" s="497" t="s">
        <v>422</v>
      </c>
      <c r="C41" s="660">
        <v>768.87512361078893</v>
      </c>
      <c r="D41" s="660">
        <v>1181.0154420285255</v>
      </c>
      <c r="E41" s="642">
        <v>11177.971005558909</v>
      </c>
      <c r="F41" s="642">
        <v>2992.0415533582136</v>
      </c>
      <c r="G41" s="641">
        <v>1772.6674388338597</v>
      </c>
      <c r="H41" s="680">
        <v>313.83274935152002</v>
      </c>
      <c r="I41" s="642">
        <v>4227.7255953106078</v>
      </c>
      <c r="J41" s="661">
        <v>549.95607298963978</v>
      </c>
      <c r="K41" s="673">
        <v>2230.0183218253119</v>
      </c>
      <c r="L41" s="642">
        <v>19032.939111733976</v>
      </c>
      <c r="M41" s="672">
        <v>20177.257485139478</v>
      </c>
      <c r="N41" s="672">
        <v>24069.744929461875</v>
      </c>
      <c r="O41" s="314"/>
      <c r="P41" s="314"/>
    </row>
    <row r="42" spans="1:16" s="306" customFormat="1" ht="16.5" customHeight="1">
      <c r="A42" s="405"/>
      <c r="B42" s="497" t="s">
        <v>423</v>
      </c>
      <c r="C42" s="660">
        <v>670.16860175031206</v>
      </c>
      <c r="D42" s="660">
        <v>1223.9193250818671</v>
      </c>
      <c r="E42" s="642">
        <v>11214.613588011998</v>
      </c>
      <c r="F42" s="642">
        <v>3047.0418350762216</v>
      </c>
      <c r="G42" s="641">
        <v>1627.0745406242427</v>
      </c>
      <c r="H42" s="680">
        <v>315.84255156358103</v>
      </c>
      <c r="I42" s="642">
        <v>4265.1643748854422</v>
      </c>
      <c r="J42" s="661">
        <v>621.70500441891625</v>
      </c>
      <c r="K42" s="673">
        <v>2147.737856369446</v>
      </c>
      <c r="L42" s="642">
        <v>18927.471118542562</v>
      </c>
      <c r="M42" s="672">
        <v>19924.758961641441</v>
      </c>
      <c r="N42" s="672">
        <v>24135.939834683148</v>
      </c>
      <c r="O42" s="314"/>
      <c r="P42" s="314"/>
    </row>
    <row r="43" spans="1:16" s="306" customFormat="1" ht="16.5" customHeight="1">
      <c r="A43" s="405"/>
      <c r="B43" s="497" t="s">
        <v>412</v>
      </c>
      <c r="C43" s="660">
        <v>626.71970378785988</v>
      </c>
      <c r="D43" s="660">
        <v>1203.8822310698063</v>
      </c>
      <c r="E43" s="642">
        <v>11223.697451067503</v>
      </c>
      <c r="F43" s="642">
        <v>2956.4717808733194</v>
      </c>
      <c r="G43" s="641">
        <v>1476.5298818254857</v>
      </c>
      <c r="H43" s="680">
        <v>270.73729571639001</v>
      </c>
      <c r="I43" s="642">
        <v>4359.9550084724378</v>
      </c>
      <c r="J43" s="661">
        <v>568.44066991010277</v>
      </c>
      <c r="K43" s="673">
        <v>2206.7034950097586</v>
      </c>
      <c r="L43" s="642">
        <v>19295.294678382634</v>
      </c>
      <c r="M43" s="672">
        <v>19893.605540163047</v>
      </c>
      <c r="N43" s="672">
        <v>24294.826655952253</v>
      </c>
      <c r="O43" s="314"/>
      <c r="P43" s="314"/>
    </row>
    <row r="44" spans="1:16" ht="20.25" customHeight="1">
      <c r="A44" s="1259"/>
      <c r="B44" s="1259"/>
      <c r="C44" s="1259"/>
      <c r="D44" s="1259"/>
      <c r="E44" s="1259"/>
      <c r="F44" s="1259"/>
      <c r="G44" s="1259"/>
      <c r="H44" s="1259"/>
      <c r="I44" s="1259"/>
      <c r="J44" s="1259"/>
      <c r="K44" s="1259"/>
      <c r="L44" s="1259"/>
      <c r="M44" s="1259"/>
      <c r="N44" s="219"/>
    </row>
    <row r="45" spans="1:16">
      <c r="C45" s="1621"/>
      <c r="D45" s="1621"/>
      <c r="E45" s="1621"/>
      <c r="F45" s="1621"/>
      <c r="G45" s="1621"/>
      <c r="H45" s="1621"/>
      <c r="I45" s="1621"/>
      <c r="J45" s="1621"/>
      <c r="K45" s="1621"/>
      <c r="L45" s="1621"/>
      <c r="M45" s="1621"/>
      <c r="N45" s="1621"/>
    </row>
    <row r="46" spans="1:16">
      <c r="B46" s="1262"/>
      <c r="C46" s="1621"/>
      <c r="D46" s="1621"/>
      <c r="E46" s="1621"/>
      <c r="F46" s="1621"/>
      <c r="G46" s="1621"/>
      <c r="H46" s="1621"/>
      <c r="I46" s="1621"/>
      <c r="J46" s="1621"/>
      <c r="K46" s="1621"/>
      <c r="L46" s="1621"/>
      <c r="M46" s="1621"/>
      <c r="N46" s="1621"/>
      <c r="P46" s="1622"/>
    </row>
    <row r="47" spans="1:16" ht="14.25">
      <c r="A47" s="318" t="s">
        <v>884</v>
      </c>
      <c r="B47" s="1262"/>
      <c r="C47" s="1262"/>
      <c r="D47" s="1262"/>
      <c r="E47" s="1262"/>
      <c r="F47" s="1262"/>
      <c r="G47" s="1262"/>
      <c r="H47" s="1262"/>
      <c r="I47" s="1262"/>
      <c r="J47" s="1262"/>
      <c r="K47" s="1262"/>
      <c r="L47" s="1262"/>
      <c r="M47" s="1262"/>
      <c r="N47" s="1262"/>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tabSelected="1" zoomScale="85" zoomScaleNormal="85" workbookViewId="0">
      <pane ySplit="12" topLeftCell="A27" activePane="bottomLeft" state="frozen"/>
      <selection activeCell="N29" sqref="N29"/>
      <selection pane="bottomLeft" activeCell="N29" sqref="N29"/>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885</v>
      </c>
      <c r="B1" s="1"/>
      <c r="C1" s="1"/>
      <c r="D1" s="1"/>
      <c r="E1" s="1"/>
      <c r="F1" s="1"/>
      <c r="G1" s="1"/>
      <c r="H1" s="1"/>
      <c r="I1" s="1"/>
      <c r="J1" s="1"/>
      <c r="K1" s="1"/>
      <c r="L1" s="1"/>
      <c r="M1" s="1"/>
      <c r="N1" s="1"/>
      <c r="O1" s="1"/>
      <c r="P1" s="1"/>
      <c r="Q1" s="1"/>
    </row>
    <row r="2" spans="1:22" ht="18" customHeight="1">
      <c r="A2" s="16" t="s">
        <v>826</v>
      </c>
      <c r="B2" s="1"/>
      <c r="C2" s="1"/>
      <c r="D2" s="1"/>
      <c r="E2" s="1"/>
      <c r="F2" s="1"/>
      <c r="G2" s="1"/>
      <c r="H2" s="1"/>
      <c r="I2" s="1"/>
      <c r="J2" s="1"/>
      <c r="K2" s="1"/>
      <c r="L2" s="1"/>
      <c r="M2" s="1"/>
      <c r="N2" s="1"/>
      <c r="O2" s="1"/>
      <c r="P2" s="1"/>
      <c r="Q2" s="1"/>
    </row>
    <row r="3" spans="1:22" ht="18" customHeight="1">
      <c r="A3" s="16" t="s">
        <v>827</v>
      </c>
      <c r="B3" s="1"/>
      <c r="C3" s="1"/>
      <c r="D3" s="1"/>
      <c r="E3" s="1"/>
      <c r="F3" s="1"/>
      <c r="G3" s="1"/>
      <c r="H3" s="1"/>
      <c r="I3" s="1"/>
      <c r="J3" s="1"/>
      <c r="K3" s="1"/>
      <c r="L3" s="1"/>
      <c r="M3" s="1"/>
      <c r="N3" s="1"/>
      <c r="O3" s="7"/>
      <c r="P3" s="1606"/>
      <c r="Q3" s="7"/>
    </row>
    <row r="4" spans="1:22" ht="18" customHeight="1">
      <c r="A4" s="1465" t="s">
        <v>43</v>
      </c>
      <c r="B4" s="1"/>
      <c r="C4" s="1"/>
      <c r="D4" s="1"/>
      <c r="E4" s="1"/>
      <c r="F4" s="1"/>
      <c r="G4" s="1"/>
      <c r="H4" s="1"/>
      <c r="I4" s="1"/>
      <c r="J4" s="1"/>
      <c r="K4" s="1"/>
      <c r="L4" s="1"/>
      <c r="M4" s="1"/>
      <c r="N4" s="1"/>
      <c r="O4" s="1"/>
      <c r="P4" s="1"/>
      <c r="Q4" s="1"/>
    </row>
    <row r="5" spans="1:22" ht="18" customHeight="1">
      <c r="A5" s="1465"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886</v>
      </c>
      <c r="D7" s="123"/>
      <c r="E7" s="123"/>
      <c r="F7" s="123"/>
      <c r="G7" s="123"/>
      <c r="H7" s="123"/>
      <c r="I7" s="1482"/>
      <c r="J7" s="1607"/>
      <c r="K7" s="1482"/>
      <c r="L7" s="1467" t="s">
        <v>887</v>
      </c>
      <c r="M7" s="45"/>
      <c r="N7" s="43"/>
      <c r="O7" s="1608"/>
      <c r="P7" s="100"/>
      <c r="Q7" s="81"/>
    </row>
    <row r="8" spans="1:22" s="39" customFormat="1" ht="18" customHeight="1">
      <c r="A8" s="62"/>
      <c r="B8" s="60"/>
      <c r="C8" s="97" t="s">
        <v>391</v>
      </c>
      <c r="D8" s="55"/>
      <c r="E8" s="57" t="s">
        <v>888</v>
      </c>
      <c r="F8" s="66"/>
      <c r="G8" s="116"/>
      <c r="H8" s="116"/>
      <c r="I8" s="66" t="s">
        <v>500</v>
      </c>
      <c r="J8" s="98"/>
      <c r="K8" s="729" t="s">
        <v>382</v>
      </c>
      <c r="L8" s="113"/>
      <c r="M8" s="55" t="s">
        <v>889</v>
      </c>
      <c r="N8" s="54"/>
      <c r="O8" s="60" t="s">
        <v>890</v>
      </c>
      <c r="P8" s="60"/>
      <c r="Q8" s="74"/>
    </row>
    <row r="9" spans="1:22" s="39" customFormat="1" ht="18" customHeight="1">
      <c r="A9" s="24" t="s">
        <v>379</v>
      </c>
      <c r="B9" s="74"/>
      <c r="C9" s="97" t="s">
        <v>832</v>
      </c>
      <c r="D9" s="60"/>
      <c r="E9" s="62" t="s">
        <v>460</v>
      </c>
      <c r="F9" s="54"/>
      <c r="G9" s="55" t="s">
        <v>564</v>
      </c>
      <c r="H9" s="54"/>
      <c r="I9" s="55" t="s">
        <v>891</v>
      </c>
      <c r="J9" s="54"/>
      <c r="K9" s="55" t="s">
        <v>393</v>
      </c>
      <c r="L9" s="54"/>
      <c r="M9" s="55" t="s">
        <v>892</v>
      </c>
      <c r="N9" s="54"/>
      <c r="O9" s="60" t="s">
        <v>893</v>
      </c>
      <c r="P9" s="55"/>
      <c r="Q9" s="54"/>
    </row>
    <row r="10" spans="1:22" s="39" customFormat="1" ht="18" customHeight="1">
      <c r="A10" s="82" t="s">
        <v>387</v>
      </c>
      <c r="B10" s="60"/>
      <c r="C10" s="289"/>
      <c r="E10" s="62" t="s">
        <v>465</v>
      </c>
      <c r="F10" s="54"/>
      <c r="G10" s="55" t="s">
        <v>474</v>
      </c>
      <c r="H10" s="54"/>
      <c r="I10" s="55" t="s">
        <v>894</v>
      </c>
      <c r="J10" s="54"/>
      <c r="K10" s="289"/>
      <c r="L10" s="54"/>
      <c r="M10" s="69"/>
      <c r="N10" s="51"/>
      <c r="O10" s="55"/>
      <c r="P10" s="55"/>
      <c r="Q10" s="58"/>
    </row>
    <row r="11" spans="1:22" s="96" customFormat="1" ht="18" customHeight="1">
      <c r="A11" s="142"/>
      <c r="C11" s="290" t="s">
        <v>473</v>
      </c>
      <c r="D11" s="291" t="s">
        <v>389</v>
      </c>
      <c r="E11" s="290" t="s">
        <v>473</v>
      </c>
      <c r="F11" s="291" t="s">
        <v>389</v>
      </c>
      <c r="G11" s="290" t="s">
        <v>473</v>
      </c>
      <c r="H11" s="291" t="s">
        <v>389</v>
      </c>
      <c r="I11" s="290" t="s">
        <v>473</v>
      </c>
      <c r="J11" s="291" t="s">
        <v>389</v>
      </c>
      <c r="K11" s="290" t="s">
        <v>473</v>
      </c>
      <c r="L11" s="291" t="s">
        <v>389</v>
      </c>
      <c r="M11" s="290" t="s">
        <v>473</v>
      </c>
      <c r="N11" s="291" t="s">
        <v>389</v>
      </c>
      <c r="O11" s="290" t="s">
        <v>473</v>
      </c>
      <c r="P11" s="291" t="s">
        <v>389</v>
      </c>
      <c r="Q11" s="64" t="s">
        <v>382</v>
      </c>
    </row>
    <row r="12" spans="1:22" s="39" customFormat="1" ht="18" customHeight="1">
      <c r="A12" s="47"/>
      <c r="B12" s="66"/>
      <c r="C12" s="67" t="s">
        <v>147</v>
      </c>
      <c r="D12" s="49" t="s">
        <v>477</v>
      </c>
      <c r="E12" s="52" t="s">
        <v>147</v>
      </c>
      <c r="F12" s="52" t="s">
        <v>477</v>
      </c>
      <c r="G12" s="52" t="s">
        <v>147</v>
      </c>
      <c r="H12" s="52" t="s">
        <v>477</v>
      </c>
      <c r="I12" s="52" t="s">
        <v>147</v>
      </c>
      <c r="J12" s="52" t="s">
        <v>477</v>
      </c>
      <c r="K12" s="52" t="s">
        <v>147</v>
      </c>
      <c r="L12" s="52" t="s">
        <v>477</v>
      </c>
      <c r="M12" s="52" t="s">
        <v>147</v>
      </c>
      <c r="N12" s="52" t="s">
        <v>477</v>
      </c>
      <c r="O12" s="52" t="s">
        <v>147</v>
      </c>
      <c r="P12" s="52" t="s">
        <v>477</v>
      </c>
      <c r="Q12" s="52" t="s">
        <v>393</v>
      </c>
    </row>
    <row r="13" spans="1:22" s="306" customFormat="1" ht="20.25" customHeight="1">
      <c r="A13" s="405">
        <v>2015</v>
      </c>
      <c r="B13" s="497"/>
      <c r="C13" s="673">
        <v>1875.161442519</v>
      </c>
      <c r="D13" s="673">
        <v>306.53147188399998</v>
      </c>
      <c r="E13" s="673">
        <v>2082.6586296790001</v>
      </c>
      <c r="F13" s="673">
        <v>536.90554462932596</v>
      </c>
      <c r="G13" s="673">
        <v>2355.4533119639755</v>
      </c>
      <c r="H13" s="728">
        <v>156.79135955699999</v>
      </c>
      <c r="I13" s="640">
        <v>2804.8387597850001</v>
      </c>
      <c r="J13" s="673">
        <v>1250.9776932089999</v>
      </c>
      <c r="K13" s="640">
        <v>9118.1621439469745</v>
      </c>
      <c r="L13" s="673">
        <v>2251.2060692793257</v>
      </c>
      <c r="M13" s="728">
        <v>152.737800349</v>
      </c>
      <c r="N13" s="659">
        <v>4829.9228227470003</v>
      </c>
      <c r="O13" s="659">
        <v>9270.8599442959749</v>
      </c>
      <c r="P13" s="659">
        <v>7081.128892026326</v>
      </c>
      <c r="Q13" s="659">
        <v>16351.978836322302</v>
      </c>
      <c r="R13" s="969"/>
      <c r="S13" s="969"/>
      <c r="T13" s="969"/>
      <c r="U13" s="969"/>
      <c r="V13" s="969"/>
    </row>
    <row r="14" spans="1:22" s="408" customFormat="1" ht="14.25" customHeight="1">
      <c r="A14" s="356">
        <v>2016</v>
      </c>
      <c r="B14" s="551"/>
      <c r="C14" s="1609">
        <v>1734.142964876</v>
      </c>
      <c r="D14" s="1609">
        <v>349.06723079162003</v>
      </c>
      <c r="E14" s="1609">
        <v>2112.6628274092805</v>
      </c>
      <c r="F14" s="1609">
        <v>597.10949538165301</v>
      </c>
      <c r="G14" s="1609">
        <v>2443.0408250405699</v>
      </c>
      <c r="H14" s="1610">
        <v>183.88579675749</v>
      </c>
      <c r="I14" s="1611">
        <v>2655.55625926019</v>
      </c>
      <c r="J14" s="1609">
        <v>1405.9222395999436</v>
      </c>
      <c r="K14" s="1611">
        <v>8945.4228765860389</v>
      </c>
      <c r="L14" s="1609">
        <v>2536.0047625307066</v>
      </c>
      <c r="M14" s="1610">
        <v>158.0261041832</v>
      </c>
      <c r="N14" s="1612">
        <v>4928.5634138900705</v>
      </c>
      <c r="O14" s="1612">
        <v>9103.4489807692389</v>
      </c>
      <c r="P14" s="1612">
        <v>7464.5681764207766</v>
      </c>
      <c r="Q14" s="1612">
        <v>16568.017157190017</v>
      </c>
      <c r="R14" s="969"/>
      <c r="S14" s="969"/>
      <c r="T14" s="969"/>
      <c r="U14" s="969"/>
      <c r="V14" s="969"/>
    </row>
    <row r="15" spans="1:22" s="408" customFormat="1" ht="14.25" customHeight="1">
      <c r="A15" s="356">
        <v>2017</v>
      </c>
      <c r="B15" s="551"/>
      <c r="C15" s="1609">
        <v>1873.5126267530002</v>
      </c>
      <c r="D15" s="1609">
        <v>388.50149476017998</v>
      </c>
      <c r="E15" s="1609">
        <v>2109.1848787094</v>
      </c>
      <c r="F15" s="1609">
        <v>651.58369440714034</v>
      </c>
      <c r="G15" s="1609">
        <v>2686.2582454800004</v>
      </c>
      <c r="H15" s="1610">
        <v>213.733196757</v>
      </c>
      <c r="I15" s="1611">
        <v>2485.6447802201496</v>
      </c>
      <c r="J15" s="1609">
        <v>1575.3895392561806</v>
      </c>
      <c r="K15" s="1611">
        <v>9154.6105311625506</v>
      </c>
      <c r="L15" s="1609">
        <v>2829.2279251805007</v>
      </c>
      <c r="M15" s="1610">
        <v>172.2957792652</v>
      </c>
      <c r="N15" s="1612">
        <v>4827.4509329550283</v>
      </c>
      <c r="O15" s="1612">
        <v>9326.9063104277502</v>
      </c>
      <c r="P15" s="1612">
        <v>7656.6788581355286</v>
      </c>
      <c r="Q15" s="1612">
        <v>16983.585168563281</v>
      </c>
      <c r="R15" s="969"/>
      <c r="S15" s="969"/>
      <c r="T15" s="969"/>
      <c r="U15" s="969"/>
      <c r="V15" s="969"/>
    </row>
    <row r="16" spans="1:22" s="321" customFormat="1" ht="14.25" customHeight="1">
      <c r="A16" s="747">
        <v>2018</v>
      </c>
      <c r="B16" s="748"/>
      <c r="C16" s="1128">
        <v>1670.3438548220001</v>
      </c>
      <c r="D16" s="1129">
        <v>473.27821834067993</v>
      </c>
      <c r="E16" s="1129">
        <v>2084.554275351491</v>
      </c>
      <c r="F16" s="1130">
        <v>692.10404184690083</v>
      </c>
      <c r="G16" s="1129">
        <v>2656.865832588725</v>
      </c>
      <c r="H16" s="1131">
        <v>194.90013226300005</v>
      </c>
      <c r="I16" s="798">
        <v>2587.4378642021297</v>
      </c>
      <c r="J16" s="1129">
        <v>1728.5655564380922</v>
      </c>
      <c r="K16" s="798">
        <v>8999.2318269643474</v>
      </c>
      <c r="L16" s="1129">
        <v>3088.8579488886735</v>
      </c>
      <c r="M16" s="1131">
        <v>199.76937123637001</v>
      </c>
      <c r="N16" s="1132">
        <v>5565.815441740473</v>
      </c>
      <c r="O16" s="1133">
        <v>9199.0011982007181</v>
      </c>
      <c r="P16" s="1133">
        <v>8654.6633906291463</v>
      </c>
      <c r="Q16" s="1133">
        <v>17853.664588829866</v>
      </c>
      <c r="R16" s="969"/>
      <c r="S16" s="969"/>
      <c r="T16" s="969"/>
      <c r="U16" s="969"/>
      <c r="V16" s="969"/>
    </row>
    <row r="17" spans="1:22" s="321" customFormat="1" ht="14.25" customHeight="1">
      <c r="A17" s="747">
        <v>2019</v>
      </c>
      <c r="B17" s="748"/>
      <c r="C17" s="1128">
        <v>1528.4576270324592</v>
      </c>
      <c r="D17" s="1129">
        <v>548.92113893707221</v>
      </c>
      <c r="E17" s="1129">
        <v>2002.2312100160302</v>
      </c>
      <c r="F17" s="1130">
        <v>769.75721012214944</v>
      </c>
      <c r="G17" s="1129">
        <v>2994.3736428950551</v>
      </c>
      <c r="H17" s="1131">
        <v>190.40987051099989</v>
      </c>
      <c r="I17" s="798">
        <v>3174.9056168485436</v>
      </c>
      <c r="J17" s="1129">
        <v>1923.5262195618529</v>
      </c>
      <c r="K17" s="798">
        <v>9699.9610967920889</v>
      </c>
      <c r="L17" s="1129">
        <v>3432.6044391320747</v>
      </c>
      <c r="M17" s="1131">
        <v>210.41152702788196</v>
      </c>
      <c r="N17" s="1132">
        <v>4621.4441194674582</v>
      </c>
      <c r="O17" s="1133">
        <v>9910.3526238199702</v>
      </c>
      <c r="P17" s="1133">
        <v>8054.048558599533</v>
      </c>
      <c r="Q17" s="1133">
        <v>17964.401182419504</v>
      </c>
      <c r="R17" s="969"/>
      <c r="S17" s="969"/>
      <c r="T17" s="969"/>
      <c r="U17" s="969"/>
      <c r="V17" s="969"/>
    </row>
    <row r="18" spans="1:22" s="321" customFormat="1" ht="14.25" customHeight="1">
      <c r="A18" s="747">
        <v>2020</v>
      </c>
      <c r="B18" s="748"/>
      <c r="C18" s="1128">
        <v>1371.1594042623201</v>
      </c>
      <c r="D18" s="1129">
        <v>350.32315047173523</v>
      </c>
      <c r="E18" s="1129">
        <v>2221.5303436846725</v>
      </c>
      <c r="F18" s="1130">
        <v>864.30687706458662</v>
      </c>
      <c r="G18" s="1129">
        <v>3465.3917262776149</v>
      </c>
      <c r="H18" s="1131">
        <v>224.17378127638972</v>
      </c>
      <c r="I18" s="798">
        <v>3387.924286367846</v>
      </c>
      <c r="J18" s="1129">
        <v>1668.6276453242949</v>
      </c>
      <c r="K18" s="798">
        <v>10446.005760592454</v>
      </c>
      <c r="L18" s="1129">
        <v>3107.401454137007</v>
      </c>
      <c r="M18" s="1131">
        <v>331.57058985018591</v>
      </c>
      <c r="N18" s="1132">
        <v>3023.2817317133336</v>
      </c>
      <c r="O18" s="1133">
        <v>10777.57635044264</v>
      </c>
      <c r="P18" s="1133">
        <v>6130.683185850341</v>
      </c>
      <c r="Q18" s="1133">
        <v>16908.259536292979</v>
      </c>
      <c r="R18" s="969"/>
      <c r="S18" s="969"/>
      <c r="T18" s="969"/>
      <c r="U18" s="969"/>
      <c r="V18" s="969"/>
    </row>
    <row r="19" spans="1:22" s="321" customFormat="1" ht="14.25" customHeight="1">
      <c r="A19" s="747">
        <v>2021</v>
      </c>
      <c r="B19" s="748"/>
      <c r="C19" s="1128">
        <v>1242.3510356632999</v>
      </c>
      <c r="D19" s="1129">
        <v>403.67317463105587</v>
      </c>
      <c r="E19" s="1129">
        <v>2593.4309212471908</v>
      </c>
      <c r="F19" s="1130">
        <v>1117.2719011458805</v>
      </c>
      <c r="G19" s="1129">
        <v>3581.4783445151256</v>
      </c>
      <c r="H19" s="1131">
        <v>238.93553182373512</v>
      </c>
      <c r="I19" s="798">
        <v>3400.5429511465377</v>
      </c>
      <c r="J19" s="1129">
        <v>1544.9969184114802</v>
      </c>
      <c r="K19" s="798">
        <v>10817.804707164825</v>
      </c>
      <c r="L19" s="1129">
        <v>3304.877526012152</v>
      </c>
      <c r="M19" s="1131">
        <v>391.01793156305098</v>
      </c>
      <c r="N19" s="1132">
        <v>4190.5017962952907</v>
      </c>
      <c r="O19" s="1133">
        <v>11208.822638727876</v>
      </c>
      <c r="P19" s="1133">
        <v>7495.3793223074426</v>
      </c>
      <c r="Q19" s="1133">
        <v>18704.20196103532</v>
      </c>
      <c r="R19" s="969"/>
      <c r="S19" s="969"/>
      <c r="T19" s="969"/>
      <c r="U19" s="969"/>
      <c r="V19" s="969"/>
    </row>
    <row r="20" spans="1:22" s="321" customFormat="1" ht="14.25" customHeight="1">
      <c r="A20" s="747">
        <v>2022</v>
      </c>
      <c r="B20" s="748"/>
      <c r="C20" s="1128">
        <v>1373.4783701469401</v>
      </c>
      <c r="D20" s="1129">
        <v>427.60438581364394</v>
      </c>
      <c r="E20" s="1129">
        <v>2409.9319426433749</v>
      </c>
      <c r="F20" s="1130">
        <v>684.24289660123202</v>
      </c>
      <c r="G20" s="1129">
        <v>3350.0400338968925</v>
      </c>
      <c r="H20" s="1131">
        <v>199.36483966376352</v>
      </c>
      <c r="I20" s="798">
        <v>4043.4651426944056</v>
      </c>
      <c r="J20" s="1129">
        <v>2134.3543923512498</v>
      </c>
      <c r="K20" s="798">
        <v>11176.915489381612</v>
      </c>
      <c r="L20" s="1129">
        <v>3445.5665144298891</v>
      </c>
      <c r="M20" s="1131">
        <v>179.09739111790901</v>
      </c>
      <c r="N20" s="1132">
        <v>4202.1257780628021</v>
      </c>
      <c r="O20" s="1133">
        <v>11356.012880499522</v>
      </c>
      <c r="P20" s="1133">
        <v>7647.6922924926912</v>
      </c>
      <c r="Q20" s="1133">
        <v>19003.705172992213</v>
      </c>
      <c r="R20" s="969"/>
      <c r="S20" s="969"/>
      <c r="T20" s="969"/>
      <c r="U20" s="969"/>
      <c r="V20" s="969"/>
    </row>
    <row r="21" spans="1:22" s="321" customFormat="1" ht="14.25" customHeight="1">
      <c r="A21" s="747">
        <v>2023</v>
      </c>
      <c r="B21" s="748"/>
      <c r="C21" s="1128">
        <f t="shared" ref="C21:J21" si="0">C23</f>
        <v>1429.7477143412302</v>
      </c>
      <c r="D21" s="1129">
        <f t="shared" si="0"/>
        <v>569.77437376081923</v>
      </c>
      <c r="E21" s="1129">
        <f t="shared" si="0"/>
        <v>2235.9304739516965</v>
      </c>
      <c r="F21" s="1130">
        <f t="shared" si="0"/>
        <v>645.21403364002094</v>
      </c>
      <c r="G21" s="1129">
        <f t="shared" si="0"/>
        <v>3164.7782096244364</v>
      </c>
      <c r="H21" s="1131">
        <f t="shared" si="0"/>
        <v>180.01593044440398</v>
      </c>
      <c r="I21" s="798">
        <f t="shared" si="0"/>
        <v>4853.7568155189847</v>
      </c>
      <c r="J21" s="1129">
        <f t="shared" si="0"/>
        <v>2352.3807105044953</v>
      </c>
      <c r="K21" s="798">
        <f>C21+E21+G21+I21</f>
        <v>11684.213213436349</v>
      </c>
      <c r="L21" s="1129">
        <f>D21+F21+H21+J21</f>
        <v>3747.385048349739</v>
      </c>
      <c r="M21" s="1131">
        <f>M23</f>
        <v>235.55873632494399</v>
      </c>
      <c r="N21" s="1132">
        <f>N23</f>
        <v>4537.4253095855202</v>
      </c>
      <c r="O21" s="1133">
        <f>O23</f>
        <v>11919.76194976129</v>
      </c>
      <c r="P21" s="1133">
        <f>P23</f>
        <v>8284.8103579352592</v>
      </c>
      <c r="Q21" s="1133">
        <f>Q23</f>
        <v>20204.572307696551</v>
      </c>
      <c r="R21" s="969"/>
      <c r="S21" s="969"/>
      <c r="T21" s="969"/>
      <c r="U21" s="969"/>
      <c r="V21" s="969"/>
    </row>
    <row r="22" spans="1:22" s="321" customFormat="1" ht="14.25" customHeight="1">
      <c r="A22" s="907">
        <v>2024</v>
      </c>
      <c r="B22" s="999"/>
      <c r="C22" s="1037">
        <f t="shared" ref="C22:J22" si="1">C27</f>
        <v>1589.5339450071672</v>
      </c>
      <c r="D22" s="1038">
        <f t="shared" si="1"/>
        <v>718.50799314713436</v>
      </c>
      <c r="E22" s="1038">
        <f t="shared" si="1"/>
        <v>2273.8414924234926</v>
      </c>
      <c r="F22" s="1039">
        <f t="shared" si="1"/>
        <v>574.51409144035335</v>
      </c>
      <c r="G22" s="1038">
        <f t="shared" si="1"/>
        <v>3214.3675470957446</v>
      </c>
      <c r="H22" s="1040">
        <f t="shared" si="1"/>
        <v>175.58227660369414</v>
      </c>
      <c r="I22" s="1031">
        <f t="shared" si="1"/>
        <v>5053.0555891987487</v>
      </c>
      <c r="J22" s="1038">
        <f t="shared" si="1"/>
        <v>2080.3916849465149</v>
      </c>
      <c r="K22" s="1031">
        <f>C22+E22+G22+I22</f>
        <v>12130.798573725155</v>
      </c>
      <c r="L22" s="1038">
        <f>D22+F22+H22+J22</f>
        <v>3548.9960461376968</v>
      </c>
      <c r="M22" s="1040">
        <f>M27</f>
        <v>343.08991306068793</v>
      </c>
      <c r="N22" s="1041">
        <f>N27</f>
        <v>4547.426484782296</v>
      </c>
      <c r="O22" s="1042">
        <f>O27</f>
        <v>12473.908486785842</v>
      </c>
      <c r="P22" s="1042">
        <f>P27</f>
        <v>8096.4225309199928</v>
      </c>
      <c r="Q22" s="1042">
        <f>Q27</f>
        <v>20570.331017705834</v>
      </c>
      <c r="R22" s="969"/>
      <c r="S22" s="969"/>
      <c r="T22" s="969"/>
      <c r="U22" s="969"/>
      <c r="V22" s="969"/>
    </row>
    <row r="23" spans="1:22" s="321" customFormat="1" ht="21" customHeight="1">
      <c r="A23" s="747">
        <v>2023</v>
      </c>
      <c r="B23" s="748" t="s">
        <v>238</v>
      </c>
      <c r="C23" s="1128">
        <v>1429.7477143412302</v>
      </c>
      <c r="D23" s="1129">
        <v>569.77437376081923</v>
      </c>
      <c r="E23" s="1129">
        <v>2235.9304739516965</v>
      </c>
      <c r="F23" s="1130">
        <v>645.21403364002094</v>
      </c>
      <c r="G23" s="1129">
        <v>3164.7782096244364</v>
      </c>
      <c r="H23" s="1131">
        <v>180.01593044440398</v>
      </c>
      <c r="I23" s="798">
        <v>4853.7568155189847</v>
      </c>
      <c r="J23" s="1129">
        <v>2352.3807105044953</v>
      </c>
      <c r="K23" s="798">
        <v>11684.213213436347</v>
      </c>
      <c r="L23" s="1129">
        <v>3747.3850483497395</v>
      </c>
      <c r="M23" s="1131">
        <v>235.55873632494399</v>
      </c>
      <c r="N23" s="1132">
        <v>4537.4253095855202</v>
      </c>
      <c r="O23" s="1133">
        <v>11919.76194976129</v>
      </c>
      <c r="P23" s="1133">
        <v>8284.8103579352592</v>
      </c>
      <c r="Q23" s="1133">
        <v>20204.572307696551</v>
      </c>
      <c r="R23" s="969"/>
      <c r="S23" s="969"/>
      <c r="T23" s="969"/>
      <c r="U23" s="969"/>
      <c r="V23" s="969"/>
    </row>
    <row r="24" spans="1:22" s="321" customFormat="1" ht="21" customHeight="1">
      <c r="A24" s="747">
        <v>2024</v>
      </c>
      <c r="B24" s="748" t="s">
        <v>239</v>
      </c>
      <c r="C24" s="1128">
        <v>1307.4270987722698</v>
      </c>
      <c r="D24" s="1129">
        <v>502.48823873763854</v>
      </c>
      <c r="E24" s="1129">
        <v>2217.4157325273936</v>
      </c>
      <c r="F24" s="1130">
        <v>633.97172804336242</v>
      </c>
      <c r="G24" s="1129">
        <v>3181.5277756807495</v>
      </c>
      <c r="H24" s="1131">
        <v>157.1117461747825</v>
      </c>
      <c r="I24" s="640">
        <v>4900.1754974289806</v>
      </c>
      <c r="J24" s="673">
        <v>2181.301082709208</v>
      </c>
      <c r="K24" s="798">
        <v>11606.546104409394</v>
      </c>
      <c r="L24" s="1129">
        <v>3474.8727956649918</v>
      </c>
      <c r="M24" s="1131">
        <v>248.36065278269203</v>
      </c>
      <c r="N24" s="1132">
        <v>4899.031442430658</v>
      </c>
      <c r="O24" s="1133">
        <v>11854.886757192085</v>
      </c>
      <c r="P24" s="1132">
        <v>8373.9042380956489</v>
      </c>
      <c r="Q24" s="1133">
        <v>20228.790995287738</v>
      </c>
      <c r="R24" s="969"/>
      <c r="S24" s="969"/>
      <c r="T24" s="969"/>
      <c r="U24" s="969"/>
      <c r="V24" s="969"/>
    </row>
    <row r="25" spans="1:22" s="321" customFormat="1" ht="15" customHeight="1">
      <c r="A25" s="747"/>
      <c r="B25" s="748" t="s">
        <v>240</v>
      </c>
      <c r="C25" s="1128">
        <v>1392.510297024</v>
      </c>
      <c r="D25" s="1129">
        <v>643.03764930711395</v>
      </c>
      <c r="E25" s="1129">
        <v>2177.3013817390265</v>
      </c>
      <c r="F25" s="1130">
        <v>742.18667090382473</v>
      </c>
      <c r="G25" s="1129">
        <v>3190.7750974028822</v>
      </c>
      <c r="H25" s="1131">
        <v>155.07269141205967</v>
      </c>
      <c r="I25" s="798">
        <v>5134.2441584733879</v>
      </c>
      <c r="J25" s="1129">
        <v>2028.3694143964901</v>
      </c>
      <c r="K25" s="798">
        <v>11894.840934639296</v>
      </c>
      <c r="L25" s="1129">
        <v>3568.6764260194886</v>
      </c>
      <c r="M25" s="1131">
        <v>227.57734005926702</v>
      </c>
      <c r="N25" s="1132">
        <v>4575.8096869108622</v>
      </c>
      <c r="O25" s="1133">
        <v>12122.418274698563</v>
      </c>
      <c r="P25" s="1132">
        <v>8144.4861129303508</v>
      </c>
      <c r="Q25" s="1133">
        <v>20266.904387628914</v>
      </c>
      <c r="R25" s="969"/>
      <c r="S25" s="969"/>
      <c r="T25" s="969"/>
      <c r="U25" s="969"/>
      <c r="V25" s="969"/>
    </row>
    <row r="26" spans="1:22" s="321" customFormat="1" ht="15" customHeight="1">
      <c r="A26" s="747"/>
      <c r="B26" s="748" t="s">
        <v>237</v>
      </c>
      <c r="C26" s="1128">
        <v>1648.4055013430002</v>
      </c>
      <c r="D26" s="1129">
        <v>729.93451244423102</v>
      </c>
      <c r="E26" s="1129">
        <v>2226.6150613454824</v>
      </c>
      <c r="F26" s="1130">
        <v>699.93760696272386</v>
      </c>
      <c r="G26" s="1129">
        <v>3223.3553502862151</v>
      </c>
      <c r="H26" s="1131">
        <v>149.15248970131472</v>
      </c>
      <c r="I26" s="798">
        <v>5114.7050557666635</v>
      </c>
      <c r="J26" s="1129">
        <v>2282.3879646332607</v>
      </c>
      <c r="K26" s="798">
        <v>12213.06096874136</v>
      </c>
      <c r="L26" s="1129">
        <v>3861.4125737415302</v>
      </c>
      <c r="M26" s="1131">
        <v>250.98711350764802</v>
      </c>
      <c r="N26" s="1132">
        <v>4798.915650237619</v>
      </c>
      <c r="O26" s="1133">
        <v>12464.058082249008</v>
      </c>
      <c r="P26" s="1132">
        <v>8660.3282239791497</v>
      </c>
      <c r="Q26" s="1133">
        <v>21124.376306228158</v>
      </c>
      <c r="R26" s="969"/>
      <c r="S26" s="969"/>
      <c r="T26" s="969"/>
      <c r="U26" s="969"/>
      <c r="V26" s="969"/>
    </row>
    <row r="27" spans="1:22" s="321" customFormat="1" ht="15" customHeight="1">
      <c r="A27" s="747"/>
      <c r="B27" s="748" t="s">
        <v>238</v>
      </c>
      <c r="C27" s="1128">
        <v>1589.5339450071672</v>
      </c>
      <c r="D27" s="1129">
        <v>718.50799314713436</v>
      </c>
      <c r="E27" s="1129">
        <v>2273.8414924234926</v>
      </c>
      <c r="F27" s="1130">
        <v>574.51409144035335</v>
      </c>
      <c r="G27" s="1129">
        <v>3214.3675470957446</v>
      </c>
      <c r="H27" s="1131">
        <v>175.58227660369414</v>
      </c>
      <c r="I27" s="798">
        <v>5053.0555891987487</v>
      </c>
      <c r="J27" s="1129">
        <v>2080.3916849465149</v>
      </c>
      <c r="K27" s="798">
        <v>12130.818573725153</v>
      </c>
      <c r="L27" s="1129">
        <v>3548.9960461376968</v>
      </c>
      <c r="M27" s="1131">
        <v>343.08991306068793</v>
      </c>
      <c r="N27" s="1132">
        <v>4547.426484782296</v>
      </c>
      <c r="O27" s="1133">
        <v>12473.908486785842</v>
      </c>
      <c r="P27" s="1132">
        <v>8096.4225309199928</v>
      </c>
      <c r="Q27" s="1133">
        <v>20570.331017705834</v>
      </c>
      <c r="R27" s="969"/>
      <c r="S27" s="969"/>
      <c r="T27" s="969"/>
      <c r="U27" s="969"/>
      <c r="V27" s="969"/>
    </row>
    <row r="28" spans="1:22" s="321" customFormat="1" ht="21" customHeight="1">
      <c r="A28" s="747">
        <v>2025</v>
      </c>
      <c r="B28" s="748" t="s">
        <v>239</v>
      </c>
      <c r="C28" s="1128">
        <f t="shared" ref="C28:Q28" si="2">C36</f>
        <v>1574.3957860380001</v>
      </c>
      <c r="D28" s="1129">
        <f t="shared" si="2"/>
        <v>788.78924393933835</v>
      </c>
      <c r="E28" s="1129">
        <f t="shared" si="2"/>
        <v>2357.7699401109357</v>
      </c>
      <c r="F28" s="1130">
        <f t="shared" si="2"/>
        <v>643.12044753968735</v>
      </c>
      <c r="G28" s="1129">
        <f t="shared" si="2"/>
        <v>3323.9957136323433</v>
      </c>
      <c r="H28" s="1131">
        <f t="shared" si="2"/>
        <v>158.04323546256381</v>
      </c>
      <c r="I28" s="798">
        <f t="shared" si="2"/>
        <v>5001.4259307285083</v>
      </c>
      <c r="J28" s="1129">
        <f t="shared" si="2"/>
        <v>1983.9563944279416</v>
      </c>
      <c r="K28" s="798">
        <f t="shared" si="2"/>
        <v>12257.587370509787</v>
      </c>
      <c r="L28" s="1129">
        <f t="shared" si="2"/>
        <v>3573.8893213695319</v>
      </c>
      <c r="M28" s="1131">
        <f t="shared" si="2"/>
        <v>292.86968200870615</v>
      </c>
      <c r="N28" s="1132">
        <f t="shared" si="2"/>
        <v>4804.5315102207478</v>
      </c>
      <c r="O28" s="1133">
        <f t="shared" si="2"/>
        <v>12550.457052518494</v>
      </c>
      <c r="P28" s="1132">
        <f t="shared" si="2"/>
        <v>8378.4208315902797</v>
      </c>
      <c r="Q28" s="1133">
        <f t="shared" si="2"/>
        <v>20928.877884108773</v>
      </c>
      <c r="R28" s="969"/>
      <c r="S28" s="969"/>
      <c r="T28" s="969"/>
      <c r="U28" s="969"/>
      <c r="V28" s="969"/>
    </row>
    <row r="29" spans="1:22" s="321" customFormat="1" ht="15" customHeight="1">
      <c r="A29" s="747"/>
      <c r="B29" s="748" t="s">
        <v>240</v>
      </c>
      <c r="C29" s="1128">
        <f t="shared" ref="C29:Q29" si="3">C39</f>
        <v>1659.4194860290002</v>
      </c>
      <c r="D29" s="1129">
        <f t="shared" si="3"/>
        <v>619.82311523326302</v>
      </c>
      <c r="E29" s="1129">
        <f t="shared" si="3"/>
        <v>2338.3777050926492</v>
      </c>
      <c r="F29" s="1130">
        <f t="shared" si="3"/>
        <v>536.82612549011856</v>
      </c>
      <c r="G29" s="1129">
        <f t="shared" si="3"/>
        <v>3348.2302511828093</v>
      </c>
      <c r="H29" s="1131">
        <f t="shared" si="3"/>
        <v>138.25438350038075</v>
      </c>
      <c r="I29" s="798">
        <f t="shared" si="3"/>
        <v>5189.6615024364401</v>
      </c>
      <c r="J29" s="1129">
        <f t="shared" si="3"/>
        <v>1952.9314672289056</v>
      </c>
      <c r="K29" s="798">
        <f t="shared" si="3"/>
        <v>12535.7189447409</v>
      </c>
      <c r="L29" s="1129">
        <f t="shared" si="3"/>
        <v>3247.8350914526682</v>
      </c>
      <c r="M29" s="1131">
        <f t="shared" si="3"/>
        <v>309.95981781017713</v>
      </c>
      <c r="N29" s="1132">
        <f t="shared" si="3"/>
        <v>3737.5295858911104</v>
      </c>
      <c r="O29" s="1133">
        <f t="shared" si="3"/>
        <v>12845.678762551077</v>
      </c>
      <c r="P29" s="1132">
        <f t="shared" si="3"/>
        <v>6985.3446773437781</v>
      </c>
      <c r="Q29" s="1133">
        <f t="shared" si="3"/>
        <v>19831.043439894856</v>
      </c>
      <c r="R29" s="969"/>
      <c r="S29" s="969"/>
      <c r="T29" s="969"/>
      <c r="U29" s="969"/>
      <c r="V29" s="969"/>
    </row>
    <row r="30" spans="1:22" s="321" customFormat="1" ht="15" customHeight="1">
      <c r="A30" s="907"/>
      <c r="B30" s="999" t="s">
        <v>237</v>
      </c>
      <c r="C30" s="1037">
        <f t="shared" ref="C30:Q30" si="4">C42</f>
        <v>1628.7898424943228</v>
      </c>
      <c r="D30" s="1038">
        <f t="shared" si="4"/>
        <v>569.96856898412329</v>
      </c>
      <c r="E30" s="1038">
        <f t="shared" si="4"/>
        <v>2339.3025918100006</v>
      </c>
      <c r="F30" s="1039">
        <f t="shared" si="4"/>
        <v>530.71449316675614</v>
      </c>
      <c r="G30" s="1038">
        <f t="shared" si="4"/>
        <v>3298.3917840363119</v>
      </c>
      <c r="H30" s="1040">
        <f t="shared" si="4"/>
        <v>150.30248787393566</v>
      </c>
      <c r="I30" s="1031">
        <f t="shared" si="4"/>
        <v>5161.4212508683213</v>
      </c>
      <c r="J30" s="1038">
        <f t="shared" si="4"/>
        <v>2098.3270684671406</v>
      </c>
      <c r="K30" s="1031">
        <f t="shared" si="4"/>
        <v>12427.905469208958</v>
      </c>
      <c r="L30" s="1038">
        <f t="shared" si="4"/>
        <v>3349.3126184919561</v>
      </c>
      <c r="M30" s="1040">
        <f t="shared" si="4"/>
        <v>290.11841800666406</v>
      </c>
      <c r="N30" s="1041">
        <f t="shared" si="4"/>
        <v>4494.1339409597613</v>
      </c>
      <c r="O30" s="1042">
        <f t="shared" si="4"/>
        <v>12718.023887215622</v>
      </c>
      <c r="P30" s="1041">
        <f t="shared" si="4"/>
        <v>7843.4465594517169</v>
      </c>
      <c r="Q30" s="1042">
        <f t="shared" si="4"/>
        <v>20561.44044666734</v>
      </c>
      <c r="R30" s="969"/>
      <c r="S30" s="969"/>
      <c r="T30" s="969"/>
      <c r="U30" s="969"/>
      <c r="V30" s="969"/>
    </row>
    <row r="31" spans="1:22" s="306" customFormat="1" ht="21" customHeight="1">
      <c r="A31" s="405">
        <v>2024</v>
      </c>
      <c r="B31" s="497" t="s">
        <v>412</v>
      </c>
      <c r="C31" s="795">
        <v>1641.8557940539999</v>
      </c>
      <c r="D31" s="673">
        <v>761.23836128335324</v>
      </c>
      <c r="E31" s="673">
        <v>2200.514264792293</v>
      </c>
      <c r="F31" s="678">
        <v>631.7619605423406</v>
      </c>
      <c r="G31" s="673">
        <v>3236.2802351463265</v>
      </c>
      <c r="H31" s="728">
        <v>158.92599037480278</v>
      </c>
      <c r="I31" s="640">
        <v>5147.6368924071494</v>
      </c>
      <c r="J31" s="673">
        <v>2128.9798983250189</v>
      </c>
      <c r="K31" s="640">
        <v>12226.267186399768</v>
      </c>
      <c r="L31" s="673">
        <v>3680.9362105255159</v>
      </c>
      <c r="M31" s="728">
        <v>271.09097207783543</v>
      </c>
      <c r="N31" s="659">
        <v>4274.59154775363</v>
      </c>
      <c r="O31" s="643">
        <v>12497.358158477604</v>
      </c>
      <c r="P31" s="643">
        <v>7955.5277582791459</v>
      </c>
      <c r="Q31" s="659">
        <v>20452.88591675675</v>
      </c>
      <c r="R31" s="969"/>
      <c r="S31" s="969"/>
      <c r="T31" s="969"/>
      <c r="U31" s="969"/>
      <c r="V31" s="969"/>
    </row>
    <row r="32" spans="1:22" s="306" customFormat="1" ht="16.5" customHeight="1">
      <c r="A32" s="405"/>
      <c r="B32" s="497" t="s">
        <v>413</v>
      </c>
      <c r="C32" s="795">
        <v>1544.4969961319998</v>
      </c>
      <c r="D32" s="673">
        <v>668.94077703825701</v>
      </c>
      <c r="E32" s="673">
        <v>2232.9198103382655</v>
      </c>
      <c r="F32" s="678">
        <v>599.05634530077737</v>
      </c>
      <c r="G32" s="673">
        <v>3230.874114125927</v>
      </c>
      <c r="H32" s="728">
        <v>158.90733446310767</v>
      </c>
      <c r="I32" s="640">
        <v>5125.1466706929677</v>
      </c>
      <c r="J32" s="673">
        <v>2153.3947773987952</v>
      </c>
      <c r="K32" s="640">
        <v>12133.437591289159</v>
      </c>
      <c r="L32" s="673">
        <v>3580.299234200937</v>
      </c>
      <c r="M32" s="728">
        <v>273.30663968283744</v>
      </c>
      <c r="N32" s="659">
        <v>4330.9112927581127</v>
      </c>
      <c r="O32" s="643">
        <v>12406.744230971997</v>
      </c>
      <c r="P32" s="643">
        <v>7911.2105269590502</v>
      </c>
      <c r="Q32" s="659">
        <v>20317.944757931047</v>
      </c>
      <c r="R32" s="969"/>
      <c r="S32" s="969"/>
      <c r="T32" s="969"/>
      <c r="U32" s="969"/>
      <c r="V32" s="969"/>
    </row>
    <row r="33" spans="1:22" s="306" customFormat="1" ht="16.5" customHeight="1">
      <c r="A33" s="405"/>
      <c r="B33" s="497" t="s">
        <v>414</v>
      </c>
      <c r="C33" s="795">
        <v>1589.5339450071672</v>
      </c>
      <c r="D33" s="673">
        <v>718.50799314713436</v>
      </c>
      <c r="E33" s="673">
        <v>2273.8414924234926</v>
      </c>
      <c r="F33" s="678">
        <v>574.51409144035335</v>
      </c>
      <c r="G33" s="673">
        <v>3214.3675470957446</v>
      </c>
      <c r="H33" s="728">
        <v>175.58227660369414</v>
      </c>
      <c r="I33" s="640">
        <v>5053.0555891987487</v>
      </c>
      <c r="J33" s="673">
        <v>2080.3916849465149</v>
      </c>
      <c r="K33" s="640">
        <v>12130.818573725153</v>
      </c>
      <c r="L33" s="673">
        <v>3548.9960461376968</v>
      </c>
      <c r="M33" s="728">
        <v>343.08991306068793</v>
      </c>
      <c r="N33" s="659">
        <v>4547.426484782296</v>
      </c>
      <c r="O33" s="643">
        <v>12473.908486785842</v>
      </c>
      <c r="P33" s="643">
        <v>8096.4225309199928</v>
      </c>
      <c r="Q33" s="659">
        <v>20570.331017705834</v>
      </c>
      <c r="R33" s="969"/>
      <c r="S33" s="969"/>
      <c r="T33" s="969"/>
      <c r="U33" s="969"/>
      <c r="V33" s="969"/>
    </row>
    <row r="34" spans="1:22" s="306" customFormat="1" ht="21" customHeight="1">
      <c r="A34" s="405">
        <v>2025</v>
      </c>
      <c r="B34" s="497" t="s">
        <v>415</v>
      </c>
      <c r="C34" s="795">
        <v>1594.8411671350743</v>
      </c>
      <c r="D34" s="673">
        <v>612.06376757925841</v>
      </c>
      <c r="E34" s="673">
        <v>2245.7077751962493</v>
      </c>
      <c r="F34" s="678">
        <v>592.62316962276248</v>
      </c>
      <c r="G34" s="673">
        <v>3234.6836088513278</v>
      </c>
      <c r="H34" s="728">
        <v>212.12846443424422</v>
      </c>
      <c r="I34" s="640">
        <v>4997.8323231106324</v>
      </c>
      <c r="J34" s="673">
        <v>1962.9756306611325</v>
      </c>
      <c r="K34" s="640">
        <v>12073.044874293282</v>
      </c>
      <c r="L34" s="673">
        <v>3379.7910322973976</v>
      </c>
      <c r="M34" s="728">
        <v>320.47981413304893</v>
      </c>
      <c r="N34" s="659">
        <v>4295.8747870004281</v>
      </c>
      <c r="O34" s="643">
        <v>12393.544688426331</v>
      </c>
      <c r="P34" s="643">
        <v>7675.6658192978257</v>
      </c>
      <c r="Q34" s="659">
        <v>20069.210507724158</v>
      </c>
      <c r="R34" s="969"/>
      <c r="S34" s="969"/>
      <c r="T34" s="969"/>
      <c r="U34" s="969"/>
      <c r="V34" s="969"/>
    </row>
    <row r="35" spans="1:22" s="306" customFormat="1" ht="16.5" customHeight="1">
      <c r="A35" s="405"/>
      <c r="B35" s="497" t="s">
        <v>416</v>
      </c>
      <c r="C35" s="795">
        <v>1564.0691087867617</v>
      </c>
      <c r="D35" s="673">
        <v>700.84315130816526</v>
      </c>
      <c r="E35" s="673">
        <v>2309.2769172961134</v>
      </c>
      <c r="F35" s="678">
        <v>558.61099074419383</v>
      </c>
      <c r="G35" s="673">
        <v>3277.8933571518314</v>
      </c>
      <c r="H35" s="728">
        <v>167.01751128172583</v>
      </c>
      <c r="I35" s="640">
        <v>5048.8055271652029</v>
      </c>
      <c r="J35" s="673">
        <v>1984.368377342204</v>
      </c>
      <c r="K35" s="640">
        <v>12200.064910399909</v>
      </c>
      <c r="L35" s="673">
        <v>3410.8400306762892</v>
      </c>
      <c r="M35" s="728">
        <v>307.90550609709692</v>
      </c>
      <c r="N35" s="659">
        <v>4289.1742493951315</v>
      </c>
      <c r="O35" s="643">
        <v>12507.950416497006</v>
      </c>
      <c r="P35" s="643">
        <v>7700.0142800714202</v>
      </c>
      <c r="Q35" s="659">
        <v>20207.964696568426</v>
      </c>
      <c r="R35" s="969"/>
      <c r="S35" s="969"/>
      <c r="T35" s="969"/>
      <c r="U35" s="969"/>
      <c r="V35" s="969"/>
    </row>
    <row r="36" spans="1:22" s="306" customFormat="1" ht="16.5" customHeight="1">
      <c r="A36" s="405"/>
      <c r="B36" s="497" t="s">
        <v>417</v>
      </c>
      <c r="C36" s="795">
        <v>1574.3957860380001</v>
      </c>
      <c r="D36" s="673">
        <v>788.78924393933835</v>
      </c>
      <c r="E36" s="673">
        <v>2357.7699401109357</v>
      </c>
      <c r="F36" s="678">
        <v>643.12044753968735</v>
      </c>
      <c r="G36" s="673">
        <v>3323.9957136323433</v>
      </c>
      <c r="H36" s="728">
        <v>158.04323546256381</v>
      </c>
      <c r="I36" s="640">
        <v>5001.4259307285083</v>
      </c>
      <c r="J36" s="673">
        <v>1983.9563944279416</v>
      </c>
      <c r="K36" s="640">
        <v>12257.587370509787</v>
      </c>
      <c r="L36" s="673">
        <v>3573.8893213695319</v>
      </c>
      <c r="M36" s="728">
        <v>292.86968200870615</v>
      </c>
      <c r="N36" s="659">
        <v>4804.5315102207478</v>
      </c>
      <c r="O36" s="643">
        <v>12550.457052518494</v>
      </c>
      <c r="P36" s="643">
        <v>8378.4208315902797</v>
      </c>
      <c r="Q36" s="659">
        <v>20928.877884108773</v>
      </c>
      <c r="R36" s="969"/>
      <c r="S36" s="969"/>
      <c r="T36" s="969"/>
      <c r="U36" s="969"/>
      <c r="V36" s="969"/>
    </row>
    <row r="37" spans="1:22" s="306" customFormat="1" ht="16.5" customHeight="1">
      <c r="A37" s="405"/>
      <c r="B37" s="497" t="s">
        <v>418</v>
      </c>
      <c r="C37" s="795">
        <v>1662.8077770295911</v>
      </c>
      <c r="D37" s="673">
        <v>728.98288311349688</v>
      </c>
      <c r="E37" s="673">
        <v>2384.283984703085</v>
      </c>
      <c r="F37" s="678">
        <v>596.17611216599403</v>
      </c>
      <c r="G37" s="673">
        <v>3328.6985315192637</v>
      </c>
      <c r="H37" s="728">
        <v>152.54439732085561</v>
      </c>
      <c r="I37" s="640">
        <v>5098.3391368533876</v>
      </c>
      <c r="J37" s="673">
        <v>1993.7067262366418</v>
      </c>
      <c r="K37" s="640">
        <v>12474.149430105328</v>
      </c>
      <c r="L37" s="673">
        <v>3471.4201188369884</v>
      </c>
      <c r="M37" s="728">
        <v>297.05676692937993</v>
      </c>
      <c r="N37" s="659">
        <v>4728.684931894908</v>
      </c>
      <c r="O37" s="643">
        <v>12771.206197034708</v>
      </c>
      <c r="P37" s="643">
        <v>8200.105050731896</v>
      </c>
      <c r="Q37" s="659">
        <v>20971.311247766604</v>
      </c>
      <c r="R37" s="969"/>
      <c r="S37" s="969"/>
      <c r="T37" s="969"/>
      <c r="U37" s="969"/>
      <c r="V37" s="969"/>
    </row>
    <row r="38" spans="1:22" s="306" customFormat="1" ht="16.5" customHeight="1">
      <c r="A38" s="405"/>
      <c r="B38" s="497" t="s">
        <v>419</v>
      </c>
      <c r="C38" s="795">
        <v>1733.706866341</v>
      </c>
      <c r="D38" s="673">
        <v>653.20338513380591</v>
      </c>
      <c r="E38" s="673">
        <v>2388.4005708393656</v>
      </c>
      <c r="F38" s="678">
        <v>556.142810061864</v>
      </c>
      <c r="G38" s="673">
        <v>3196.7316215990868</v>
      </c>
      <c r="H38" s="728">
        <v>145.80352770438418</v>
      </c>
      <c r="I38" s="640">
        <v>5191.5059859364601</v>
      </c>
      <c r="J38" s="673">
        <v>2069.4723875099321</v>
      </c>
      <c r="K38" s="640">
        <v>12510.345044715912</v>
      </c>
      <c r="L38" s="673">
        <v>3424.6221104099868</v>
      </c>
      <c r="M38" s="728">
        <v>319.88288711343614</v>
      </c>
      <c r="N38" s="659">
        <v>4412.8532545886346</v>
      </c>
      <c r="O38" s="643">
        <v>12830.227931829348</v>
      </c>
      <c r="P38" s="643">
        <v>7837.4753649986214</v>
      </c>
      <c r="Q38" s="659">
        <v>20667.703296827967</v>
      </c>
      <c r="R38" s="969"/>
      <c r="S38" s="969"/>
      <c r="T38" s="969"/>
      <c r="U38" s="969"/>
      <c r="V38" s="969"/>
    </row>
    <row r="39" spans="1:22" s="306" customFormat="1" ht="16.5" customHeight="1">
      <c r="A39" s="405"/>
      <c r="B39" s="497" t="s">
        <v>420</v>
      </c>
      <c r="C39" s="795">
        <v>1659.4194860290002</v>
      </c>
      <c r="D39" s="673">
        <v>619.82311523326302</v>
      </c>
      <c r="E39" s="673">
        <v>2338.3777050926492</v>
      </c>
      <c r="F39" s="678">
        <v>536.82612549011856</v>
      </c>
      <c r="G39" s="673">
        <v>3348.2302511828093</v>
      </c>
      <c r="H39" s="728">
        <v>138.25438350038075</v>
      </c>
      <c r="I39" s="640">
        <v>5189.6615024364401</v>
      </c>
      <c r="J39" s="673">
        <v>1952.9314672289056</v>
      </c>
      <c r="K39" s="640">
        <v>12535.7189447409</v>
      </c>
      <c r="L39" s="673">
        <v>3247.8350914526682</v>
      </c>
      <c r="M39" s="728">
        <v>309.95981781017713</v>
      </c>
      <c r="N39" s="659">
        <v>3737.5295858911104</v>
      </c>
      <c r="O39" s="643">
        <v>12845.678762551077</v>
      </c>
      <c r="P39" s="643">
        <v>6985.3446773437781</v>
      </c>
      <c r="Q39" s="659">
        <v>19831.043439894856</v>
      </c>
      <c r="R39" s="969"/>
      <c r="S39" s="969"/>
      <c r="T39" s="969"/>
      <c r="U39" s="969"/>
      <c r="V39" s="969"/>
    </row>
    <row r="40" spans="1:22" s="306" customFormat="1" ht="16.5" customHeight="1">
      <c r="A40" s="405"/>
      <c r="B40" s="497" t="s">
        <v>421</v>
      </c>
      <c r="C40" s="795">
        <v>1721.419632188477</v>
      </c>
      <c r="D40" s="673">
        <v>574.42253162867848</v>
      </c>
      <c r="E40" s="673">
        <v>2330.2716722721725</v>
      </c>
      <c r="F40" s="678">
        <v>540.44030158395435</v>
      </c>
      <c r="G40" s="673">
        <v>3336.0342322647425</v>
      </c>
      <c r="H40" s="728">
        <v>154.59031218086204</v>
      </c>
      <c r="I40" s="640">
        <v>5098.7787487629112</v>
      </c>
      <c r="J40" s="673">
        <v>1919.7968889302251</v>
      </c>
      <c r="K40" s="640">
        <v>12486.504285488303</v>
      </c>
      <c r="L40" s="673">
        <v>3189.2400343237196</v>
      </c>
      <c r="M40" s="728">
        <v>301.15711986857411</v>
      </c>
      <c r="N40" s="659">
        <v>4208.0871697905659</v>
      </c>
      <c r="O40" s="643">
        <v>12787.661405356877</v>
      </c>
      <c r="P40" s="643">
        <v>7397.3372041142857</v>
      </c>
      <c r="Q40" s="659">
        <v>20184.998609471164</v>
      </c>
      <c r="R40" s="969"/>
      <c r="S40" s="969"/>
      <c r="T40" s="969"/>
      <c r="U40" s="969"/>
      <c r="V40" s="969"/>
    </row>
    <row r="41" spans="1:22" s="306" customFormat="1" ht="16.5" customHeight="1">
      <c r="A41" s="405"/>
      <c r="B41" s="497" t="s">
        <v>422</v>
      </c>
      <c r="C41" s="795">
        <v>1704.7361676127503</v>
      </c>
      <c r="D41" s="673">
        <v>605.27612031468016</v>
      </c>
      <c r="E41" s="673">
        <v>2395.35266829489</v>
      </c>
      <c r="F41" s="678">
        <v>552.94673867724248</v>
      </c>
      <c r="G41" s="673">
        <v>3305.4138135594972</v>
      </c>
      <c r="H41" s="728">
        <v>139.68243865261428</v>
      </c>
      <c r="I41" s="640">
        <v>5120.7837589665578</v>
      </c>
      <c r="J41" s="673">
        <v>2005.8304561084199</v>
      </c>
      <c r="K41" s="640">
        <v>12526.286408433694</v>
      </c>
      <c r="L41" s="673">
        <v>3303.735753752957</v>
      </c>
      <c r="M41" s="728">
        <v>297.03729968827406</v>
      </c>
      <c r="N41" s="659">
        <v>4406.3629943336045</v>
      </c>
      <c r="O41" s="643">
        <v>12823.323708121969</v>
      </c>
      <c r="P41" s="643">
        <v>7710.0687480865618</v>
      </c>
      <c r="Q41" s="659">
        <v>20533.39245620853</v>
      </c>
      <c r="R41" s="969"/>
      <c r="S41" s="969"/>
      <c r="T41" s="969"/>
      <c r="U41" s="969"/>
      <c r="V41" s="969"/>
    </row>
    <row r="42" spans="1:22" s="306" customFormat="1" ht="16.5" customHeight="1">
      <c r="A42" s="405"/>
      <c r="B42" s="497" t="s">
        <v>423</v>
      </c>
      <c r="C42" s="795">
        <v>1628.7898424943228</v>
      </c>
      <c r="D42" s="673">
        <v>569.96856898412329</v>
      </c>
      <c r="E42" s="673">
        <v>2339.3025918100006</v>
      </c>
      <c r="F42" s="678">
        <v>530.71449316675614</v>
      </c>
      <c r="G42" s="673">
        <v>3298.3917840363119</v>
      </c>
      <c r="H42" s="728">
        <v>150.30248787393566</v>
      </c>
      <c r="I42" s="640">
        <v>5161.4212508683213</v>
      </c>
      <c r="J42" s="673">
        <v>2098.3270684671406</v>
      </c>
      <c r="K42" s="640">
        <v>12427.905469208958</v>
      </c>
      <c r="L42" s="673">
        <v>3349.3126184919561</v>
      </c>
      <c r="M42" s="728">
        <v>290.11841800666406</v>
      </c>
      <c r="N42" s="659">
        <v>4494.1339409597613</v>
      </c>
      <c r="O42" s="643">
        <v>12718.023887215622</v>
      </c>
      <c r="P42" s="643">
        <v>7843.4465594517169</v>
      </c>
      <c r="Q42" s="659">
        <v>20561.44044666734</v>
      </c>
      <c r="R42" s="969"/>
      <c r="S42" s="969"/>
      <c r="T42" s="969"/>
      <c r="U42" s="969"/>
      <c r="V42" s="969"/>
    </row>
    <row r="43" spans="1:22" s="306" customFormat="1" ht="16.5" customHeight="1">
      <c r="A43" s="405"/>
      <c r="B43" s="497" t="s">
        <v>412</v>
      </c>
      <c r="C43" s="795">
        <v>1444.16140060977</v>
      </c>
      <c r="D43" s="673">
        <v>464.0412091798126</v>
      </c>
      <c r="E43" s="673">
        <v>2346.7624123737573</v>
      </c>
      <c r="F43" s="678">
        <v>566.4925224225185</v>
      </c>
      <c r="G43" s="673">
        <v>3321.739203966536</v>
      </c>
      <c r="H43" s="728">
        <v>147.0925148652338</v>
      </c>
      <c r="I43" s="640">
        <v>5181.7306922351463</v>
      </c>
      <c r="J43" s="673">
        <v>2047.2866371163686</v>
      </c>
      <c r="K43" s="640">
        <v>12294.373709185209</v>
      </c>
      <c r="L43" s="673">
        <v>3224.9328835839337</v>
      </c>
      <c r="M43" s="728">
        <v>317.60034026817993</v>
      </c>
      <c r="N43" s="659">
        <v>5201.258765152339</v>
      </c>
      <c r="O43" s="643">
        <v>12611.974049453389</v>
      </c>
      <c r="P43" s="643">
        <v>8426.1916487362723</v>
      </c>
      <c r="Q43" s="659">
        <v>21038.165698189659</v>
      </c>
      <c r="R43" s="969"/>
      <c r="S43" s="969"/>
      <c r="T43" s="969"/>
      <c r="U43" s="969"/>
      <c r="V43" s="969"/>
    </row>
    <row r="44" spans="1:22" ht="20.25" customHeight="1">
      <c r="A44" s="215" t="s">
        <v>895</v>
      </c>
      <c r="B44" s="217"/>
      <c r="C44" s="215"/>
      <c r="D44" s="215"/>
      <c r="E44" s="215"/>
      <c r="F44" s="251"/>
      <c r="G44" s="292"/>
      <c r="H44" s="215"/>
      <c r="I44" s="215"/>
      <c r="J44" s="215"/>
      <c r="K44" s="215"/>
      <c r="L44" s="215"/>
      <c r="M44" s="215"/>
      <c r="N44" s="215"/>
      <c r="O44" s="218"/>
      <c r="P44" s="293"/>
      <c r="Q44" s="294" t="s">
        <v>896</v>
      </c>
    </row>
    <row r="45" spans="1:22">
      <c r="C45" s="636"/>
      <c r="D45" s="636"/>
      <c r="E45" s="636"/>
      <c r="F45" s="636"/>
      <c r="G45" s="636"/>
      <c r="H45" s="636"/>
      <c r="I45" s="636"/>
      <c r="J45" s="636"/>
      <c r="K45" s="636">
        <f>SUM(K40:L40)</f>
        <v>15675.744319812024</v>
      </c>
      <c r="L45" s="636"/>
      <c r="M45" s="636"/>
      <c r="N45" s="636"/>
      <c r="O45" s="636"/>
      <c r="P45" s="636"/>
      <c r="Q45" s="636"/>
    </row>
    <row r="46" spans="1:22">
      <c r="B46" s="146"/>
      <c r="C46" s="636"/>
      <c r="D46" s="636"/>
      <c r="E46" s="636"/>
      <c r="F46" s="636"/>
      <c r="G46" s="636"/>
      <c r="H46" s="636"/>
      <c r="I46" s="636"/>
      <c r="J46" s="636"/>
      <c r="K46" s="636">
        <f>SUM(K43:L43)</f>
        <v>15519.306592769142</v>
      </c>
      <c r="L46" s="636"/>
      <c r="M46" s="636"/>
      <c r="N46" s="636"/>
      <c r="O46" s="636"/>
      <c r="P46" s="636"/>
      <c r="Q46" s="636"/>
    </row>
    <row r="47" spans="1:22" s="38" customFormat="1" ht="14.25">
      <c r="A47" s="317" t="s">
        <v>897</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tabSelected="1" zoomScale="80" zoomScaleNormal="80" workbookViewId="0">
      <pane ySplit="12" topLeftCell="A22" activePane="bottomLeft" state="frozen"/>
      <selection activeCell="N29" sqref="N29"/>
      <selection pane="bottomLeft" activeCell="N29" sqref="N29"/>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251" customWidth="1"/>
    <col min="13" max="13" width="9.140625" style="148"/>
    <col min="14" max="14" width="7.7109375" style="148" customWidth="1"/>
    <col min="15" max="16384" width="9.140625" style="148"/>
  </cols>
  <sheetData>
    <row r="1" spans="1:14" s="416" customFormat="1" ht="18">
      <c r="A1" s="277" t="s">
        <v>1750</v>
      </c>
      <c r="B1" s="277"/>
      <c r="C1" s="415"/>
      <c r="D1" s="415"/>
      <c r="E1" s="415"/>
      <c r="F1" s="415"/>
      <c r="G1" s="415"/>
      <c r="H1" s="415"/>
      <c r="I1" s="415"/>
      <c r="J1" s="415"/>
      <c r="K1" s="415"/>
      <c r="L1" s="382"/>
    </row>
    <row r="2" spans="1:14" s="381" customFormat="1" ht="21.2" customHeight="1">
      <c r="A2" s="1425" t="s">
        <v>826</v>
      </c>
      <c r="B2" s="1458"/>
      <c r="C2" s="1458"/>
      <c r="D2" s="1458"/>
      <c r="E2" s="1458"/>
      <c r="F2" s="1458"/>
      <c r="G2" s="1458"/>
      <c r="H2" s="1458"/>
      <c r="I2" s="1458"/>
      <c r="J2" s="1458"/>
      <c r="K2" s="1458"/>
      <c r="L2" s="382"/>
    </row>
    <row r="3" spans="1:14" s="381" customFormat="1" ht="21.2" customHeight="1">
      <c r="A3" s="277" t="s">
        <v>827</v>
      </c>
      <c r="B3" s="1458"/>
      <c r="C3" s="1458"/>
      <c r="D3" s="1458"/>
      <c r="E3" s="1458"/>
      <c r="F3" s="1458"/>
      <c r="G3" s="1458"/>
      <c r="H3" s="1458"/>
      <c r="I3" s="1458"/>
      <c r="J3" s="1458"/>
      <c r="K3" s="1458"/>
      <c r="L3" s="382"/>
    </row>
    <row r="4" spans="1:14" s="381" customFormat="1" ht="21.2" customHeight="1">
      <c r="A4" s="1425" t="s">
        <v>898</v>
      </c>
      <c r="B4" s="1458"/>
      <c r="C4" s="1458"/>
      <c r="D4" s="1458"/>
      <c r="E4" s="1458"/>
      <c r="F4" s="1458"/>
      <c r="G4" s="1458"/>
      <c r="H4" s="1458"/>
      <c r="I4" s="1458"/>
      <c r="J4" s="1458"/>
      <c r="K4" s="1458"/>
      <c r="L4" s="382"/>
    </row>
    <row r="5" spans="1:14" s="381" customFormat="1" ht="18">
      <c r="A5" s="277" t="s">
        <v>899</v>
      </c>
      <c r="B5" s="1458"/>
      <c r="C5" s="1458"/>
      <c r="D5" s="1458"/>
      <c r="E5" s="1458"/>
      <c r="F5" s="1458"/>
      <c r="G5" s="1458"/>
      <c r="H5" s="1458"/>
      <c r="I5" s="1458"/>
      <c r="J5" s="1458"/>
      <c r="K5" s="1458"/>
      <c r="L5" s="382"/>
    </row>
    <row r="6" spans="1:14" s="416" customFormat="1" ht="18" hidden="1">
      <c r="A6" s="277"/>
      <c r="B6" s="277"/>
      <c r="C6" s="415"/>
      <c r="D6" s="415"/>
      <c r="E6" s="415"/>
      <c r="F6" s="415"/>
      <c r="G6" s="415"/>
      <c r="H6" s="415"/>
      <c r="I6" s="415"/>
      <c r="J6" s="415"/>
      <c r="K6" s="415"/>
      <c r="L6" s="1251"/>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85" customHeight="1">
      <c r="A9" s="1890" t="s">
        <v>379</v>
      </c>
      <c r="B9" s="1891"/>
      <c r="C9" s="718" t="s">
        <v>900</v>
      </c>
      <c r="D9" s="718" t="s">
        <v>900</v>
      </c>
      <c r="E9" s="420" t="s">
        <v>901</v>
      </c>
      <c r="F9" s="425"/>
      <c r="G9" s="425"/>
      <c r="H9" s="174"/>
      <c r="I9" s="426"/>
      <c r="J9" s="426"/>
      <c r="K9" s="424" t="s">
        <v>902</v>
      </c>
      <c r="L9" s="866"/>
    </row>
    <row r="10" spans="1:14" s="404" customFormat="1" ht="20.25" customHeight="1">
      <c r="A10" s="1892"/>
      <c r="B10" s="1893"/>
      <c r="C10" s="717" t="s">
        <v>903</v>
      </c>
      <c r="D10" s="717" t="s">
        <v>904</v>
      </c>
      <c r="E10" s="420" t="s">
        <v>562</v>
      </c>
      <c r="F10" s="181"/>
      <c r="H10" s="586" t="s">
        <v>563</v>
      </c>
      <c r="I10" s="588"/>
      <c r="K10" s="432"/>
      <c r="L10" s="612"/>
    </row>
    <row r="11" spans="1:14" s="404" customFormat="1" ht="15.75">
      <c r="A11" s="1892"/>
      <c r="B11" s="1893"/>
      <c r="C11" s="1917" t="s">
        <v>905</v>
      </c>
      <c r="D11" s="1915" t="s">
        <v>906</v>
      </c>
      <c r="E11" s="427" t="s">
        <v>573</v>
      </c>
      <c r="F11" s="435" t="s">
        <v>574</v>
      </c>
      <c r="G11" s="587" t="s">
        <v>575</v>
      </c>
      <c r="H11" s="435" t="s">
        <v>576</v>
      </c>
      <c r="I11" s="435" t="s">
        <v>577</v>
      </c>
      <c r="J11" s="435" t="s">
        <v>392</v>
      </c>
      <c r="K11" s="435" t="s">
        <v>382</v>
      </c>
      <c r="L11" s="612" t="s">
        <v>382</v>
      </c>
    </row>
    <row r="12" spans="1:14" s="404" customFormat="1" ht="63">
      <c r="A12" s="179" t="s">
        <v>387</v>
      </c>
      <c r="B12" s="436"/>
      <c r="C12" s="1918"/>
      <c r="D12" s="1916"/>
      <c r="E12" s="403" t="s">
        <v>587</v>
      </c>
      <c r="F12" s="402" t="s">
        <v>588</v>
      </c>
      <c r="G12" s="402" t="s">
        <v>589</v>
      </c>
      <c r="H12" s="402" t="s">
        <v>590</v>
      </c>
      <c r="I12" s="402" t="s">
        <v>907</v>
      </c>
      <c r="J12" s="402" t="s">
        <v>400</v>
      </c>
      <c r="K12" s="402" t="s">
        <v>393</v>
      </c>
      <c r="L12" s="402" t="s">
        <v>793</v>
      </c>
    </row>
    <row r="13" spans="1:14" ht="23.85" customHeight="1">
      <c r="A13" s="719">
        <v>2015</v>
      </c>
      <c r="B13" s="722"/>
      <c r="C13" s="724">
        <v>4159.3999999999996</v>
      </c>
      <c r="D13" s="724">
        <v>297.10000000000002</v>
      </c>
      <c r="E13" s="664">
        <v>1058.3</v>
      </c>
      <c r="F13" s="664">
        <v>124.4</v>
      </c>
      <c r="G13" s="664">
        <v>54</v>
      </c>
      <c r="H13" s="664">
        <v>1230.4000000000001</v>
      </c>
      <c r="I13" s="664">
        <v>69</v>
      </c>
      <c r="J13" s="664">
        <v>853.1</v>
      </c>
      <c r="K13" s="724">
        <v>3389.2</v>
      </c>
      <c r="L13" s="1127">
        <v>7845.7</v>
      </c>
      <c r="M13" s="796"/>
    </row>
    <row r="14" spans="1:14" ht="17.45" customHeight="1">
      <c r="A14" s="720">
        <v>2016</v>
      </c>
      <c r="B14" s="497"/>
      <c r="C14" s="724">
        <v>4161.5844857569446</v>
      </c>
      <c r="D14" s="724">
        <v>293.393422171</v>
      </c>
      <c r="E14" s="664">
        <v>1512.4267565786529</v>
      </c>
      <c r="F14" s="664">
        <v>124.91570434644558</v>
      </c>
      <c r="G14" s="664">
        <v>47.456477877223094</v>
      </c>
      <c r="H14" s="664">
        <v>1211.603801150909</v>
      </c>
      <c r="I14" s="664">
        <v>80.624415123407729</v>
      </c>
      <c r="J14" s="664">
        <v>630.70100148055405</v>
      </c>
      <c r="K14" s="724">
        <v>3607.708156557193</v>
      </c>
      <c r="L14" s="1127">
        <v>8062.6885616301388</v>
      </c>
      <c r="M14" s="796"/>
      <c r="N14" s="796"/>
    </row>
    <row r="15" spans="1:14" ht="17.45" customHeight="1">
      <c r="A15" s="720">
        <v>2017</v>
      </c>
      <c r="B15" s="497"/>
      <c r="C15" s="724">
        <v>4630.6180919492481</v>
      </c>
      <c r="D15" s="724">
        <v>333.20340702185467</v>
      </c>
      <c r="E15" s="664">
        <v>1613.5704755808929</v>
      </c>
      <c r="F15" s="664">
        <v>114.92558106559665</v>
      </c>
      <c r="G15" s="664">
        <v>52.880254186261901</v>
      </c>
      <c r="H15" s="664">
        <v>1278.2919015809598</v>
      </c>
      <c r="I15" s="664">
        <v>86.088649882896917</v>
      </c>
      <c r="J15" s="664">
        <v>589.5464118674613</v>
      </c>
      <c r="K15" s="724">
        <v>3735.3002741640694</v>
      </c>
      <c r="L15" s="1127">
        <v>8699.1442794191717</v>
      </c>
      <c r="M15" s="796"/>
      <c r="N15" s="796"/>
    </row>
    <row r="16" spans="1:14" ht="17.25" customHeight="1">
      <c r="A16" s="720">
        <v>2018</v>
      </c>
      <c r="B16" s="497"/>
      <c r="C16" s="724">
        <v>5096.3999941671809</v>
      </c>
      <c r="D16" s="724">
        <v>261.14266266389723</v>
      </c>
      <c r="E16" s="664">
        <v>1796.6556200730508</v>
      </c>
      <c r="F16" s="664">
        <v>103.01312042745215</v>
      </c>
      <c r="G16" s="664">
        <v>134.13652000812272</v>
      </c>
      <c r="H16" s="664">
        <v>1325.0552413339694</v>
      </c>
      <c r="I16" s="664">
        <v>72.527739006359454</v>
      </c>
      <c r="J16" s="664">
        <v>730.96027452571207</v>
      </c>
      <c r="K16" s="664">
        <v>4162.3585153746671</v>
      </c>
      <c r="L16" s="1127">
        <v>9519.8911722057455</v>
      </c>
      <c r="M16" s="796"/>
      <c r="N16" s="796"/>
    </row>
    <row r="17" spans="1:14" ht="17.25" customHeight="1">
      <c r="A17" s="720">
        <v>2019</v>
      </c>
      <c r="B17" s="497"/>
      <c r="C17" s="724">
        <v>5138.6018137726624</v>
      </c>
      <c r="D17" s="724">
        <v>301.55149023442948</v>
      </c>
      <c r="E17" s="664">
        <v>1953.1586812877845</v>
      </c>
      <c r="F17" s="664">
        <v>122.97281821996518</v>
      </c>
      <c r="G17" s="664">
        <v>140.10478611362126</v>
      </c>
      <c r="H17" s="664">
        <v>1577.4472417995232</v>
      </c>
      <c r="I17" s="664">
        <v>104.03196525536923</v>
      </c>
      <c r="J17" s="664">
        <v>398.52317546487865</v>
      </c>
      <c r="K17" s="664">
        <v>4296.1786681411422</v>
      </c>
      <c r="L17" s="1127">
        <v>9736.3989501659489</v>
      </c>
      <c r="M17" s="796"/>
    </row>
    <row r="18" spans="1:14" ht="17.25" customHeight="1">
      <c r="A18" s="720">
        <v>2020</v>
      </c>
      <c r="B18" s="497"/>
      <c r="C18" s="724">
        <v>5326.8598116189005</v>
      </c>
      <c r="D18" s="724">
        <v>369.62912362053709</v>
      </c>
      <c r="E18" s="664">
        <v>2197.9054834952717</v>
      </c>
      <c r="F18" s="664">
        <v>118.13864136425786</v>
      </c>
      <c r="G18" s="664">
        <v>187.6348313960944</v>
      </c>
      <c r="H18" s="664">
        <v>1700.3500544124508</v>
      </c>
      <c r="I18" s="664">
        <v>92.176158572542974</v>
      </c>
      <c r="J18" s="664">
        <v>421.12282458665271</v>
      </c>
      <c r="K18" s="664">
        <v>4717.3279938272699</v>
      </c>
      <c r="L18" s="1127">
        <v>10413.786929066708</v>
      </c>
      <c r="M18" s="796"/>
    </row>
    <row r="19" spans="1:14" ht="17.25" customHeight="1">
      <c r="A19" s="720">
        <v>2021</v>
      </c>
      <c r="B19" s="497"/>
      <c r="C19" s="724">
        <v>5341.1725163365518</v>
      </c>
      <c r="D19" s="724">
        <v>454.44253734746621</v>
      </c>
      <c r="E19" s="664">
        <v>2261.5450850151483</v>
      </c>
      <c r="F19" s="664">
        <v>109.1633888960915</v>
      </c>
      <c r="G19" s="664">
        <v>133.67238106277776</v>
      </c>
      <c r="H19" s="664">
        <v>1933.0181037870075</v>
      </c>
      <c r="I19" s="664">
        <v>99.499513170784923</v>
      </c>
      <c r="J19" s="664">
        <v>573.78981344844533</v>
      </c>
      <c r="K19" s="664">
        <v>5110.6882853802545</v>
      </c>
      <c r="L19" s="1127">
        <v>10906.303339064274</v>
      </c>
      <c r="M19" s="796"/>
    </row>
    <row r="20" spans="1:14" ht="17.25" customHeight="1">
      <c r="A20" s="720">
        <v>2022</v>
      </c>
      <c r="B20" s="497"/>
      <c r="C20" s="724">
        <v>4951.476040089975</v>
      </c>
      <c r="D20" s="724">
        <v>629.84264341138123</v>
      </c>
      <c r="E20" s="664">
        <v>2760.8255985808432</v>
      </c>
      <c r="F20" s="664">
        <v>106.64121251771931</v>
      </c>
      <c r="G20" s="664">
        <v>129.35406667947981</v>
      </c>
      <c r="H20" s="664">
        <v>1915.0087582619517</v>
      </c>
      <c r="I20" s="664">
        <v>84.170806942194645</v>
      </c>
      <c r="J20" s="664">
        <v>720.76908296040074</v>
      </c>
      <c r="K20" s="664">
        <v>5716.7695259425891</v>
      </c>
      <c r="L20" s="1127">
        <v>11298.088209443948</v>
      </c>
      <c r="M20" s="796"/>
    </row>
    <row r="21" spans="1:14" ht="17.25" customHeight="1">
      <c r="A21" s="720">
        <v>2023</v>
      </c>
      <c r="B21" s="497"/>
      <c r="C21" s="724">
        <v>5019.3357399331735</v>
      </c>
      <c r="D21" s="724">
        <v>925.35749810301661</v>
      </c>
      <c r="E21" s="664">
        <v>2880.3015089492378</v>
      </c>
      <c r="F21" s="664">
        <v>97.070687621000133</v>
      </c>
      <c r="G21" s="664">
        <v>236.92422206352998</v>
      </c>
      <c r="H21" s="664">
        <v>1778.4750856533999</v>
      </c>
      <c r="I21" s="664">
        <v>119.86694933148686</v>
      </c>
      <c r="J21" s="664">
        <v>721.92946302158475</v>
      </c>
      <c r="K21" s="664">
        <v>5834.5979166402394</v>
      </c>
      <c r="L21" s="1127">
        <v>11779.271154676429</v>
      </c>
      <c r="M21" s="796"/>
    </row>
    <row r="22" spans="1:14" ht="17.25" customHeight="1">
      <c r="A22" s="1035">
        <v>2024</v>
      </c>
      <c r="B22" s="750"/>
      <c r="C22" s="725">
        <f t="shared" ref="C22:L22" si="0">C27</f>
        <v>5211.7368259243813</v>
      </c>
      <c r="D22" s="725">
        <f t="shared" si="0"/>
        <v>1160.0531715063664</v>
      </c>
      <c r="E22" s="721">
        <f t="shared" si="0"/>
        <v>3030.3459715256877</v>
      </c>
      <c r="F22" s="721">
        <f t="shared" si="0"/>
        <v>97.236608660279941</v>
      </c>
      <c r="G22" s="721">
        <f t="shared" si="0"/>
        <v>209.65139991333962</v>
      </c>
      <c r="H22" s="721">
        <f t="shared" si="0"/>
        <v>1775.714553265771</v>
      </c>
      <c r="I22" s="721">
        <f t="shared" si="0"/>
        <v>133.86146642184696</v>
      </c>
      <c r="J22" s="721">
        <f t="shared" si="0"/>
        <v>703.29004735939156</v>
      </c>
      <c r="K22" s="721">
        <f t="shared" si="0"/>
        <v>5950.1000471463158</v>
      </c>
      <c r="L22" s="1036">
        <f t="shared" si="0"/>
        <v>12321.880044577063</v>
      </c>
      <c r="M22" s="796"/>
    </row>
    <row r="23" spans="1:14" ht="21" customHeight="1">
      <c r="A23" s="720">
        <v>2023</v>
      </c>
      <c r="B23" s="497" t="s">
        <v>238</v>
      </c>
      <c r="C23" s="724">
        <v>5019.3357399331735</v>
      </c>
      <c r="D23" s="724">
        <v>925.35749810301661</v>
      </c>
      <c r="E23" s="664">
        <v>2880.3015089492378</v>
      </c>
      <c r="F23" s="664">
        <v>97.070687621000133</v>
      </c>
      <c r="G23" s="664">
        <v>236.92422206352998</v>
      </c>
      <c r="H23" s="664">
        <v>1778.4750856533999</v>
      </c>
      <c r="I23" s="664">
        <v>119.86694933148686</v>
      </c>
      <c r="J23" s="664">
        <v>721.92946302158475</v>
      </c>
      <c r="K23" s="664">
        <v>5834.5979166402394</v>
      </c>
      <c r="L23" s="1127">
        <v>11779.271154676429</v>
      </c>
      <c r="M23" s="796"/>
    </row>
    <row r="24" spans="1:14" ht="21" customHeight="1">
      <c r="A24" s="720">
        <v>2024</v>
      </c>
      <c r="B24" s="497" t="s">
        <v>239</v>
      </c>
      <c r="C24" s="724">
        <v>5281.8320280015014</v>
      </c>
      <c r="D24" s="724">
        <v>1007.7286036142725</v>
      </c>
      <c r="E24" s="664">
        <v>2920.5148734253266</v>
      </c>
      <c r="F24" s="664">
        <v>97.257426135649013</v>
      </c>
      <c r="G24" s="664">
        <v>231.8053820890342</v>
      </c>
      <c r="H24" s="664">
        <v>1744.2759149590124</v>
      </c>
      <c r="I24" s="664">
        <v>113.43408064154222</v>
      </c>
      <c r="J24" s="664">
        <v>728.82236322407641</v>
      </c>
      <c r="K24" s="664">
        <v>5836.1100404746412</v>
      </c>
      <c r="L24" s="1127">
        <v>12125.640672090414</v>
      </c>
      <c r="M24" s="1602"/>
    </row>
    <row r="25" spans="1:14" ht="15" customHeight="1">
      <c r="A25" s="720"/>
      <c r="B25" s="497" t="s">
        <v>240</v>
      </c>
      <c r="C25" s="724">
        <v>5300.8274697613597</v>
      </c>
      <c r="D25" s="724">
        <v>1012.4981628229938</v>
      </c>
      <c r="E25" s="664">
        <v>2996.370220832147</v>
      </c>
      <c r="F25" s="664">
        <v>100.47006049299995</v>
      </c>
      <c r="G25" s="664">
        <v>252.63303218002798</v>
      </c>
      <c r="H25" s="664">
        <v>1767.5009773590032</v>
      </c>
      <c r="I25" s="664">
        <v>116.4919630885492</v>
      </c>
      <c r="J25" s="664">
        <v>682.04087020796078</v>
      </c>
      <c r="K25" s="664">
        <v>5915.5071241606875</v>
      </c>
      <c r="L25" s="1127">
        <v>12228.832756745041</v>
      </c>
      <c r="M25" s="1602"/>
    </row>
    <row r="26" spans="1:14" ht="15" customHeight="1">
      <c r="A26" s="720"/>
      <c r="B26" s="497" t="s">
        <v>237</v>
      </c>
      <c r="C26" s="724">
        <v>5211.6297925814106</v>
      </c>
      <c r="D26" s="724">
        <v>1059.065069696474</v>
      </c>
      <c r="E26" s="664">
        <v>3002.6821508929684</v>
      </c>
      <c r="F26" s="664">
        <v>99.64096807299984</v>
      </c>
      <c r="G26" s="664">
        <v>250.67040294889802</v>
      </c>
      <c r="H26" s="664">
        <v>1757.8691216852019</v>
      </c>
      <c r="I26" s="664">
        <v>122.30917089341021</v>
      </c>
      <c r="J26" s="664">
        <v>660.79056905889718</v>
      </c>
      <c r="K26" s="664">
        <v>5893.9823835523748</v>
      </c>
      <c r="L26" s="1127">
        <v>12164.677245830258</v>
      </c>
      <c r="M26" s="1602"/>
    </row>
    <row r="27" spans="1:14" ht="15" customHeight="1">
      <c r="A27" s="720"/>
      <c r="B27" s="497" t="s">
        <v>238</v>
      </c>
      <c r="C27" s="724">
        <v>5211.7368259243813</v>
      </c>
      <c r="D27" s="724">
        <v>1160.0531715063664</v>
      </c>
      <c r="E27" s="664">
        <v>3030.3459715256877</v>
      </c>
      <c r="F27" s="664">
        <v>97.236608660279941</v>
      </c>
      <c r="G27" s="664">
        <v>209.65139991333962</v>
      </c>
      <c r="H27" s="664">
        <v>1775.714553265771</v>
      </c>
      <c r="I27" s="664">
        <v>133.86146642184696</v>
      </c>
      <c r="J27" s="664">
        <v>703.29004735939156</v>
      </c>
      <c r="K27" s="664">
        <v>5950.1000471463158</v>
      </c>
      <c r="L27" s="1127">
        <v>12321.880044577063</v>
      </c>
      <c r="M27" s="1602"/>
    </row>
    <row r="28" spans="1:14" ht="21" customHeight="1">
      <c r="A28" s="720">
        <v>2025</v>
      </c>
      <c r="B28" s="497" t="s">
        <v>239</v>
      </c>
      <c r="C28" s="724">
        <f t="shared" ref="C28:L28" si="1">C36</f>
        <v>5420.1308842272992</v>
      </c>
      <c r="D28" s="724">
        <f t="shared" si="1"/>
        <v>1168.777867074474</v>
      </c>
      <c r="E28" s="664">
        <f t="shared" si="1"/>
        <v>3057.556118823607</v>
      </c>
      <c r="F28" s="664">
        <f t="shared" si="1"/>
        <v>96.929923448877631</v>
      </c>
      <c r="G28" s="664">
        <f t="shared" si="1"/>
        <v>209.30938218725512</v>
      </c>
      <c r="H28" s="664">
        <f t="shared" si="1"/>
        <v>1773.3579202030435</v>
      </c>
      <c r="I28" s="664">
        <f t="shared" si="1"/>
        <v>129.53046176517535</v>
      </c>
      <c r="J28" s="664">
        <f t="shared" si="1"/>
        <v>751.80673064117366</v>
      </c>
      <c r="K28" s="664">
        <f t="shared" si="1"/>
        <v>6018.480537069132</v>
      </c>
      <c r="L28" s="1127">
        <f t="shared" si="1"/>
        <v>12607.389288370905</v>
      </c>
      <c r="M28" s="1602"/>
      <c r="N28" s="796"/>
    </row>
    <row r="29" spans="1:14" ht="15" customHeight="1">
      <c r="A29" s="720"/>
      <c r="B29" s="497" t="s">
        <v>240</v>
      </c>
      <c r="C29" s="724">
        <f t="shared" ref="C29:L29" si="2">C39</f>
        <v>5363.2892695501778</v>
      </c>
      <c r="D29" s="724">
        <f t="shared" si="2"/>
        <v>1010.7437151857915</v>
      </c>
      <c r="E29" s="664">
        <f t="shared" si="2"/>
        <v>3093.8592211611513</v>
      </c>
      <c r="F29" s="664">
        <f t="shared" si="2"/>
        <v>97.225197071025647</v>
      </c>
      <c r="G29" s="664">
        <f t="shared" si="2"/>
        <v>212.96984374498405</v>
      </c>
      <c r="H29" s="664">
        <f t="shared" si="2"/>
        <v>1813.9588949115157</v>
      </c>
      <c r="I29" s="664">
        <f t="shared" si="2"/>
        <v>126.52311999544074</v>
      </c>
      <c r="J29" s="664">
        <f t="shared" si="2"/>
        <v>758.93683913909035</v>
      </c>
      <c r="K29" s="664">
        <f t="shared" si="2"/>
        <v>6103.4631160232075</v>
      </c>
      <c r="L29" s="1127">
        <f t="shared" si="2"/>
        <v>12477.506100759178</v>
      </c>
      <c r="M29" s="1602"/>
      <c r="N29" s="796"/>
    </row>
    <row r="30" spans="1:14" ht="15" customHeight="1">
      <c r="A30" s="1035"/>
      <c r="B30" s="750" t="s">
        <v>237</v>
      </c>
      <c r="C30" s="725">
        <f t="shared" ref="C30:L30" si="3">C42</f>
        <v>5194.9394012753892</v>
      </c>
      <c r="D30" s="725">
        <f t="shared" si="3"/>
        <v>1427.2951288437189</v>
      </c>
      <c r="E30" s="721">
        <f t="shared" si="3"/>
        <v>3135.080963337296</v>
      </c>
      <c r="F30" s="721">
        <f t="shared" si="3"/>
        <v>95.718940315254002</v>
      </c>
      <c r="G30" s="721">
        <f t="shared" si="3"/>
        <v>185.36023841480446</v>
      </c>
      <c r="H30" s="721">
        <f t="shared" si="3"/>
        <v>1786.3176772417112</v>
      </c>
      <c r="I30" s="721">
        <f t="shared" si="3"/>
        <v>125.33329381862335</v>
      </c>
      <c r="J30" s="721">
        <f t="shared" si="3"/>
        <v>796.75991434383059</v>
      </c>
      <c r="K30" s="721">
        <f t="shared" si="3"/>
        <v>6124.5510274715189</v>
      </c>
      <c r="L30" s="1036">
        <f t="shared" si="3"/>
        <v>12746.785557590629</v>
      </c>
      <c r="M30" s="1602"/>
      <c r="N30" s="796"/>
    </row>
    <row r="31" spans="1:14" ht="21" customHeight="1">
      <c r="A31" s="720">
        <v>2024</v>
      </c>
      <c r="B31" s="497" t="s">
        <v>412</v>
      </c>
      <c r="C31" s="664">
        <v>5109.3676291756237</v>
      </c>
      <c r="D31" s="664">
        <v>1037.086038705758</v>
      </c>
      <c r="E31" s="664">
        <v>3003.315226826915</v>
      </c>
      <c r="F31" s="664">
        <v>99.631113033999867</v>
      </c>
      <c r="G31" s="664">
        <v>248.21345197211585</v>
      </c>
      <c r="H31" s="664">
        <v>1760.1070434591979</v>
      </c>
      <c r="I31" s="664">
        <v>127.95097944703308</v>
      </c>
      <c r="J31" s="664">
        <v>670.23461784980941</v>
      </c>
      <c r="K31" s="664">
        <v>5909.4224325890709</v>
      </c>
      <c r="L31" s="799">
        <v>12055.876100470454</v>
      </c>
      <c r="M31" s="796"/>
      <c r="N31" s="796"/>
    </row>
    <row r="32" spans="1:14" ht="16.5" customHeight="1">
      <c r="A32" s="720"/>
      <c r="B32" s="497" t="s">
        <v>413</v>
      </c>
      <c r="C32" s="664">
        <v>5254.2629572258102</v>
      </c>
      <c r="D32" s="664">
        <v>1053.1330707154129</v>
      </c>
      <c r="E32" s="664">
        <v>3039.2267719867555</v>
      </c>
      <c r="F32" s="664">
        <v>104.76477540400003</v>
      </c>
      <c r="G32" s="664">
        <v>204.11179092861008</v>
      </c>
      <c r="H32" s="664">
        <v>1757.2127882421992</v>
      </c>
      <c r="I32" s="664">
        <v>130.72395410200511</v>
      </c>
      <c r="J32" s="664">
        <v>651.39052135079351</v>
      </c>
      <c r="K32" s="664">
        <v>5887.4106020143627</v>
      </c>
      <c r="L32" s="799">
        <v>12194.806629955587</v>
      </c>
      <c r="M32" s="796"/>
      <c r="N32" s="796"/>
    </row>
    <row r="33" spans="1:14" ht="16.5" customHeight="1">
      <c r="A33" s="720"/>
      <c r="B33" s="497" t="s">
        <v>414</v>
      </c>
      <c r="C33" s="664">
        <v>5211.7368259243813</v>
      </c>
      <c r="D33" s="664">
        <v>1160.0531715063664</v>
      </c>
      <c r="E33" s="664">
        <v>3030.3459715256877</v>
      </c>
      <c r="F33" s="664">
        <v>97.236608660279941</v>
      </c>
      <c r="G33" s="664">
        <v>209.65139991333962</v>
      </c>
      <c r="H33" s="664">
        <v>1775.714553265771</v>
      </c>
      <c r="I33" s="664">
        <v>133.86146642184696</v>
      </c>
      <c r="J33" s="664">
        <v>703.29004735939156</v>
      </c>
      <c r="K33" s="664">
        <v>5950.1000471463158</v>
      </c>
      <c r="L33" s="799">
        <v>12321.880044577063</v>
      </c>
      <c r="M33" s="796"/>
      <c r="N33" s="796"/>
    </row>
    <row r="34" spans="1:14" ht="21" customHeight="1">
      <c r="A34" s="720">
        <v>2025</v>
      </c>
      <c r="B34" s="497" t="s">
        <v>415</v>
      </c>
      <c r="C34" s="664">
        <v>5090.8806217056936</v>
      </c>
      <c r="D34" s="664">
        <v>1159.7619381125858</v>
      </c>
      <c r="E34" s="664">
        <v>3031.4637144865565</v>
      </c>
      <c r="F34" s="664">
        <v>96.606940712937728</v>
      </c>
      <c r="G34" s="664">
        <v>211.26382877729608</v>
      </c>
      <c r="H34" s="664">
        <v>1760.7168793881331</v>
      </c>
      <c r="I34" s="664">
        <v>141.54397473524301</v>
      </c>
      <c r="J34" s="664">
        <v>717.78466743332933</v>
      </c>
      <c r="K34" s="664">
        <v>5959.3900055334962</v>
      </c>
      <c r="L34" s="799">
        <v>12210.062565351776</v>
      </c>
      <c r="M34" s="796"/>
      <c r="N34" s="796"/>
    </row>
    <row r="35" spans="1:14" ht="17.25" customHeight="1">
      <c r="A35" s="720"/>
      <c r="B35" s="497" t="s">
        <v>416</v>
      </c>
      <c r="C35" s="664">
        <v>5102.855920240464</v>
      </c>
      <c r="D35" s="664">
        <v>1196.7044100017883</v>
      </c>
      <c r="E35" s="664">
        <v>3046.5394382279369</v>
      </c>
      <c r="F35" s="664">
        <v>95.734072216234694</v>
      </c>
      <c r="G35" s="664">
        <v>211.22381945620839</v>
      </c>
      <c r="H35" s="664">
        <v>1780.4576030052908</v>
      </c>
      <c r="I35" s="664">
        <v>133.09515188337534</v>
      </c>
      <c r="J35" s="664">
        <v>774.91255627668625</v>
      </c>
      <c r="K35" s="664">
        <v>6041.9426410657334</v>
      </c>
      <c r="L35" s="799">
        <v>12341.452971307985</v>
      </c>
      <c r="M35" s="796"/>
      <c r="N35" s="796"/>
    </row>
    <row r="36" spans="1:14" ht="17.25" customHeight="1">
      <c r="A36" s="720"/>
      <c r="B36" s="497" t="s">
        <v>417</v>
      </c>
      <c r="C36" s="664">
        <v>5420.1308842272992</v>
      </c>
      <c r="D36" s="664">
        <v>1168.777867074474</v>
      </c>
      <c r="E36" s="664">
        <v>3057.556118823607</v>
      </c>
      <c r="F36" s="664">
        <v>96.929923448877631</v>
      </c>
      <c r="G36" s="664">
        <v>209.30938218725512</v>
      </c>
      <c r="H36" s="664">
        <v>1773.3579202030435</v>
      </c>
      <c r="I36" s="664">
        <v>129.53046176517535</v>
      </c>
      <c r="J36" s="664">
        <v>751.80673064117366</v>
      </c>
      <c r="K36" s="664">
        <v>6018.480537069132</v>
      </c>
      <c r="L36" s="799">
        <v>12607.389288370905</v>
      </c>
      <c r="M36" s="796"/>
      <c r="N36" s="796"/>
    </row>
    <row r="37" spans="1:14" ht="17.25" customHeight="1">
      <c r="A37" s="720"/>
      <c r="B37" s="497" t="s">
        <v>418</v>
      </c>
      <c r="C37" s="664">
        <v>5359.2542670126995</v>
      </c>
      <c r="D37" s="664">
        <v>962.44364826775359</v>
      </c>
      <c r="E37" s="664">
        <v>3083.4383664803154</v>
      </c>
      <c r="F37" s="664">
        <v>98.374439403190507</v>
      </c>
      <c r="G37" s="664">
        <v>210.70198339131269</v>
      </c>
      <c r="H37" s="664">
        <v>1776.3700334398636</v>
      </c>
      <c r="I37" s="664">
        <v>134.90697995268584</v>
      </c>
      <c r="J37" s="664">
        <v>747.94137162339757</v>
      </c>
      <c r="K37" s="664">
        <v>6051.7331742907663</v>
      </c>
      <c r="L37" s="799">
        <v>12373.40108957122</v>
      </c>
      <c r="M37" s="796"/>
      <c r="N37" s="796"/>
    </row>
    <row r="38" spans="1:14" ht="17.25" customHeight="1">
      <c r="A38" s="720"/>
      <c r="B38" s="497" t="s">
        <v>419</v>
      </c>
      <c r="C38" s="664">
        <v>5376.9918776872491</v>
      </c>
      <c r="D38" s="664">
        <v>981.3439713106311</v>
      </c>
      <c r="E38" s="664">
        <v>3091.1741123766014</v>
      </c>
      <c r="F38" s="664">
        <v>98.985262869448832</v>
      </c>
      <c r="G38" s="664">
        <v>208.96996204277127</v>
      </c>
      <c r="H38" s="664">
        <v>1823.4308313506344</v>
      </c>
      <c r="I38" s="664">
        <v>120.96772606116446</v>
      </c>
      <c r="J38" s="664">
        <v>742.13218136609828</v>
      </c>
      <c r="K38" s="664">
        <v>6085.6600760667188</v>
      </c>
      <c r="L38" s="799">
        <v>12443.995925064599</v>
      </c>
      <c r="M38" s="796"/>
      <c r="N38" s="796"/>
    </row>
    <row r="39" spans="1:14" ht="17.25" customHeight="1">
      <c r="A39" s="720"/>
      <c r="B39" s="497" t="s">
        <v>420</v>
      </c>
      <c r="C39" s="664">
        <v>5363.2892695501778</v>
      </c>
      <c r="D39" s="664">
        <v>1010.7437151857915</v>
      </c>
      <c r="E39" s="664">
        <v>3093.8592211611513</v>
      </c>
      <c r="F39" s="664">
        <v>97.225197071025647</v>
      </c>
      <c r="G39" s="664">
        <v>212.96984374498405</v>
      </c>
      <c r="H39" s="664">
        <v>1813.9588949115157</v>
      </c>
      <c r="I39" s="664">
        <v>126.52311999544074</v>
      </c>
      <c r="J39" s="664">
        <v>758.93683913909035</v>
      </c>
      <c r="K39" s="664">
        <v>6103.4631160232075</v>
      </c>
      <c r="L39" s="799">
        <v>12477.506100759178</v>
      </c>
      <c r="M39" s="796"/>
      <c r="N39" s="796"/>
    </row>
    <row r="40" spans="1:14" ht="17.25" customHeight="1">
      <c r="A40" s="720"/>
      <c r="B40" s="497" t="s">
        <v>421</v>
      </c>
      <c r="C40" s="664">
        <v>5272.0058261838458</v>
      </c>
      <c r="D40" s="664">
        <v>1112.6430453317023</v>
      </c>
      <c r="E40" s="664">
        <v>3105.488396373255</v>
      </c>
      <c r="F40" s="664">
        <v>96.757096602209856</v>
      </c>
      <c r="G40" s="664">
        <v>214.00207613737166</v>
      </c>
      <c r="H40" s="664">
        <v>1817.0317475335639</v>
      </c>
      <c r="I40" s="664">
        <v>118.65953199660275</v>
      </c>
      <c r="J40" s="664">
        <v>788.23269521232021</v>
      </c>
      <c r="K40" s="664">
        <v>6140.1515438553233</v>
      </c>
      <c r="L40" s="799">
        <v>12524.83041537087</v>
      </c>
      <c r="M40" s="796"/>
      <c r="N40" s="796"/>
    </row>
    <row r="41" spans="1:14" ht="17.25" customHeight="1">
      <c r="A41" s="720"/>
      <c r="B41" s="497" t="s">
        <v>422</v>
      </c>
      <c r="C41" s="664">
        <v>5172.6781049010488</v>
      </c>
      <c r="D41" s="664">
        <v>1301.6699856150972</v>
      </c>
      <c r="E41" s="664">
        <v>3125.0546931772155</v>
      </c>
      <c r="F41" s="664">
        <v>95.79514366633714</v>
      </c>
      <c r="G41" s="664">
        <v>215.62445856626138</v>
      </c>
      <c r="H41" s="664">
        <v>1819.7043712316513</v>
      </c>
      <c r="I41" s="664">
        <v>125.72265947975004</v>
      </c>
      <c r="J41" s="664">
        <v>790.50925408794672</v>
      </c>
      <c r="K41" s="664">
        <v>6172.4105802091626</v>
      </c>
      <c r="L41" s="799">
        <v>12646.758670725307</v>
      </c>
      <c r="M41" s="796"/>
      <c r="N41" s="796"/>
    </row>
    <row r="42" spans="1:14" ht="17.25" customHeight="1">
      <c r="A42" s="720"/>
      <c r="B42" s="497" t="s">
        <v>423</v>
      </c>
      <c r="C42" s="664">
        <v>5194.9394012753892</v>
      </c>
      <c r="D42" s="664">
        <v>1427.2951288437189</v>
      </c>
      <c r="E42" s="664">
        <v>3135.080963337296</v>
      </c>
      <c r="F42" s="664">
        <v>95.718940315254002</v>
      </c>
      <c r="G42" s="664">
        <v>185.36023841480446</v>
      </c>
      <c r="H42" s="664">
        <v>1786.3176772417112</v>
      </c>
      <c r="I42" s="664">
        <v>125.33329381862335</v>
      </c>
      <c r="J42" s="664">
        <v>796.75991434383059</v>
      </c>
      <c r="K42" s="664">
        <v>6124.5510274715189</v>
      </c>
      <c r="L42" s="799">
        <v>12746.785557590629</v>
      </c>
      <c r="M42" s="796"/>
      <c r="N42" s="796"/>
    </row>
    <row r="43" spans="1:14" ht="17.25" customHeight="1">
      <c r="A43" s="720"/>
      <c r="B43" s="497" t="s">
        <v>412</v>
      </c>
      <c r="C43" s="664">
        <v>5182.1028869565325</v>
      </c>
      <c r="D43" s="664">
        <v>1437.4579156422362</v>
      </c>
      <c r="E43" s="664">
        <v>3155.459272017129</v>
      </c>
      <c r="F43" s="664">
        <v>95.541981788001337</v>
      </c>
      <c r="G43" s="664">
        <v>189.20467699921545</v>
      </c>
      <c r="H43" s="664">
        <v>1785.6100100074857</v>
      </c>
      <c r="I43" s="664">
        <v>126.79336461589878</v>
      </c>
      <c r="J43" s="664">
        <v>805.87571089479354</v>
      </c>
      <c r="K43" s="664">
        <v>6158.5050163225242</v>
      </c>
      <c r="L43" s="799">
        <v>12778.065818921294</v>
      </c>
      <c r="M43" s="796"/>
      <c r="N43" s="796"/>
    </row>
    <row r="44" spans="1:14" s="306" customFormat="1" ht="20.25" customHeight="1">
      <c r="A44" s="253" t="s">
        <v>908</v>
      </c>
      <c r="B44" s="253"/>
      <c r="C44" s="253"/>
      <c r="D44" s="253"/>
      <c r="E44" s="253"/>
      <c r="F44" s="253"/>
      <c r="G44" s="253"/>
      <c r="H44" s="253"/>
      <c r="I44" s="253"/>
      <c r="J44" s="253"/>
      <c r="K44" s="1603"/>
      <c r="L44" s="1603" t="s">
        <v>909</v>
      </c>
    </row>
    <row r="45" spans="1:14" s="416" customFormat="1">
      <c r="A45" s="306" t="s">
        <v>910</v>
      </c>
      <c r="C45" s="414"/>
      <c r="E45" s="413"/>
      <c r="F45" s="413"/>
      <c r="G45" s="413"/>
      <c r="L45" s="1604" t="s">
        <v>911</v>
      </c>
    </row>
    <row r="46" spans="1:14" s="416" customFormat="1">
      <c r="A46" s="306" t="s">
        <v>912</v>
      </c>
      <c r="C46" s="414"/>
      <c r="E46" s="413"/>
      <c r="F46" s="413"/>
      <c r="G46" s="413"/>
      <c r="L46" s="1604"/>
    </row>
    <row r="47" spans="1:14">
      <c r="A47" s="387" t="s">
        <v>913</v>
      </c>
      <c r="B47" s="387"/>
      <c r="C47" s="387"/>
      <c r="D47" s="387"/>
      <c r="E47" s="387"/>
      <c r="F47" s="387"/>
      <c r="G47" s="387"/>
      <c r="H47" s="387"/>
      <c r="I47" s="387"/>
      <c r="J47" s="387"/>
      <c r="K47" s="387"/>
      <c r="L47" s="1605"/>
    </row>
    <row r="48" spans="1:14" ht="14.85" customHeight="1">
      <c r="C48" s="443"/>
      <c r="D48" s="443"/>
      <c r="E48" s="443"/>
      <c r="F48" s="443"/>
      <c r="G48" s="443"/>
      <c r="H48" s="443"/>
      <c r="I48" s="443"/>
      <c r="J48" s="443"/>
      <c r="K48" s="443"/>
      <c r="L48" s="1604"/>
    </row>
    <row r="49" spans="12:12" ht="14.85" customHeight="1">
      <c r="L49" s="1604"/>
    </row>
    <row r="50" spans="12:12">
      <c r="L50" s="1604"/>
    </row>
    <row r="51" spans="12:12">
      <c r="L51" s="321"/>
    </row>
    <row r="53" spans="12:12">
      <c r="L53" s="1250"/>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abSelected="1" topLeftCell="A15" zoomScale="70" zoomScaleNormal="70" workbookViewId="0">
      <pane xSplit="2" topLeftCell="C1" activePane="topRight" state="frozen"/>
      <selection activeCell="N29" sqref="N29"/>
      <selection pane="topRight" activeCell="N29" sqref="N29"/>
    </sheetView>
  </sheetViews>
  <sheetFormatPr defaultColWidth="18.28515625" defaultRowHeight="15"/>
  <cols>
    <col min="1" max="1" width="6.140625" style="1599" customWidth="1"/>
    <col min="2" max="2" width="46.42578125" style="1327" customWidth="1"/>
    <col min="3" max="3" width="15" style="1327" bestFit="1" customWidth="1"/>
    <col min="4" max="4" width="15.42578125" style="1327" bestFit="1" customWidth="1"/>
    <col min="5" max="5" width="15" style="1327" bestFit="1" customWidth="1"/>
    <col min="6" max="6" width="15.42578125" style="1327" bestFit="1" customWidth="1"/>
    <col min="7" max="7" width="15" style="1327" bestFit="1" customWidth="1"/>
    <col min="8" max="8" width="15.42578125" style="1327" bestFit="1" customWidth="1"/>
    <col min="9" max="9" width="15" style="1327" bestFit="1" customWidth="1"/>
    <col min="10" max="10" width="15.42578125" style="1327" bestFit="1" customWidth="1"/>
    <col min="11" max="11" width="15" style="1327" bestFit="1" customWidth="1"/>
    <col min="12" max="12" width="15.42578125" style="1327" bestFit="1" customWidth="1"/>
    <col min="13" max="13" width="15" style="1327" bestFit="1" customWidth="1"/>
    <col min="14" max="14" width="15.42578125" style="1327" bestFit="1" customWidth="1"/>
    <col min="15" max="15" width="15" style="1327" bestFit="1" customWidth="1"/>
    <col min="16" max="16" width="15.42578125" style="1327" bestFit="1" customWidth="1"/>
    <col min="17" max="17" width="46.7109375" style="1327" customWidth="1"/>
    <col min="18" max="18" width="18.28515625" style="1327" bestFit="1"/>
    <col min="19" max="19" width="0" style="1327" hidden="1" customWidth="1"/>
    <col min="20" max="16384" width="18.28515625" style="1327"/>
  </cols>
  <sheetData>
    <row r="1" spans="1:19" ht="18" customHeight="1">
      <c r="A1" s="808" t="s">
        <v>1749</v>
      </c>
      <c r="B1" s="952"/>
      <c r="C1" s="952"/>
      <c r="D1" s="952"/>
      <c r="E1" s="952"/>
      <c r="F1" s="952"/>
      <c r="G1" s="952"/>
      <c r="H1" s="952"/>
      <c r="I1" s="952"/>
      <c r="J1" s="952"/>
      <c r="K1" s="952"/>
      <c r="L1" s="952"/>
      <c r="M1" s="952"/>
      <c r="N1" s="952"/>
      <c r="O1" s="952"/>
      <c r="P1" s="952"/>
      <c r="Q1" s="952"/>
    </row>
    <row r="2" spans="1:19" ht="18" customHeight="1">
      <c r="A2" s="277" t="s">
        <v>827</v>
      </c>
      <c r="B2" s="1574"/>
      <c r="C2" s="1574"/>
      <c r="D2" s="1574"/>
      <c r="E2" s="1574"/>
      <c r="F2" s="1574"/>
      <c r="G2" s="1574"/>
      <c r="H2" s="1574"/>
      <c r="I2" s="1574"/>
      <c r="J2" s="1574"/>
      <c r="K2" s="1574"/>
      <c r="L2" s="1574"/>
      <c r="M2" s="1574"/>
      <c r="N2" s="1574"/>
      <c r="O2" s="1574"/>
      <c r="P2" s="1574"/>
      <c r="Q2" s="1574"/>
    </row>
    <row r="3" spans="1:19" ht="18">
      <c r="A3" s="1575" t="s">
        <v>914</v>
      </c>
      <c r="B3" s="952"/>
      <c r="C3" s="952"/>
      <c r="D3" s="952"/>
      <c r="E3" s="952"/>
      <c r="F3" s="952"/>
      <c r="G3" s="952"/>
      <c r="H3" s="952"/>
      <c r="I3" s="952"/>
      <c r="J3" s="952"/>
      <c r="K3" s="952"/>
      <c r="L3" s="952"/>
      <c r="M3" s="952"/>
      <c r="N3" s="952"/>
      <c r="O3" s="952"/>
      <c r="P3" s="952"/>
      <c r="Q3" s="952"/>
    </row>
    <row r="4" spans="1:19" ht="18">
      <c r="A4" s="277" t="s">
        <v>915</v>
      </c>
      <c r="B4" s="952"/>
      <c r="C4" s="952"/>
      <c r="D4" s="952"/>
      <c r="E4" s="952"/>
      <c r="F4" s="952"/>
      <c r="G4" s="952"/>
      <c r="H4" s="952"/>
      <c r="I4" s="952"/>
      <c r="J4" s="952"/>
      <c r="K4" s="952"/>
      <c r="L4" s="952"/>
      <c r="M4" s="952"/>
      <c r="N4" s="952"/>
      <c r="O4" s="952"/>
      <c r="P4" s="952"/>
      <c r="Q4" s="952"/>
    </row>
    <row r="5" spans="1:19" ht="15.75" customHeight="1">
      <c r="A5" s="952"/>
      <c r="B5" s="952"/>
      <c r="C5" s="1336"/>
      <c r="D5" s="1336"/>
      <c r="E5" s="1336"/>
      <c r="F5" s="1336"/>
      <c r="G5" s="1336"/>
      <c r="H5" s="1336"/>
      <c r="I5" s="1336"/>
      <c r="J5" s="1336"/>
      <c r="K5" s="1336"/>
      <c r="L5" s="1336"/>
      <c r="M5" s="1336"/>
      <c r="N5" s="1336"/>
      <c r="O5" s="1336"/>
      <c r="P5" s="1336"/>
      <c r="Q5" s="952"/>
    </row>
    <row r="6" spans="1:19" ht="15.75" customHeight="1">
      <c r="A6" s="952"/>
      <c r="B6" s="952"/>
      <c r="C6" s="1336"/>
      <c r="D6" s="1336"/>
      <c r="E6" s="1336"/>
      <c r="F6" s="1336"/>
      <c r="G6" s="1336"/>
      <c r="H6" s="1336"/>
      <c r="I6" s="1336"/>
      <c r="J6" s="1336"/>
      <c r="K6" s="1336"/>
      <c r="L6" s="1336"/>
      <c r="M6" s="1336"/>
      <c r="N6" s="1336"/>
      <c r="O6" s="1336"/>
      <c r="P6" s="1336"/>
      <c r="Q6" s="952"/>
    </row>
    <row r="7" spans="1:19">
      <c r="A7" s="417" t="s">
        <v>369</v>
      </c>
      <c r="D7" s="830"/>
      <c r="F7" s="830"/>
      <c r="H7" s="830"/>
      <c r="J7" s="830"/>
      <c r="L7" s="830"/>
      <c r="N7" s="830"/>
      <c r="P7" s="830"/>
      <c r="Q7" s="246" t="s">
        <v>370</v>
      </c>
    </row>
    <row r="8" spans="1:19" s="1578" customFormat="1" ht="20.25" customHeight="1">
      <c r="A8" s="1919"/>
      <c r="B8" s="1919" t="s">
        <v>916</v>
      </c>
      <c r="C8" s="1577">
        <v>2025</v>
      </c>
      <c r="D8" s="1577"/>
      <c r="E8" s="1577"/>
      <c r="F8" s="1577"/>
      <c r="G8" s="1577"/>
      <c r="H8" s="1577"/>
      <c r="I8" s="1577"/>
      <c r="J8" s="1577"/>
      <c r="K8" s="1577"/>
      <c r="L8" s="1577"/>
      <c r="M8" s="1577"/>
      <c r="N8" s="1577"/>
      <c r="O8" s="1577"/>
      <c r="P8" s="1577"/>
      <c r="Q8" s="1919" t="s">
        <v>917</v>
      </c>
    </row>
    <row r="9" spans="1:19" s="1578" customFormat="1" ht="20.25" customHeight="1">
      <c r="A9" s="1920"/>
      <c r="B9" s="1920"/>
      <c r="C9" s="1922" t="s">
        <v>918</v>
      </c>
      <c r="D9" s="1923"/>
      <c r="E9" s="1922" t="s">
        <v>419</v>
      </c>
      <c r="F9" s="1923"/>
      <c r="G9" s="1922" t="s">
        <v>919</v>
      </c>
      <c r="H9" s="1923"/>
      <c r="I9" s="1922" t="s">
        <v>920</v>
      </c>
      <c r="J9" s="1923"/>
      <c r="K9" s="1922" t="s">
        <v>921</v>
      </c>
      <c r="L9" s="1923"/>
      <c r="M9" s="1922" t="s">
        <v>922</v>
      </c>
      <c r="N9" s="1923"/>
      <c r="O9" s="1922" t="s">
        <v>923</v>
      </c>
      <c r="P9" s="1923"/>
      <c r="Q9" s="1920"/>
    </row>
    <row r="10" spans="1:19" s="1578" customFormat="1" ht="63">
      <c r="A10" s="1920"/>
      <c r="B10" s="1920"/>
      <c r="C10" s="1576" t="s">
        <v>924</v>
      </c>
      <c r="D10" s="1576" t="s">
        <v>925</v>
      </c>
      <c r="E10" s="1576" t="s">
        <v>924</v>
      </c>
      <c r="F10" s="1576" t="s">
        <v>925</v>
      </c>
      <c r="G10" s="1576" t="s">
        <v>924</v>
      </c>
      <c r="H10" s="1576" t="s">
        <v>925</v>
      </c>
      <c r="I10" s="1576" t="s">
        <v>924</v>
      </c>
      <c r="J10" s="1576" t="s">
        <v>925</v>
      </c>
      <c r="K10" s="1576" t="s">
        <v>924</v>
      </c>
      <c r="L10" s="1576" t="s">
        <v>925</v>
      </c>
      <c r="M10" s="1576" t="s">
        <v>924</v>
      </c>
      <c r="N10" s="1576" t="s">
        <v>925</v>
      </c>
      <c r="O10" s="1576" t="s">
        <v>924</v>
      </c>
      <c r="P10" s="1576" t="s">
        <v>925</v>
      </c>
      <c r="Q10" s="1920"/>
    </row>
    <row r="11" spans="1:19" s="1580" customFormat="1" ht="47.25">
      <c r="A11" s="1921"/>
      <c r="B11" s="1921"/>
      <c r="C11" s="1579" t="s">
        <v>926</v>
      </c>
      <c r="D11" s="1579" t="s">
        <v>927</v>
      </c>
      <c r="E11" s="1579" t="s">
        <v>926</v>
      </c>
      <c r="F11" s="1579" t="s">
        <v>927</v>
      </c>
      <c r="G11" s="1579" t="s">
        <v>926</v>
      </c>
      <c r="H11" s="1579" t="s">
        <v>927</v>
      </c>
      <c r="I11" s="1579" t="s">
        <v>926</v>
      </c>
      <c r="J11" s="1579" t="s">
        <v>927</v>
      </c>
      <c r="K11" s="1579" t="s">
        <v>926</v>
      </c>
      <c r="L11" s="1579" t="s">
        <v>927</v>
      </c>
      <c r="M11" s="1579" t="s">
        <v>926</v>
      </c>
      <c r="N11" s="1579" t="s">
        <v>927</v>
      </c>
      <c r="O11" s="1579" t="s">
        <v>926</v>
      </c>
      <c r="P11" s="1579" t="s">
        <v>927</v>
      </c>
      <c r="Q11" s="1921"/>
    </row>
    <row r="12" spans="1:19" ht="21" customHeight="1">
      <c r="A12" s="1581">
        <v>1</v>
      </c>
      <c r="B12" s="1582" t="s">
        <v>928</v>
      </c>
      <c r="C12" s="1102">
        <v>16.480327457119419</v>
      </c>
      <c r="D12" s="1102">
        <v>0.96707708600000009</v>
      </c>
      <c r="E12" s="1102">
        <v>15.730092929311038</v>
      </c>
      <c r="F12" s="1102">
        <v>0.96720743999999992</v>
      </c>
      <c r="G12" s="1102">
        <v>34.324944969508216</v>
      </c>
      <c r="H12" s="1102">
        <v>0.94394666599999977</v>
      </c>
      <c r="I12" s="1102">
        <v>33.526128396533224</v>
      </c>
      <c r="J12" s="1102">
        <v>0.94240771099999976</v>
      </c>
      <c r="K12" s="1102">
        <v>33.472614787661215</v>
      </c>
      <c r="L12" s="1102">
        <v>0.91936341199999982</v>
      </c>
      <c r="M12" s="1102">
        <v>32.547764534770636</v>
      </c>
      <c r="N12" s="1102">
        <v>3.0024689539999998</v>
      </c>
      <c r="O12" s="1102">
        <v>33.555161268447804</v>
      </c>
      <c r="P12" s="1102">
        <v>2.9728343009999998</v>
      </c>
      <c r="Q12" s="1583" t="s">
        <v>929</v>
      </c>
      <c r="S12" s="1584" t="e">
        <f>ROUND(#REF!,0)</f>
        <v>#REF!</v>
      </c>
    </row>
    <row r="13" spans="1:19" ht="21" customHeight="1">
      <c r="A13" s="1581">
        <v>2</v>
      </c>
      <c r="B13" s="1585" t="s">
        <v>930</v>
      </c>
      <c r="C13" s="1103">
        <v>114.86434469882175</v>
      </c>
      <c r="D13" s="1103">
        <v>0</v>
      </c>
      <c r="E13" s="1103">
        <v>97.075810803892097</v>
      </c>
      <c r="F13" s="1103">
        <v>0</v>
      </c>
      <c r="G13" s="1103">
        <v>96.203709912826369</v>
      </c>
      <c r="H13" s="1103">
        <v>0</v>
      </c>
      <c r="I13" s="1103">
        <v>97.236779425581815</v>
      </c>
      <c r="J13" s="1103">
        <v>0</v>
      </c>
      <c r="K13" s="1103">
        <v>94.141545897120167</v>
      </c>
      <c r="L13" s="1103">
        <v>0</v>
      </c>
      <c r="M13" s="1103">
        <v>88.295208056727773</v>
      </c>
      <c r="N13" s="1103">
        <v>0</v>
      </c>
      <c r="O13" s="1103">
        <v>87.235336051827801</v>
      </c>
      <c r="P13" s="1103">
        <v>0</v>
      </c>
      <c r="Q13" s="1586" t="s">
        <v>931</v>
      </c>
      <c r="S13" s="1584" t="e">
        <f>ROUND(#REF!,0)</f>
        <v>#REF!</v>
      </c>
    </row>
    <row r="14" spans="1:19" ht="21" customHeight="1">
      <c r="A14" s="1581">
        <v>3</v>
      </c>
      <c r="B14" s="1585" t="s">
        <v>582</v>
      </c>
      <c r="C14" s="1103">
        <v>1286.3655511527675</v>
      </c>
      <c r="D14" s="1103">
        <v>32.332220603093567</v>
      </c>
      <c r="E14" s="1103">
        <v>1276.0483558132244</v>
      </c>
      <c r="F14" s="1103">
        <v>31.476138567000007</v>
      </c>
      <c r="G14" s="1103">
        <v>1287.9592499907226</v>
      </c>
      <c r="H14" s="1103">
        <v>32.868307153847923</v>
      </c>
      <c r="I14" s="1103">
        <v>1226.6723721222907</v>
      </c>
      <c r="J14" s="1103">
        <v>36.065143219532132</v>
      </c>
      <c r="K14" s="1103">
        <v>1181.3642821655983</v>
      </c>
      <c r="L14" s="1103">
        <v>31.840520645071845</v>
      </c>
      <c r="M14" s="1103">
        <v>1199.6970207072568</v>
      </c>
      <c r="N14" s="1103">
        <v>32.250954488405036</v>
      </c>
      <c r="O14" s="1103">
        <v>1138.0591020457662</v>
      </c>
      <c r="P14" s="1103">
        <v>32.748598696170674</v>
      </c>
      <c r="Q14" s="1586" t="s">
        <v>932</v>
      </c>
      <c r="S14" s="1584" t="e">
        <f>ROUND(#REF!,0)</f>
        <v>#REF!</v>
      </c>
    </row>
    <row r="15" spans="1:19" ht="33.75" customHeight="1">
      <c r="A15" s="1581">
        <v>4</v>
      </c>
      <c r="B15" s="1585" t="s">
        <v>933</v>
      </c>
      <c r="C15" s="1103">
        <v>195.81937759366809</v>
      </c>
      <c r="D15" s="1103">
        <v>1.1673025330000002</v>
      </c>
      <c r="E15" s="1103">
        <v>240.2023905442575</v>
      </c>
      <c r="F15" s="1103">
        <v>1.1376508230000002</v>
      </c>
      <c r="G15" s="1103">
        <v>227.53437953018025</v>
      </c>
      <c r="H15" s="1103">
        <v>1.121608333</v>
      </c>
      <c r="I15" s="1103">
        <v>227.22051080716869</v>
      </c>
      <c r="J15" s="1103">
        <v>1.0666686380000001</v>
      </c>
      <c r="K15" s="1103">
        <v>229.51398344241099</v>
      </c>
      <c r="L15" s="1103">
        <v>1.0406261480000003</v>
      </c>
      <c r="M15" s="1103">
        <v>229.57697801141148</v>
      </c>
      <c r="N15" s="1103">
        <v>0.94346738906333139</v>
      </c>
      <c r="O15" s="1103">
        <v>223.06463757652244</v>
      </c>
      <c r="P15" s="1103">
        <v>0.9264570050633314</v>
      </c>
      <c r="Q15" s="1586" t="s">
        <v>934</v>
      </c>
      <c r="S15" s="1584" t="e">
        <f>ROUND(#REF!,0)</f>
        <v>#REF!</v>
      </c>
    </row>
    <row r="16" spans="1:19" ht="33">
      <c r="A16" s="1581">
        <v>5</v>
      </c>
      <c r="B16" s="1585" t="s">
        <v>935</v>
      </c>
      <c r="C16" s="1103">
        <v>24.076978306275251</v>
      </c>
      <c r="D16" s="1103">
        <v>0</v>
      </c>
      <c r="E16" s="1103">
        <v>23.690518654025396</v>
      </c>
      <c r="F16" s="1103">
        <v>0</v>
      </c>
      <c r="G16" s="1103">
        <v>24.017150759192681</v>
      </c>
      <c r="H16" s="1103">
        <v>0</v>
      </c>
      <c r="I16" s="1103">
        <v>24.423486498877061</v>
      </c>
      <c r="J16" s="1103">
        <v>0</v>
      </c>
      <c r="K16" s="1103">
        <v>24.870813043598432</v>
      </c>
      <c r="L16" s="1103">
        <v>0</v>
      </c>
      <c r="M16" s="1103">
        <v>25.206713164732097</v>
      </c>
      <c r="N16" s="1103">
        <v>0</v>
      </c>
      <c r="O16" s="1103">
        <v>22.62007838854403</v>
      </c>
      <c r="P16" s="1103">
        <v>0</v>
      </c>
      <c r="Q16" s="1587" t="s">
        <v>936</v>
      </c>
      <c r="S16" s="1584" t="e">
        <f>ROUND(#REF!,0)</f>
        <v>#REF!</v>
      </c>
    </row>
    <row r="17" spans="1:19" ht="21" customHeight="1">
      <c r="A17" s="1581">
        <v>6</v>
      </c>
      <c r="B17" s="1585" t="s">
        <v>937</v>
      </c>
      <c r="C17" s="1103">
        <v>746.45965709660402</v>
      </c>
      <c r="D17" s="1103">
        <v>169.02253600242278</v>
      </c>
      <c r="E17" s="1103">
        <v>770.27019159875545</v>
      </c>
      <c r="F17" s="1103">
        <v>145.41923808729823</v>
      </c>
      <c r="G17" s="1103">
        <v>762.23230345021864</v>
      </c>
      <c r="H17" s="1103">
        <v>145.06924828309258</v>
      </c>
      <c r="I17" s="1103">
        <v>730.5960166472023</v>
      </c>
      <c r="J17" s="1103">
        <v>144.73578435579398</v>
      </c>
      <c r="K17" s="1103">
        <v>720.13799136878731</v>
      </c>
      <c r="L17" s="1103">
        <v>146.05123281440075</v>
      </c>
      <c r="M17" s="1103">
        <v>717.22630833407277</v>
      </c>
      <c r="N17" s="1103">
        <v>142.75760022393689</v>
      </c>
      <c r="O17" s="1103">
        <v>727.88242820592802</v>
      </c>
      <c r="P17" s="1103">
        <v>142.89592900643771</v>
      </c>
      <c r="Q17" s="1587" t="s">
        <v>938</v>
      </c>
      <c r="S17" s="1584" t="e">
        <f>ROUND(#REF!,0)</f>
        <v>#REF!</v>
      </c>
    </row>
    <row r="18" spans="1:19" ht="33">
      <c r="A18" s="1581">
        <v>7</v>
      </c>
      <c r="B18" s="1585" t="s">
        <v>939</v>
      </c>
      <c r="C18" s="1103">
        <v>626.74322891240558</v>
      </c>
      <c r="D18" s="1103">
        <v>129.412247584135</v>
      </c>
      <c r="E18" s="1103">
        <v>641.98822399420101</v>
      </c>
      <c r="F18" s="1103">
        <v>116.14178205236632</v>
      </c>
      <c r="G18" s="1103">
        <v>638.1587202338817</v>
      </c>
      <c r="H18" s="1103">
        <v>115.05781310099231</v>
      </c>
      <c r="I18" s="1103">
        <v>628.47256059053279</v>
      </c>
      <c r="J18" s="1103">
        <v>112.47695987898871</v>
      </c>
      <c r="K18" s="1103">
        <v>645.50735689422766</v>
      </c>
      <c r="L18" s="1103">
        <v>111.82577540905787</v>
      </c>
      <c r="M18" s="1103">
        <v>635.10828854225406</v>
      </c>
      <c r="N18" s="1103">
        <v>122.31430065439068</v>
      </c>
      <c r="O18" s="1103">
        <v>612.73507787131348</v>
      </c>
      <c r="P18" s="1103">
        <v>109.07619831463892</v>
      </c>
      <c r="Q18" s="1587" t="s">
        <v>940</v>
      </c>
      <c r="S18" s="1584" t="e">
        <f>ROUND(#REF!,0)</f>
        <v>#REF!</v>
      </c>
    </row>
    <row r="19" spans="1:19" ht="21" customHeight="1">
      <c r="A19" s="1581">
        <v>8</v>
      </c>
      <c r="B19" s="1585" t="s">
        <v>941</v>
      </c>
      <c r="C19" s="1103">
        <v>66.641485163716311</v>
      </c>
      <c r="D19" s="1103">
        <v>8.1447097160000013</v>
      </c>
      <c r="E19" s="1103">
        <v>65.772436030647597</v>
      </c>
      <c r="F19" s="1103">
        <v>7.9968356859999989</v>
      </c>
      <c r="G19" s="1103">
        <v>61.541625170965617</v>
      </c>
      <c r="H19" s="1103">
        <v>7.7925028123999986</v>
      </c>
      <c r="I19" s="1103">
        <v>64.465948405969755</v>
      </c>
      <c r="J19" s="1103">
        <v>8.2411045883999989</v>
      </c>
      <c r="K19" s="1103">
        <v>64.00733851463005</v>
      </c>
      <c r="L19" s="1103">
        <v>7.7828238079999998</v>
      </c>
      <c r="M19" s="1103">
        <v>64.096012729224839</v>
      </c>
      <c r="N19" s="1103">
        <v>8.4514630190000002</v>
      </c>
      <c r="O19" s="1103">
        <v>61.167141307019605</v>
      </c>
      <c r="P19" s="1103">
        <v>8.4864007292399997</v>
      </c>
      <c r="Q19" s="1586" t="s">
        <v>942</v>
      </c>
      <c r="S19" s="1584" t="e">
        <f>ROUND(#REF!,0)</f>
        <v>#REF!</v>
      </c>
    </row>
    <row r="20" spans="1:19" ht="33.75" customHeight="1">
      <c r="A20" s="1581">
        <v>9</v>
      </c>
      <c r="B20" s="1585" t="s">
        <v>943</v>
      </c>
      <c r="C20" s="1103">
        <v>184.96443403848082</v>
      </c>
      <c r="D20" s="1103">
        <v>32.154869798</v>
      </c>
      <c r="E20" s="1103">
        <v>186.67688880031469</v>
      </c>
      <c r="F20" s="1103">
        <v>32.02372141</v>
      </c>
      <c r="G20" s="1103">
        <v>185.44881853236237</v>
      </c>
      <c r="H20" s="1103">
        <v>32.134967727999999</v>
      </c>
      <c r="I20" s="1103">
        <v>185.10426618183095</v>
      </c>
      <c r="J20" s="1103">
        <v>28.3214355</v>
      </c>
      <c r="K20" s="1103">
        <v>184.08595392825976</v>
      </c>
      <c r="L20" s="1103">
        <v>32.133934093000001</v>
      </c>
      <c r="M20" s="1103">
        <v>181.05830043161797</v>
      </c>
      <c r="N20" s="1103">
        <v>32.339576542000003</v>
      </c>
      <c r="O20" s="1103">
        <v>182.11340917507968</v>
      </c>
      <c r="P20" s="1103">
        <v>31.956752699000006</v>
      </c>
      <c r="Q20" s="1586" t="s">
        <v>944</v>
      </c>
      <c r="S20" s="1584" t="e">
        <f>ROUND(#REF!,0)</f>
        <v>#REF!</v>
      </c>
    </row>
    <row r="21" spans="1:19" ht="21" customHeight="1">
      <c r="A21" s="1581">
        <v>10</v>
      </c>
      <c r="B21" s="1585" t="s">
        <v>945</v>
      </c>
      <c r="C21" s="1103">
        <v>138.49638990909966</v>
      </c>
      <c r="D21" s="1103">
        <v>0.9591984819999998</v>
      </c>
      <c r="E21" s="1103">
        <v>138.66961495825655</v>
      </c>
      <c r="F21" s="1103">
        <v>0.81995009799999985</v>
      </c>
      <c r="G21" s="1103">
        <v>138.2734237932705</v>
      </c>
      <c r="H21" s="1103">
        <v>0.65565978144999948</v>
      </c>
      <c r="I21" s="1103">
        <v>138.57690621247852</v>
      </c>
      <c r="J21" s="1103">
        <v>0.77648443745000006</v>
      </c>
      <c r="K21" s="1103">
        <v>138.53993234303681</v>
      </c>
      <c r="L21" s="1103">
        <v>0.79585066399999982</v>
      </c>
      <c r="M21" s="1103">
        <v>139.13072498133332</v>
      </c>
      <c r="N21" s="1103">
        <v>1.0258912849999997</v>
      </c>
      <c r="O21" s="1103">
        <v>138.21770932770502</v>
      </c>
      <c r="P21" s="1103">
        <v>1.022427905810001</v>
      </c>
      <c r="Q21" s="1586" t="s">
        <v>946</v>
      </c>
      <c r="S21" s="1584" t="e">
        <f>ROUND(#REF!,0)</f>
        <v>#REF!</v>
      </c>
    </row>
    <row r="22" spans="1:19" ht="21" customHeight="1">
      <c r="A22" s="1581">
        <v>11</v>
      </c>
      <c r="B22" s="1585" t="s">
        <v>947</v>
      </c>
      <c r="C22" s="1103">
        <v>262.73746860514797</v>
      </c>
      <c r="D22" s="1103">
        <v>11.638821137579999</v>
      </c>
      <c r="E22" s="1103">
        <v>235.02463818574975</v>
      </c>
      <c r="F22" s="1103">
        <v>10.902265784230002</v>
      </c>
      <c r="G22" s="1103">
        <v>292.74173043422087</v>
      </c>
      <c r="H22" s="1103">
        <v>11.393283429069999</v>
      </c>
      <c r="I22" s="1103">
        <v>299.70863465745992</v>
      </c>
      <c r="J22" s="1103">
        <v>11.412200534</v>
      </c>
      <c r="K22" s="1103">
        <v>240.35933968027231</v>
      </c>
      <c r="L22" s="1103">
        <v>11.475238921999999</v>
      </c>
      <c r="M22" s="1103">
        <v>241.07846272715236</v>
      </c>
      <c r="N22" s="1103">
        <v>12.638167039999999</v>
      </c>
      <c r="O22" s="1103">
        <v>248.37083300855107</v>
      </c>
      <c r="P22" s="1103">
        <v>13.057401323000001</v>
      </c>
      <c r="Q22" s="1586" t="s">
        <v>948</v>
      </c>
      <c r="S22" s="1584" t="e">
        <f>ROUND(#REF!,0)</f>
        <v>#REF!</v>
      </c>
    </row>
    <row r="23" spans="1:19" ht="21" customHeight="1">
      <c r="A23" s="1581">
        <v>12</v>
      </c>
      <c r="B23" s="1585" t="s">
        <v>949</v>
      </c>
      <c r="C23" s="1103">
        <v>726.77965797144884</v>
      </c>
      <c r="D23" s="1103">
        <v>48.466323318280004</v>
      </c>
      <c r="E23" s="1103">
        <v>705.74012676695645</v>
      </c>
      <c r="F23" s="1103">
        <v>50.846841907820007</v>
      </c>
      <c r="G23" s="1103">
        <v>695.69937196110288</v>
      </c>
      <c r="H23" s="1103">
        <v>38.726972418819997</v>
      </c>
      <c r="I23" s="1103">
        <v>701.26969709323146</v>
      </c>
      <c r="J23" s="1103">
        <v>37.612912783670005</v>
      </c>
      <c r="K23" s="1103">
        <v>706.12470470204755</v>
      </c>
      <c r="L23" s="1103">
        <v>36.190992927989996</v>
      </c>
      <c r="M23" s="1103">
        <v>735.04149355898778</v>
      </c>
      <c r="N23" s="1103">
        <v>39.133871168240006</v>
      </c>
      <c r="O23" s="1103">
        <v>731.93523391602014</v>
      </c>
      <c r="P23" s="1103">
        <v>37.753120878489995</v>
      </c>
      <c r="Q23" s="1586" t="s">
        <v>950</v>
      </c>
      <c r="S23" s="1584" t="e">
        <f>ROUND(#REF!,0)</f>
        <v>#REF!</v>
      </c>
    </row>
    <row r="24" spans="1:19" ht="33.75" customHeight="1">
      <c r="A24" s="1581">
        <v>13</v>
      </c>
      <c r="B24" s="1585" t="s">
        <v>951</v>
      </c>
      <c r="C24" s="1103">
        <v>26.872555443197676</v>
      </c>
      <c r="D24" s="1103">
        <v>6.7069539868939998</v>
      </c>
      <c r="E24" s="1103">
        <v>20.587536578769633</v>
      </c>
      <c r="F24" s="1103">
        <v>7.2885700831710007</v>
      </c>
      <c r="G24" s="1103">
        <v>21.887494208902975</v>
      </c>
      <c r="H24" s="1103">
        <v>7.2191678020063996</v>
      </c>
      <c r="I24" s="1103">
        <v>21.905187564811634</v>
      </c>
      <c r="J24" s="1103">
        <v>7.5558958277314003</v>
      </c>
      <c r="K24" s="1103">
        <v>21.287450893086849</v>
      </c>
      <c r="L24" s="1103">
        <v>7.2088846100000001</v>
      </c>
      <c r="M24" s="1103">
        <v>21.242727770492131</v>
      </c>
      <c r="N24" s="1103">
        <v>7.1212975018139995</v>
      </c>
      <c r="O24" s="1103">
        <v>20.917469163355303</v>
      </c>
      <c r="P24" s="1103">
        <v>6.9424290016834949</v>
      </c>
      <c r="Q24" s="1586" t="s">
        <v>952</v>
      </c>
      <c r="S24" s="1584" t="e">
        <f>ROUND(#REF!,0)</f>
        <v>#REF!</v>
      </c>
    </row>
    <row r="25" spans="1:19" ht="33.75" customHeight="1">
      <c r="A25" s="1581">
        <v>14</v>
      </c>
      <c r="B25" s="1585" t="s">
        <v>953</v>
      </c>
      <c r="C25" s="1103">
        <v>0.7</v>
      </c>
      <c r="D25" s="1103">
        <v>0.4</v>
      </c>
      <c r="E25" s="1103">
        <v>0.5</v>
      </c>
      <c r="F25" s="1103">
        <v>0.4</v>
      </c>
      <c r="G25" s="1103">
        <v>0.7</v>
      </c>
      <c r="H25" s="1103">
        <v>0.4</v>
      </c>
      <c r="I25" s="1103">
        <v>0.5</v>
      </c>
      <c r="J25" s="1103">
        <v>0.4</v>
      </c>
      <c r="K25" s="1103">
        <v>0.4</v>
      </c>
      <c r="L25" s="1103">
        <v>0.4</v>
      </c>
      <c r="M25" s="1103">
        <v>0.4</v>
      </c>
      <c r="N25" s="1103">
        <v>0.4</v>
      </c>
      <c r="O25" s="1103">
        <v>0.4</v>
      </c>
      <c r="P25" s="1103">
        <v>0.4</v>
      </c>
      <c r="Q25" s="1586" t="s">
        <v>954</v>
      </c>
      <c r="S25" s="1584" t="e">
        <f>ROUND(#REF!,0)</f>
        <v>#REF!</v>
      </c>
    </row>
    <row r="26" spans="1:19" ht="33.75" customHeight="1">
      <c r="A26" s="1581">
        <v>15</v>
      </c>
      <c r="B26" s="1585" t="s">
        <v>955</v>
      </c>
      <c r="C26" s="1103">
        <v>20.91</v>
      </c>
      <c r="D26" s="1103">
        <v>0</v>
      </c>
      <c r="E26" s="1103">
        <v>20.87</v>
      </c>
      <c r="F26" s="1103">
        <v>0</v>
      </c>
      <c r="G26" s="1103">
        <v>20.97</v>
      </c>
      <c r="H26" s="1103">
        <v>0</v>
      </c>
      <c r="I26" s="1103">
        <v>21</v>
      </c>
      <c r="J26" s="1103">
        <v>0</v>
      </c>
      <c r="K26" s="1103">
        <v>27.759999999999998</v>
      </c>
      <c r="L26" s="1103">
        <v>0</v>
      </c>
      <c r="M26" s="1103">
        <v>29.26</v>
      </c>
      <c r="N26" s="1103">
        <v>0</v>
      </c>
      <c r="O26" s="1103">
        <v>30.41</v>
      </c>
      <c r="P26" s="1103">
        <v>0</v>
      </c>
      <c r="Q26" s="1586" t="s">
        <v>956</v>
      </c>
      <c r="S26" s="1584" t="e">
        <f>ROUND(#REF!,0)</f>
        <v>#REF!</v>
      </c>
    </row>
    <row r="27" spans="1:19" ht="21" customHeight="1">
      <c r="A27" s="1581">
        <v>16</v>
      </c>
      <c r="B27" s="1585" t="s">
        <v>957</v>
      </c>
      <c r="C27" s="1103">
        <v>14.369885215999998</v>
      </c>
      <c r="D27" s="1103">
        <v>4.3105256520000017</v>
      </c>
      <c r="E27" s="1103">
        <v>14.288889196</v>
      </c>
      <c r="F27" s="1103">
        <v>2.4810764599999997</v>
      </c>
      <c r="G27" s="1103">
        <v>13.653160784000004</v>
      </c>
      <c r="H27" s="1103">
        <v>2.4147277520000001</v>
      </c>
      <c r="I27" s="1103">
        <v>13.782597994999996</v>
      </c>
      <c r="J27" s="1103">
        <v>2.4846966490000004</v>
      </c>
      <c r="K27" s="1103">
        <v>13.724733715000003</v>
      </c>
      <c r="L27" s="1103">
        <v>2.618682153</v>
      </c>
      <c r="M27" s="1103">
        <v>21.885985018999996</v>
      </c>
      <c r="N27" s="1103">
        <v>2.4237815239999998</v>
      </c>
      <c r="O27" s="1103">
        <v>21.460048634999996</v>
      </c>
      <c r="P27" s="1103">
        <v>2.6427453809999997</v>
      </c>
      <c r="Q27" s="1587" t="s">
        <v>958</v>
      </c>
      <c r="S27" s="1584" t="e">
        <f>ROUND(#REF!,0)</f>
        <v>#REF!</v>
      </c>
    </row>
    <row r="28" spans="1:19" ht="21" customHeight="1">
      <c r="A28" s="1581">
        <v>17</v>
      </c>
      <c r="B28" s="1585" t="s">
        <v>959</v>
      </c>
      <c r="C28" s="1103">
        <v>44.755225731700001</v>
      </c>
      <c r="D28" s="1103">
        <v>1.9487025390000001</v>
      </c>
      <c r="E28" s="1103">
        <v>44.044390675700001</v>
      </c>
      <c r="F28" s="1103">
        <v>1.801866768</v>
      </c>
      <c r="G28" s="1103">
        <v>37.677004118600003</v>
      </c>
      <c r="H28" s="1103">
        <v>1.815030997</v>
      </c>
      <c r="I28" s="1103">
        <v>37.789162727599994</v>
      </c>
      <c r="J28" s="1103">
        <v>1.298195226</v>
      </c>
      <c r="K28" s="1103">
        <v>35.882280870599999</v>
      </c>
      <c r="L28" s="1103">
        <v>1.562700285</v>
      </c>
      <c r="M28" s="1103">
        <v>39.672825569900006</v>
      </c>
      <c r="N28" s="1103">
        <v>1.805359132</v>
      </c>
      <c r="O28" s="1103">
        <v>40.757715434782568</v>
      </c>
      <c r="P28" s="1103">
        <v>1.7619043518825661</v>
      </c>
      <c r="Q28" s="1586" t="s">
        <v>960</v>
      </c>
      <c r="S28" s="1584" t="e">
        <f>ROUND(#REF!,0)</f>
        <v>#REF!</v>
      </c>
    </row>
    <row r="29" spans="1:19" ht="21" customHeight="1">
      <c r="A29" s="1581">
        <v>18</v>
      </c>
      <c r="B29" s="1585" t="s">
        <v>961</v>
      </c>
      <c r="C29" s="1103">
        <v>8.4425548101520267</v>
      </c>
      <c r="D29" s="1103">
        <v>6.700373610999999</v>
      </c>
      <c r="E29" s="1103">
        <v>8.5181369594349157</v>
      </c>
      <c r="F29" s="1103">
        <v>6.7514452820000006</v>
      </c>
      <c r="G29" s="1103">
        <v>8.6870856051638867</v>
      </c>
      <c r="H29" s="1103">
        <v>6.7991505890000035</v>
      </c>
      <c r="I29" s="1103">
        <v>8.7674786154610196</v>
      </c>
      <c r="J29" s="1103">
        <v>6.8108733080000006</v>
      </c>
      <c r="K29" s="1103">
        <v>9.014826105813798</v>
      </c>
      <c r="L29" s="1103">
        <v>6.6961876840000016</v>
      </c>
      <c r="M29" s="1103">
        <v>8.9208186431074452</v>
      </c>
      <c r="N29" s="1103">
        <v>6.9580928980000003</v>
      </c>
      <c r="O29" s="1103">
        <v>8.6207123100408598</v>
      </c>
      <c r="P29" s="1103">
        <v>6.996378334000001</v>
      </c>
      <c r="Q29" s="1586" t="s">
        <v>962</v>
      </c>
      <c r="S29" s="1584" t="e">
        <f>ROUND(#REF!,0)</f>
        <v>#REF!</v>
      </c>
    </row>
    <row r="30" spans="1:19" ht="21" customHeight="1">
      <c r="A30" s="1581">
        <v>19</v>
      </c>
      <c r="B30" s="1585" t="s">
        <v>963</v>
      </c>
      <c r="C30" s="1103">
        <v>824.710005474946</v>
      </c>
      <c r="D30" s="1103">
        <v>178.49008562480839</v>
      </c>
      <c r="E30" s="1103">
        <v>842.39901236890921</v>
      </c>
      <c r="F30" s="1103">
        <v>154.48826340885347</v>
      </c>
      <c r="G30" s="1103">
        <v>786.50978296794972</v>
      </c>
      <c r="H30" s="1103">
        <v>150.62987686029609</v>
      </c>
      <c r="I30" s="1103">
        <v>781.79466647186791</v>
      </c>
      <c r="J30" s="1103">
        <v>160.43445181129593</v>
      </c>
      <c r="K30" s="1103">
        <v>773.3076484275598</v>
      </c>
      <c r="L30" s="1103">
        <v>159.69238256693785</v>
      </c>
      <c r="M30" s="1103">
        <v>756.41006304792745</v>
      </c>
      <c r="N30" s="1103">
        <v>149.87178927583881</v>
      </c>
      <c r="O30" s="1103">
        <v>828.23754848729766</v>
      </c>
      <c r="P30" s="1103">
        <v>154.63555413280545</v>
      </c>
      <c r="Q30" s="1586" t="s">
        <v>964</v>
      </c>
      <c r="S30" s="1584" t="e">
        <f>ROUND(#REF!,0)</f>
        <v>#REF!</v>
      </c>
    </row>
    <row r="31" spans="1:19" ht="63">
      <c r="A31" s="1581">
        <v>20</v>
      </c>
      <c r="B31" s="1585" t="s">
        <v>965</v>
      </c>
      <c r="C31" s="1103">
        <v>28.015139431149333</v>
      </c>
      <c r="D31" s="1103">
        <v>6.8738431000000086E-2</v>
      </c>
      <c r="E31" s="1103">
        <v>28.874622828844142</v>
      </c>
      <c r="F31" s="1103">
        <v>6.9075821999999884E-2</v>
      </c>
      <c r="G31" s="1103">
        <v>29.089313127110266</v>
      </c>
      <c r="H31" s="1103">
        <v>6.9075821999999884E-2</v>
      </c>
      <c r="I31" s="1103">
        <v>29.143425769947832</v>
      </c>
      <c r="J31" s="1103">
        <v>6.8781969999999901E-2</v>
      </c>
      <c r="K31" s="1103">
        <v>29.2053081213379</v>
      </c>
      <c r="L31" s="1103">
        <v>6.5782574999999829E-2</v>
      </c>
      <c r="M31" s="1103">
        <v>29.073705445419783</v>
      </c>
      <c r="N31" s="1103">
        <v>6.7399442000000157E-2</v>
      </c>
      <c r="O31" s="1103">
        <v>24.343244783330224</v>
      </c>
      <c r="P31" s="1103">
        <v>6.8538171000000175E-2</v>
      </c>
      <c r="Q31" s="1587" t="s">
        <v>966</v>
      </c>
      <c r="S31" s="1584" t="e">
        <f>ROUND(#REF!,0)</f>
        <v>#REF!</v>
      </c>
    </row>
    <row r="32" spans="1:19" ht="33.75" customHeight="1">
      <c r="A32" s="1581">
        <v>21</v>
      </c>
      <c r="B32" s="1585" t="s">
        <v>967</v>
      </c>
      <c r="C32" s="1103">
        <v>0</v>
      </c>
      <c r="D32" s="1103">
        <v>0</v>
      </c>
      <c r="E32" s="1103">
        <v>0</v>
      </c>
      <c r="F32" s="1103">
        <v>0</v>
      </c>
      <c r="G32" s="1103">
        <v>0</v>
      </c>
      <c r="H32" s="1103">
        <v>0</v>
      </c>
      <c r="I32" s="1103">
        <v>0</v>
      </c>
      <c r="J32" s="1103">
        <v>0</v>
      </c>
      <c r="K32" s="1103">
        <v>0</v>
      </c>
      <c r="L32" s="1103">
        <v>0</v>
      </c>
      <c r="M32" s="1103">
        <v>0</v>
      </c>
      <c r="N32" s="1103">
        <v>0</v>
      </c>
      <c r="O32" s="1103">
        <v>0</v>
      </c>
      <c r="P32" s="1103">
        <v>0</v>
      </c>
      <c r="Q32" s="1586" t="s">
        <v>968</v>
      </c>
      <c r="S32" s="1584" t="e">
        <f>ROUND(#REF!,0)</f>
        <v>#REF!</v>
      </c>
    </row>
    <row r="33" spans="1:19" s="1591" customFormat="1" ht="31.5" customHeight="1">
      <c r="A33" s="1588"/>
      <c r="B33" s="1589" t="s">
        <v>393</v>
      </c>
      <c r="C33" s="1099">
        <v>5359.2542670126995</v>
      </c>
      <c r="D33" s="1099">
        <v>632.90068610521382</v>
      </c>
      <c r="E33" s="1099">
        <v>5376.9918776872491</v>
      </c>
      <c r="F33" s="1099">
        <v>571.01192967973896</v>
      </c>
      <c r="G33" s="1099">
        <v>5363.2892695501778</v>
      </c>
      <c r="H33" s="1099">
        <v>555.11133952897524</v>
      </c>
      <c r="I33" s="1099">
        <v>5272.0058261838458</v>
      </c>
      <c r="J33" s="1099">
        <v>560.71399643886218</v>
      </c>
      <c r="K33" s="1099">
        <v>5172.6781049010488</v>
      </c>
      <c r="L33" s="1099">
        <v>558.31097871745828</v>
      </c>
      <c r="M33" s="1099">
        <v>5194.9394012753892</v>
      </c>
      <c r="N33" s="1099">
        <v>563.48548053768866</v>
      </c>
      <c r="O33" s="1099">
        <v>5182.1028869565325</v>
      </c>
      <c r="P33" s="1099">
        <v>554.36367023122216</v>
      </c>
      <c r="Q33" s="1590" t="s">
        <v>382</v>
      </c>
      <c r="S33" s="1584" t="e">
        <f>ROUND(#REF!,0)</f>
        <v>#REF!</v>
      </c>
    </row>
    <row r="34" spans="1:19" ht="27.75" customHeight="1">
      <c r="A34" s="253" t="s">
        <v>969</v>
      </c>
      <c r="B34" s="1592"/>
      <c r="C34" s="1593"/>
      <c r="D34" s="1593"/>
      <c r="E34" s="1593"/>
      <c r="F34" s="1593"/>
      <c r="G34" s="1593"/>
      <c r="H34" s="1593"/>
      <c r="I34" s="1593"/>
      <c r="J34" s="1593"/>
      <c r="K34" s="1593"/>
      <c r="L34" s="1593"/>
      <c r="M34" s="1593"/>
      <c r="N34" s="1593"/>
      <c r="O34" s="1593"/>
      <c r="P34" s="1593"/>
      <c r="Q34" s="1594" t="s">
        <v>970</v>
      </c>
    </row>
    <row r="35" spans="1:19" ht="18">
      <c r="A35" s="1595"/>
      <c r="B35" s="1592"/>
      <c r="C35" s="1593"/>
      <c r="D35" s="1593"/>
      <c r="E35" s="1593"/>
      <c r="F35" s="1593"/>
      <c r="G35" s="1593"/>
      <c r="H35" s="1593"/>
      <c r="I35" s="1593"/>
      <c r="J35" s="1593"/>
      <c r="K35" s="1593"/>
      <c r="L35" s="1593"/>
      <c r="M35" s="1593"/>
      <c r="N35" s="1593"/>
      <c r="O35" s="1593"/>
      <c r="P35" s="1593"/>
      <c r="Q35" s="1596"/>
    </row>
    <row r="36" spans="1:19">
      <c r="A36" s="1597"/>
      <c r="B36" s="1597"/>
      <c r="C36" s="1597"/>
      <c r="D36" s="1597"/>
      <c r="E36" s="1597"/>
      <c r="F36" s="1597"/>
      <c r="G36" s="1597"/>
      <c r="H36" s="1597"/>
      <c r="I36" s="1597"/>
      <c r="J36" s="1597"/>
      <c r="K36" s="1597"/>
      <c r="L36" s="1597"/>
      <c r="M36" s="1597"/>
      <c r="N36" s="1597"/>
      <c r="O36" s="1597"/>
      <c r="P36" s="1597"/>
    </row>
    <row r="37" spans="1:19">
      <c r="A37" s="1598" t="s">
        <v>971</v>
      </c>
      <c r="B37" s="1598"/>
      <c r="C37" s="1598"/>
      <c r="D37" s="1598"/>
      <c r="E37" s="1598"/>
      <c r="F37" s="1598"/>
      <c r="G37" s="1598"/>
      <c r="H37" s="1598"/>
      <c r="I37" s="1598"/>
      <c r="J37" s="1598"/>
      <c r="K37" s="1598"/>
      <c r="L37" s="1598"/>
      <c r="M37" s="1598"/>
      <c r="N37" s="1598"/>
      <c r="O37" s="1598"/>
      <c r="P37" s="1598"/>
      <c r="Q37" s="1598"/>
    </row>
    <row r="38" spans="1:19">
      <c r="C38" s="1600"/>
      <c r="D38" s="1600"/>
      <c r="E38" s="1600"/>
      <c r="F38" s="1600"/>
      <c r="G38" s="1600"/>
      <c r="H38" s="1600"/>
      <c r="I38" s="1600"/>
      <c r="J38" s="1600"/>
      <c r="K38" s="1600"/>
      <c r="L38" s="1600"/>
      <c r="M38" s="1600"/>
      <c r="N38" s="1600"/>
      <c r="O38" s="1600"/>
      <c r="P38" s="1600"/>
    </row>
    <row r="39" spans="1:19">
      <c r="C39" s="1600"/>
      <c r="D39" s="1600"/>
      <c r="E39" s="1600"/>
      <c r="F39" s="1600"/>
      <c r="G39" s="1600"/>
      <c r="H39" s="1600"/>
      <c r="I39" s="1600"/>
      <c r="J39" s="1600"/>
      <c r="K39" s="1600"/>
      <c r="L39" s="1600"/>
      <c r="M39" s="1600"/>
      <c r="N39" s="1600"/>
      <c r="O39" s="1600"/>
      <c r="P39" s="1600"/>
    </row>
    <row r="41" spans="1:19">
      <c r="C41" s="1601"/>
      <c r="D41" s="1601"/>
      <c r="E41" s="1601"/>
      <c r="F41" s="1601"/>
      <c r="G41" s="1601"/>
      <c r="H41" s="1601"/>
      <c r="I41" s="1601"/>
      <c r="J41" s="1601"/>
      <c r="K41" s="1601"/>
      <c r="L41" s="1601"/>
      <c r="M41" s="1601"/>
      <c r="N41" s="1601"/>
      <c r="O41" s="1601"/>
      <c r="P41" s="1601"/>
      <c r="Q41" s="1601"/>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scale="43"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3"/>
  <sheetViews>
    <sheetView tabSelected="1" zoomScale="80" zoomScaleNormal="80" workbookViewId="0">
      <pane ySplit="8" topLeftCell="A16" activePane="bottomLeft" state="frozen"/>
      <selection activeCell="N29" sqref="N29"/>
      <selection pane="bottomLeft" activeCell="N29" sqref="N29"/>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74" customFormat="1" ht="18">
      <c r="A1" s="16" t="s">
        <v>1748</v>
      </c>
      <c r="B1" s="1571"/>
      <c r="C1" s="1571"/>
      <c r="D1" s="1571"/>
      <c r="E1" s="1571"/>
    </row>
    <row r="2" spans="1:5" s="381" customFormat="1" ht="21.2" customHeight="1">
      <c r="A2" s="1425" t="s">
        <v>972</v>
      </c>
      <c r="B2" s="382"/>
      <c r="C2" s="382"/>
      <c r="D2" s="382"/>
      <c r="E2" s="382"/>
    </row>
    <row r="3" spans="1:5" s="381" customFormat="1" ht="21.2" customHeight="1">
      <c r="A3" s="1425" t="s">
        <v>973</v>
      </c>
      <c r="B3" s="382"/>
      <c r="C3" s="382"/>
      <c r="D3" s="382"/>
      <c r="E3" s="382"/>
    </row>
    <row r="4" spans="1:5" s="381" customFormat="1" ht="18">
      <c r="A4" s="277" t="s">
        <v>974</v>
      </c>
      <c r="B4" s="382"/>
      <c r="C4" s="382"/>
      <c r="D4" s="382"/>
      <c r="E4" s="382"/>
    </row>
    <row r="5" spans="1:5" s="381" customFormat="1" ht="18">
      <c r="A5" s="277" t="s">
        <v>975</v>
      </c>
      <c r="B5" s="382"/>
      <c r="C5" s="382"/>
      <c r="D5" s="382"/>
      <c r="E5" s="382"/>
    </row>
    <row r="6" spans="1:5" s="26" customFormat="1">
      <c r="A6" s="1572" t="s">
        <v>369</v>
      </c>
      <c r="C6" s="877"/>
      <c r="D6" s="878"/>
      <c r="E6" s="20" t="s">
        <v>370</v>
      </c>
    </row>
    <row r="7" spans="1:5" s="39" customFormat="1" ht="22.7" customHeight="1">
      <c r="A7" s="1573" t="s">
        <v>379</v>
      </c>
      <c r="B7" s="113"/>
      <c r="C7" s="72" t="s">
        <v>432</v>
      </c>
      <c r="D7" s="79" t="s">
        <v>976</v>
      </c>
      <c r="E7" s="94" t="s">
        <v>382</v>
      </c>
    </row>
    <row r="8" spans="1:5" s="39" customFormat="1" ht="22.7" customHeight="1">
      <c r="A8" s="87" t="s">
        <v>387</v>
      </c>
      <c r="B8" s="88"/>
      <c r="C8" s="90" t="s">
        <v>406</v>
      </c>
      <c r="D8" s="1391" t="s">
        <v>977</v>
      </c>
      <c r="E8" s="90" t="s">
        <v>393</v>
      </c>
    </row>
    <row r="9" spans="1:5" s="5" customFormat="1" ht="20.25" customHeight="1">
      <c r="A9" s="747">
        <v>2017</v>
      </c>
      <c r="B9" s="900" t="s">
        <v>237</v>
      </c>
      <c r="C9" s="652">
        <v>8436.957759661982</v>
      </c>
      <c r="D9" s="652">
        <v>455.39656999999994</v>
      </c>
      <c r="E9" s="652">
        <f>SUM(C9:D9)</f>
        <v>8892.3543296619828</v>
      </c>
    </row>
    <row r="10" spans="1:5">
      <c r="A10" s="356"/>
      <c r="B10" s="407" t="s">
        <v>238</v>
      </c>
      <c r="C10" s="652">
        <v>8699.124279419173</v>
      </c>
      <c r="D10" s="652">
        <v>435.53227999999996</v>
      </c>
      <c r="E10" s="651">
        <f>SUM(C10:D10)-0.02</f>
        <v>9134.636559419172</v>
      </c>
    </row>
    <row r="11" spans="1:5" s="5" customFormat="1" ht="20.25" customHeight="1">
      <c r="A11" s="747">
        <v>2018</v>
      </c>
      <c r="B11" s="900" t="s">
        <v>239</v>
      </c>
      <c r="C11" s="652">
        <v>8986.7775897897918</v>
      </c>
      <c r="D11" s="652">
        <v>455.50196</v>
      </c>
      <c r="E11" s="652">
        <f>SUM(C11:D11)</f>
        <v>9442.2795497897914</v>
      </c>
    </row>
    <row r="12" spans="1:5">
      <c r="A12" s="356"/>
      <c r="B12" s="407" t="s">
        <v>240</v>
      </c>
      <c r="C12" s="652">
        <v>9202.3386112149165</v>
      </c>
      <c r="D12" s="652">
        <v>463.52499999999998</v>
      </c>
      <c r="E12" s="651">
        <f>SUM(C12:D12)-0.02</f>
        <v>9665.8436112149157</v>
      </c>
    </row>
    <row r="13" spans="1:5">
      <c r="A13" s="356"/>
      <c r="B13" s="407" t="s">
        <v>237</v>
      </c>
      <c r="C13" s="652">
        <v>9783.7296130007235</v>
      </c>
      <c r="D13" s="652">
        <v>474.12524999999999</v>
      </c>
      <c r="E13" s="651">
        <f>SUM(C13:D13)</f>
        <v>10257.854863000723</v>
      </c>
    </row>
    <row r="14" spans="1:5">
      <c r="A14" s="356"/>
      <c r="B14" s="407" t="s">
        <v>238</v>
      </c>
      <c r="C14" s="652">
        <v>9519.8911722057455</v>
      </c>
      <c r="D14" s="652">
        <v>480.35700000000003</v>
      </c>
      <c r="E14" s="651">
        <f>SUM(C14:D14)+0.01</f>
        <v>10000.258172205746</v>
      </c>
    </row>
    <row r="15" spans="1:5" ht="20.25" customHeight="1">
      <c r="A15" s="747">
        <v>2019</v>
      </c>
      <c r="B15" s="900" t="s">
        <v>239</v>
      </c>
      <c r="C15" s="652">
        <v>9623.1739906865823</v>
      </c>
      <c r="D15" s="652">
        <v>471.315</v>
      </c>
      <c r="E15" s="652">
        <f>SUM(C15:D15)+0.03</f>
        <v>10094.518990686583</v>
      </c>
    </row>
    <row r="16" spans="1:5" s="5" customFormat="1" ht="15" customHeight="1">
      <c r="A16" s="747"/>
      <c r="B16" s="900" t="s">
        <v>240</v>
      </c>
      <c r="C16" s="652">
        <v>9887.3332244197209</v>
      </c>
      <c r="D16" s="652">
        <v>469.25713807653727</v>
      </c>
      <c r="E16" s="652">
        <v>10356.590362496258</v>
      </c>
    </row>
    <row r="17" spans="1:5" s="5" customFormat="1" ht="15" customHeight="1">
      <c r="A17" s="747"/>
      <c r="B17" s="900" t="s">
        <v>237</v>
      </c>
      <c r="C17" s="652">
        <v>9783.7296130007235</v>
      </c>
      <c r="D17" s="652">
        <v>505.82149599999997</v>
      </c>
      <c r="E17" s="652">
        <f>SUM(C17:D17)-0.01</f>
        <v>10289.541109000724</v>
      </c>
    </row>
    <row r="18" spans="1:5" s="5" customFormat="1" ht="15" customHeight="1">
      <c r="A18" s="747"/>
      <c r="B18" s="900" t="s">
        <v>238</v>
      </c>
      <c r="C18" s="652">
        <v>9736.3989501659489</v>
      </c>
      <c r="D18" s="652">
        <v>508.60300000000001</v>
      </c>
      <c r="E18" s="652">
        <f>SUM(C18:D18)-0.01</f>
        <v>10244.991950165948</v>
      </c>
    </row>
    <row r="19" spans="1:5" s="5" customFormat="1" ht="21" customHeight="1">
      <c r="A19" s="747">
        <v>2020</v>
      </c>
      <c r="B19" s="900" t="s">
        <v>239</v>
      </c>
      <c r="C19" s="652">
        <v>10125.599310966511</v>
      </c>
      <c r="D19" s="652">
        <v>450.98899999999998</v>
      </c>
      <c r="E19" s="652">
        <f t="shared" ref="E19:E24" si="0">SUM(C19:D19)</f>
        <v>10576.58831096651</v>
      </c>
    </row>
    <row r="20" spans="1:5">
      <c r="A20" s="356"/>
      <c r="B20" s="407" t="s">
        <v>240</v>
      </c>
      <c r="C20" s="652">
        <v>10181.708217173877</v>
      </c>
      <c r="D20" s="652">
        <v>420.44170277622788</v>
      </c>
      <c r="E20" s="651">
        <f t="shared" si="0"/>
        <v>10602.149919950105</v>
      </c>
    </row>
    <row r="21" spans="1:5">
      <c r="A21" s="356"/>
      <c r="B21" s="407" t="s">
        <v>237</v>
      </c>
      <c r="C21" s="652">
        <v>10196.731936263444</v>
      </c>
      <c r="D21" s="652">
        <v>426.11181207388859</v>
      </c>
      <c r="E21" s="651">
        <v>10622.843748337333</v>
      </c>
    </row>
    <row r="22" spans="1:5">
      <c r="A22" s="356"/>
      <c r="B22" s="407" t="s">
        <v>238</v>
      </c>
      <c r="C22" s="652">
        <v>10413.786929066708</v>
      </c>
      <c r="D22" s="652">
        <v>413.07799999999997</v>
      </c>
      <c r="E22" s="651">
        <v>10826.864929066707</v>
      </c>
    </row>
    <row r="23" spans="1:5" s="5" customFormat="1" ht="21" customHeight="1">
      <c r="A23" s="747">
        <v>2021</v>
      </c>
      <c r="B23" s="900" t="s">
        <v>239</v>
      </c>
      <c r="C23" s="652">
        <v>10556.732305438796</v>
      </c>
      <c r="D23" s="652">
        <v>393.97699999999998</v>
      </c>
      <c r="E23" s="930">
        <f t="shared" si="0"/>
        <v>10950.709305438797</v>
      </c>
    </row>
    <row r="24" spans="1:5">
      <c r="A24" s="356"/>
      <c r="B24" s="407" t="s">
        <v>240</v>
      </c>
      <c r="C24" s="652">
        <v>10718.958351654859</v>
      </c>
      <c r="D24" s="652">
        <v>382.32794491241521</v>
      </c>
      <c r="E24" s="651">
        <f t="shared" si="0"/>
        <v>11101.286296567274</v>
      </c>
    </row>
    <row r="25" spans="1:5">
      <c r="A25" s="356"/>
      <c r="B25" s="407" t="s">
        <v>237</v>
      </c>
      <c r="C25" s="652">
        <v>10730.63662614669</v>
      </c>
      <c r="D25" s="652">
        <v>382.32794491241521</v>
      </c>
      <c r="E25" s="651">
        <f t="shared" ref="E25" si="1">SUM(C25:D25)</f>
        <v>11112.964571059105</v>
      </c>
    </row>
    <row r="26" spans="1:5">
      <c r="A26" s="356"/>
      <c r="B26" s="407" t="s">
        <v>238</v>
      </c>
      <c r="C26" s="652">
        <v>10906.303339064274</v>
      </c>
      <c r="D26" s="652">
        <v>386.78900323804288</v>
      </c>
      <c r="E26" s="651">
        <v>11293.092342302318</v>
      </c>
    </row>
    <row r="27" spans="1:5" s="5" customFormat="1" ht="21" customHeight="1">
      <c r="A27" s="747">
        <v>2022</v>
      </c>
      <c r="B27" s="900" t="s">
        <v>239</v>
      </c>
      <c r="C27" s="652">
        <v>11072.258362172841</v>
      </c>
      <c r="D27" s="652">
        <v>387.40363299999996</v>
      </c>
      <c r="E27" s="930">
        <v>11459.661995172841</v>
      </c>
    </row>
    <row r="28" spans="1:5">
      <c r="A28" s="356"/>
      <c r="B28" s="407" t="s">
        <v>240</v>
      </c>
      <c r="C28" s="652">
        <v>11345.7369195418</v>
      </c>
      <c r="D28" s="652">
        <v>379.14785042841595</v>
      </c>
      <c r="E28" s="930">
        <v>11724.834769970217</v>
      </c>
    </row>
    <row r="29" spans="1:5">
      <c r="A29" s="356"/>
      <c r="B29" s="407" t="s">
        <v>237</v>
      </c>
      <c r="C29" s="652">
        <v>11549.2</v>
      </c>
      <c r="D29" s="652">
        <v>379.860187</v>
      </c>
      <c r="E29" s="930">
        <f>SUM(C29:D29)+0.02</f>
        <v>11929.080187000001</v>
      </c>
    </row>
    <row r="30" spans="1:5">
      <c r="A30" s="356"/>
      <c r="B30" s="407" t="s">
        <v>238</v>
      </c>
      <c r="C30" s="652">
        <v>11298.088209443948</v>
      </c>
      <c r="D30" s="652">
        <v>364.50400000000002</v>
      </c>
      <c r="E30" s="930">
        <f>SUM(C30:D30)</f>
        <v>11662.592209443948</v>
      </c>
    </row>
    <row r="31" spans="1:5" s="5" customFormat="1" ht="21" customHeight="1">
      <c r="A31" s="747">
        <v>2023</v>
      </c>
      <c r="B31" s="900" t="s">
        <v>239</v>
      </c>
      <c r="C31" s="652">
        <v>11552.302462948268</v>
      </c>
      <c r="D31" s="652">
        <v>355.01965300000001</v>
      </c>
      <c r="E31" s="930">
        <f>SUM(C31:D31)</f>
        <v>11907.322115948267</v>
      </c>
    </row>
    <row r="32" spans="1:5">
      <c r="A32" s="356"/>
      <c r="B32" s="407" t="s">
        <v>240</v>
      </c>
      <c r="C32" s="652">
        <v>11634.944942923375</v>
      </c>
      <c r="D32" s="652">
        <v>348.68454988992113</v>
      </c>
      <c r="E32" s="930">
        <f>SUM(C32:D32)</f>
        <v>11983.629492813297</v>
      </c>
    </row>
    <row r="33" spans="1:5">
      <c r="A33" s="356"/>
      <c r="B33" s="407" t="s">
        <v>237</v>
      </c>
      <c r="C33" s="652">
        <v>11597.156394214564</v>
      </c>
      <c r="D33" s="652">
        <v>342.04247815859799</v>
      </c>
      <c r="E33" s="930">
        <f>SUM(C33:D33)</f>
        <v>11939.198872373163</v>
      </c>
    </row>
    <row r="34" spans="1:5">
      <c r="A34" s="356"/>
      <c r="B34" s="407" t="s">
        <v>238</v>
      </c>
      <c r="C34" s="652">
        <v>11779.271154676429</v>
      </c>
      <c r="D34" s="652">
        <v>318.38389844100004</v>
      </c>
      <c r="E34" s="930">
        <f>SUM(C34:D34)</f>
        <v>12097.655053117429</v>
      </c>
    </row>
    <row r="35" spans="1:5" s="5" customFormat="1" ht="21" customHeight="1">
      <c r="A35" s="747">
        <v>2024</v>
      </c>
      <c r="B35" s="900" t="s">
        <v>239</v>
      </c>
      <c r="C35" s="652">
        <f>'20'!L24</f>
        <v>12125.640672090414</v>
      </c>
      <c r="D35" s="652">
        <v>315.36582701250637</v>
      </c>
      <c r="E35" s="930">
        <f t="shared" ref="E35:E40" si="2">SUM(C35:D35)</f>
        <v>12441.006499102921</v>
      </c>
    </row>
    <row r="36" spans="1:5" s="5" customFormat="1" ht="15" customHeight="1">
      <c r="A36" s="747"/>
      <c r="B36" s="900" t="s">
        <v>240</v>
      </c>
      <c r="C36" s="652">
        <f>'20'!L25</f>
        <v>12228.832756745041</v>
      </c>
      <c r="D36" s="652">
        <v>314.46294499999999</v>
      </c>
      <c r="E36" s="930">
        <f t="shared" si="2"/>
        <v>12543.295701745041</v>
      </c>
    </row>
    <row r="37" spans="1:5" s="5" customFormat="1" ht="15" customHeight="1">
      <c r="A37" s="747"/>
      <c r="B37" s="900" t="s">
        <v>237</v>
      </c>
      <c r="C37" s="652">
        <f>'20'!L26</f>
        <v>12164.677245830258</v>
      </c>
      <c r="D37" s="652">
        <v>326.7894459863391</v>
      </c>
      <c r="E37" s="930">
        <f t="shared" si="2"/>
        <v>12491.466691816597</v>
      </c>
    </row>
    <row r="38" spans="1:5" s="5" customFormat="1" ht="15" customHeight="1">
      <c r="A38" s="747"/>
      <c r="B38" s="900" t="s">
        <v>238</v>
      </c>
      <c r="C38" s="652">
        <f>'20'!L27</f>
        <v>12321.880044577063</v>
      </c>
      <c r="D38" s="652">
        <v>326.63037600000007</v>
      </c>
      <c r="E38" s="930">
        <f t="shared" si="2"/>
        <v>12648.510420577062</v>
      </c>
    </row>
    <row r="39" spans="1:5" s="5" customFormat="1" ht="21" customHeight="1">
      <c r="A39" s="747">
        <v>2025</v>
      </c>
      <c r="B39" s="900" t="s">
        <v>239</v>
      </c>
      <c r="C39" s="652">
        <f>'20'!L28</f>
        <v>12607.389288370905</v>
      </c>
      <c r="D39" s="652">
        <v>319.61998199999999</v>
      </c>
      <c r="E39" s="930">
        <f t="shared" si="2"/>
        <v>12927.009270370905</v>
      </c>
    </row>
    <row r="40" spans="1:5" s="5" customFormat="1" ht="15" customHeight="1">
      <c r="A40" s="747"/>
      <c r="B40" s="900" t="s">
        <v>240</v>
      </c>
      <c r="C40" s="652">
        <f>'20'!L29</f>
        <v>12477.506100759178</v>
      </c>
      <c r="D40" s="652">
        <v>329.09430200000003</v>
      </c>
      <c r="E40" s="930">
        <f t="shared" si="2"/>
        <v>12806.600402759177</v>
      </c>
    </row>
    <row r="41" spans="1:5" ht="8.25" customHeight="1">
      <c r="A41" s="215"/>
      <c r="B41" s="215"/>
      <c r="C41" s="215"/>
      <c r="D41" s="215"/>
      <c r="E41" s="294"/>
    </row>
    <row r="42" spans="1:5" ht="15" customHeight="1">
      <c r="D42" s="581"/>
      <c r="E42" s="581"/>
    </row>
    <row r="43" spans="1:5" s="1251" customFormat="1" ht="14.25">
      <c r="A43" s="625" t="s">
        <v>978</v>
      </c>
      <c r="B43" s="1250"/>
      <c r="C43" s="1250"/>
      <c r="D43" s="1250"/>
      <c r="E43" s="1250"/>
    </row>
  </sheetData>
  <printOptions horizontalCentered="1"/>
  <pageMargins left="0" right="0" top="0" bottom="0" header="0.3" footer="0.3"/>
  <pageSetup scale="83"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tabSelected="1" zoomScale="80" zoomScaleNormal="80" workbookViewId="0">
      <pane ySplit="12" topLeftCell="A23" activePane="bottomLeft" state="frozen"/>
      <selection activeCell="N29" sqref="N29"/>
      <selection pane="bottomLeft" activeCell="N29" sqref="N29"/>
    </sheetView>
  </sheetViews>
  <sheetFormatPr defaultColWidth="9.140625" defaultRowHeight="12.75"/>
  <cols>
    <col min="1" max="2" width="9.7109375" style="1251" customWidth="1"/>
    <col min="3" max="3" width="12.7109375" style="1251" customWidth="1"/>
    <col min="4" max="4" width="10.28515625" style="1251" customWidth="1"/>
    <col min="5" max="5" width="12.7109375" style="1251" customWidth="1"/>
    <col min="6" max="6" width="11.7109375" style="1251" customWidth="1"/>
    <col min="7" max="8" width="10.7109375" style="1251" customWidth="1"/>
    <col min="9" max="9" width="10.28515625" style="1251" customWidth="1"/>
    <col min="10" max="10" width="11.85546875" style="1251" customWidth="1"/>
    <col min="11" max="11" width="12.7109375" style="1251" customWidth="1"/>
    <col min="12" max="12" width="12.140625" style="1251" customWidth="1"/>
    <col min="13" max="13" width="12.7109375" style="1251" customWidth="1"/>
    <col min="14" max="14" width="11.7109375" style="1251" customWidth="1"/>
    <col min="15" max="16" width="10.7109375" style="1251" customWidth="1"/>
    <col min="17" max="17" width="10.28515625" style="1251" customWidth="1"/>
    <col min="18" max="18" width="8.28515625" style="1251" customWidth="1"/>
    <col min="19" max="16384" width="9.140625" style="1251"/>
  </cols>
  <sheetData>
    <row r="1" spans="1:22" s="381" customFormat="1" ht="18">
      <c r="A1" s="277" t="s">
        <v>1747</v>
      </c>
      <c r="B1" s="1458"/>
      <c r="C1" s="1458"/>
      <c r="D1" s="1458"/>
      <c r="E1" s="1458"/>
      <c r="F1" s="1458"/>
      <c r="G1" s="1458"/>
      <c r="H1" s="1458"/>
      <c r="I1" s="1458"/>
      <c r="J1" s="1458"/>
      <c r="K1" s="1458"/>
      <c r="L1" s="1458"/>
      <c r="M1" s="1458"/>
      <c r="N1" s="1458"/>
      <c r="O1" s="1458"/>
      <c r="P1" s="1458"/>
      <c r="Q1" s="1458"/>
    </row>
    <row r="2" spans="1:22" s="381" customFormat="1" ht="18">
      <c r="A2" s="1462" t="s">
        <v>979</v>
      </c>
      <c r="B2" s="1458"/>
      <c r="C2" s="1458"/>
      <c r="D2" s="1458"/>
      <c r="E2" s="1458"/>
      <c r="F2" s="1458"/>
      <c r="G2" s="1458"/>
      <c r="H2" s="1458"/>
      <c r="I2" s="1458"/>
      <c r="J2" s="1458"/>
      <c r="K2" s="1458"/>
      <c r="L2" s="1458"/>
      <c r="M2" s="1458"/>
      <c r="N2" s="1458"/>
      <c r="O2" s="1458"/>
      <c r="P2" s="1458"/>
      <c r="Q2" s="1458"/>
    </row>
    <row r="3" spans="1:22" s="381" customFormat="1" ht="18">
      <c r="A3" s="1459" t="s">
        <v>980</v>
      </c>
      <c r="B3" s="1458"/>
      <c r="C3" s="1458"/>
      <c r="D3" s="1458"/>
      <c r="E3" s="1458"/>
      <c r="F3" s="1458"/>
      <c r="G3" s="1458"/>
      <c r="H3" s="1458"/>
      <c r="I3" s="1458"/>
      <c r="J3" s="1458"/>
      <c r="K3" s="1458"/>
      <c r="L3" s="1458"/>
      <c r="M3" s="1458"/>
      <c r="N3" s="1458"/>
      <c r="O3" s="382"/>
      <c r="P3" s="1458"/>
      <c r="Q3" s="1458"/>
    </row>
    <row r="4" spans="1:22" s="321" customFormat="1" ht="14.25">
      <c r="A4" s="357" t="s">
        <v>369</v>
      </c>
      <c r="B4" s="358"/>
      <c r="C4" s="359"/>
      <c r="D4" s="359"/>
      <c r="E4" s="359"/>
      <c r="F4" s="359"/>
      <c r="G4" s="359"/>
      <c r="H4" s="359"/>
      <c r="I4" s="359"/>
      <c r="J4" s="359"/>
      <c r="K4" s="359"/>
      <c r="L4" s="359"/>
      <c r="Q4" s="360" t="s">
        <v>370</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828</v>
      </c>
      <c r="D9" s="182" t="s">
        <v>981</v>
      </c>
      <c r="E9" s="177" t="s">
        <v>982</v>
      </c>
      <c r="F9" s="166"/>
      <c r="G9" s="177"/>
      <c r="H9" s="166"/>
      <c r="I9" s="177"/>
      <c r="J9" s="193"/>
      <c r="K9" s="182" t="s">
        <v>828</v>
      </c>
      <c r="L9" s="182" t="s">
        <v>981</v>
      </c>
      <c r="M9" s="177" t="s">
        <v>982</v>
      </c>
      <c r="N9" s="166"/>
      <c r="O9" s="177"/>
      <c r="P9" s="166"/>
      <c r="Q9" s="177"/>
    </row>
    <row r="10" spans="1:22" s="176" customFormat="1" ht="18" customHeight="1">
      <c r="A10" s="163" t="s">
        <v>379</v>
      </c>
      <c r="B10" s="165"/>
      <c r="C10" s="182" t="s">
        <v>983</v>
      </c>
      <c r="D10" s="182" t="s">
        <v>984</v>
      </c>
      <c r="E10" s="177" t="s">
        <v>501</v>
      </c>
      <c r="F10" s="162" t="s">
        <v>985</v>
      </c>
      <c r="G10" s="177" t="s">
        <v>986</v>
      </c>
      <c r="H10" s="177" t="s">
        <v>987</v>
      </c>
      <c r="I10" s="177" t="s">
        <v>392</v>
      </c>
      <c r="J10" s="193" t="s">
        <v>382</v>
      </c>
      <c r="K10" s="182" t="s">
        <v>983</v>
      </c>
      <c r="L10" s="182" t="s">
        <v>984</v>
      </c>
      <c r="M10" s="177" t="s">
        <v>501</v>
      </c>
      <c r="N10" s="162" t="s">
        <v>985</v>
      </c>
      <c r="O10" s="177" t="s">
        <v>986</v>
      </c>
      <c r="P10" s="177" t="s">
        <v>987</v>
      </c>
      <c r="Q10" s="177" t="s">
        <v>392</v>
      </c>
    </row>
    <row r="11" spans="1:22" s="164" customFormat="1" ht="18" customHeight="1">
      <c r="A11" s="178" t="s">
        <v>387</v>
      </c>
      <c r="B11" s="165"/>
      <c r="C11" s="254" t="s">
        <v>988</v>
      </c>
      <c r="D11" s="256" t="s">
        <v>989</v>
      </c>
      <c r="E11" s="257" t="s">
        <v>990</v>
      </c>
      <c r="F11" s="258" t="s">
        <v>991</v>
      </c>
      <c r="G11" s="258" t="s">
        <v>992</v>
      </c>
      <c r="H11" s="258" t="s">
        <v>993</v>
      </c>
      <c r="I11" s="258" t="s">
        <v>400</v>
      </c>
      <c r="J11" s="259" t="s">
        <v>393</v>
      </c>
      <c r="K11" s="254" t="s">
        <v>988</v>
      </c>
      <c r="L11" s="256" t="s">
        <v>989</v>
      </c>
      <c r="M11" s="260" t="s">
        <v>990</v>
      </c>
      <c r="N11" s="258" t="s">
        <v>991</v>
      </c>
      <c r="O11" s="258" t="s">
        <v>992</v>
      </c>
      <c r="P11" s="258" t="s">
        <v>993</v>
      </c>
      <c r="Q11" s="258" t="s">
        <v>400</v>
      </c>
    </row>
    <row r="12" spans="1:22" s="164" customFormat="1" ht="18" customHeight="1">
      <c r="A12" s="179"/>
      <c r="B12" s="170"/>
      <c r="C12" s="255" t="s">
        <v>994</v>
      </c>
      <c r="D12" s="255"/>
      <c r="E12" s="261" t="s">
        <v>995</v>
      </c>
      <c r="F12" s="262" t="s">
        <v>842</v>
      </c>
      <c r="G12" s="262"/>
      <c r="H12" s="262"/>
      <c r="I12" s="262"/>
      <c r="J12" s="263"/>
      <c r="K12" s="255" t="s">
        <v>994</v>
      </c>
      <c r="L12" s="255"/>
      <c r="M12" s="262" t="s">
        <v>995</v>
      </c>
      <c r="N12" s="262" t="s">
        <v>842</v>
      </c>
      <c r="O12" s="262"/>
      <c r="P12" s="262"/>
      <c r="Q12" s="262"/>
    </row>
    <row r="13" spans="1:22" s="180" customFormat="1" ht="27" customHeight="1">
      <c r="A13" s="850">
        <v>2015</v>
      </c>
      <c r="B13" s="851"/>
      <c r="C13" s="385">
        <v>16523.619700675819</v>
      </c>
      <c r="D13" s="385">
        <v>6352.9216794285448</v>
      </c>
      <c r="E13" s="386">
        <v>846.19650779555968</v>
      </c>
      <c r="F13" s="386">
        <v>1879.6819788248997</v>
      </c>
      <c r="G13" s="386">
        <v>1805.8975099105464</v>
      </c>
      <c r="H13" s="386">
        <v>3138.2076690990534</v>
      </c>
      <c r="I13" s="386">
        <v>355.83950203370313</v>
      </c>
      <c r="J13" s="634">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998"/>
      <c r="U13" s="998"/>
    </row>
    <row r="14" spans="1:22" s="998" customFormat="1" ht="18" customHeight="1">
      <c r="A14" s="850">
        <v>2016</v>
      </c>
      <c r="B14" s="851"/>
      <c r="C14" s="385">
        <v>17349.04192278098</v>
      </c>
      <c r="D14" s="385">
        <v>7043.1036713408466</v>
      </c>
      <c r="E14" s="386">
        <v>944.09464075719166</v>
      </c>
      <c r="F14" s="386">
        <v>1225.8407769051723</v>
      </c>
      <c r="G14" s="386">
        <v>1710.6028469431737</v>
      </c>
      <c r="H14" s="386">
        <v>2673.0517052933155</v>
      </c>
      <c r="I14" s="386">
        <v>267.79763813469793</v>
      </c>
      <c r="J14" s="634">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998" customFormat="1" ht="18" customHeight="1">
      <c r="A15" s="850">
        <v>2017</v>
      </c>
      <c r="B15" s="851"/>
      <c r="C15" s="385">
        <v>18025.025685114462</v>
      </c>
      <c r="D15" s="385">
        <v>7074.1092814730473</v>
      </c>
      <c r="E15" s="386">
        <v>956.99774050010467</v>
      </c>
      <c r="F15" s="386">
        <v>1133.2722630155472</v>
      </c>
      <c r="G15" s="386">
        <v>1763.6653542391739</v>
      </c>
      <c r="H15" s="386">
        <v>2198.6766411349017</v>
      </c>
      <c r="I15" s="386">
        <v>237.18502732662583</v>
      </c>
      <c r="J15" s="634">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998" customFormat="1" ht="18" customHeight="1">
      <c r="A16" s="850">
        <v>2018</v>
      </c>
      <c r="B16" s="851"/>
      <c r="C16" s="385">
        <v>18939.343910584437</v>
      </c>
      <c r="D16" s="385">
        <v>7948.26532899827</v>
      </c>
      <c r="E16" s="386">
        <v>991.86155398034202</v>
      </c>
      <c r="F16" s="386">
        <v>1186.1117737526686</v>
      </c>
      <c r="G16" s="386">
        <v>1482.4542068005308</v>
      </c>
      <c r="H16" s="386">
        <v>1817.9047880272624</v>
      </c>
      <c r="I16" s="386">
        <v>203.03145227702063</v>
      </c>
      <c r="J16" s="634">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998" customFormat="1" ht="18" customHeight="1">
      <c r="A17" s="850">
        <v>2019</v>
      </c>
      <c r="B17" s="851"/>
      <c r="C17" s="385">
        <v>19946.565711668136</v>
      </c>
      <c r="D17" s="385">
        <v>8684.4604509095479</v>
      </c>
      <c r="E17" s="386">
        <v>1024.9173078212689</v>
      </c>
      <c r="F17" s="386">
        <v>1651.2398477404984</v>
      </c>
      <c r="G17" s="386">
        <v>1836.6600526469101</v>
      </c>
      <c r="H17" s="386">
        <v>2041.78926349118</v>
      </c>
      <c r="I17" s="386">
        <v>184.17388548457868</v>
      </c>
      <c r="J17" s="634">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998" customFormat="1" ht="18" customHeight="1">
      <c r="A18" s="850">
        <v>2020</v>
      </c>
      <c r="B18" s="851"/>
      <c r="C18" s="385">
        <v>20939.705476393843</v>
      </c>
      <c r="D18" s="385">
        <v>8514.0308476972677</v>
      </c>
      <c r="E18" s="386">
        <v>898.75587188051588</v>
      </c>
      <c r="F18" s="386">
        <v>1324.353216025434</v>
      </c>
      <c r="G18" s="386">
        <v>1598.6042330283128</v>
      </c>
      <c r="H18" s="386">
        <v>1964.1659866233799</v>
      </c>
      <c r="I18" s="386">
        <v>207.60336434723661</v>
      </c>
      <c r="J18" s="634">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998" customFormat="1" ht="18" customHeight="1">
      <c r="A19" s="850">
        <v>2021</v>
      </c>
      <c r="B19" s="851"/>
      <c r="C19" s="385">
        <v>22126.17716926229</v>
      </c>
      <c r="D19" s="385">
        <v>8841.6744838720442</v>
      </c>
      <c r="E19" s="386">
        <v>1049.8775047025094</v>
      </c>
      <c r="F19" s="386">
        <v>1549.4599487015839</v>
      </c>
      <c r="G19" s="386">
        <v>1642.1957109053124</v>
      </c>
      <c r="H19" s="386">
        <v>1910.1622519341827</v>
      </c>
      <c r="I19" s="386">
        <v>254.31416849818433</v>
      </c>
      <c r="J19" s="634">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998" customFormat="1" ht="18" customHeight="1">
      <c r="A20" s="850">
        <v>2022</v>
      </c>
      <c r="B20" s="851"/>
      <c r="C20" s="385">
        <v>23882.408080810634</v>
      </c>
      <c r="D20" s="386">
        <v>7478.5967301923329</v>
      </c>
      <c r="E20" s="386">
        <v>979.33635173486516</v>
      </c>
      <c r="F20" s="386">
        <v>2154.9119973158186</v>
      </c>
      <c r="G20" s="386">
        <v>2094.825709371436</v>
      </c>
      <c r="H20" s="386">
        <v>1382.8486092118126</v>
      </c>
      <c r="I20" s="386">
        <v>274.62710230665436</v>
      </c>
      <c r="J20" s="634">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998" customFormat="1" ht="18" customHeight="1">
      <c r="A21" s="850">
        <v>2023</v>
      </c>
      <c r="B21" s="851"/>
      <c r="C21" s="385">
        <v>25652.258766562649</v>
      </c>
      <c r="D21" s="385">
        <v>8125.7709036097194</v>
      </c>
      <c r="E21" s="386">
        <v>1091.3883130970833</v>
      </c>
      <c r="F21" s="386">
        <v>1650.5431934166618</v>
      </c>
      <c r="G21" s="386">
        <v>2188.0266966628051</v>
      </c>
      <c r="H21" s="386">
        <v>1356.512828237021</v>
      </c>
      <c r="I21" s="386">
        <v>196.15629902865476</v>
      </c>
      <c r="J21" s="634">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998" customFormat="1" ht="18" customHeight="1">
      <c r="A22" s="993">
        <v>2024</v>
      </c>
      <c r="B22" s="994"/>
      <c r="C22" s="995">
        <f t="shared" ref="C22:Q22" si="0">C27</f>
        <v>26863.000820399804</v>
      </c>
      <c r="D22" s="995">
        <f t="shared" si="0"/>
        <v>7889.7692907676219</v>
      </c>
      <c r="E22" s="996">
        <f t="shared" si="0"/>
        <v>959.99365903343232</v>
      </c>
      <c r="F22" s="996">
        <f t="shared" si="0"/>
        <v>2149.9429626059436</v>
      </c>
      <c r="G22" s="996">
        <f t="shared" si="0"/>
        <v>2449.3888114142046</v>
      </c>
      <c r="H22" s="996">
        <f t="shared" si="0"/>
        <v>1209.6754082669895</v>
      </c>
      <c r="I22" s="996">
        <f t="shared" si="0"/>
        <v>187.73536368666507</v>
      </c>
      <c r="J22" s="997">
        <f t="shared" si="0"/>
        <v>41709.526316174655</v>
      </c>
      <c r="K22" s="995">
        <f t="shared" si="0"/>
        <v>22639.292034651524</v>
      </c>
      <c r="L22" s="995">
        <f t="shared" si="0"/>
        <v>10739.342830837297</v>
      </c>
      <c r="M22" s="996">
        <f t="shared" si="0"/>
        <v>1447.4651039233938</v>
      </c>
      <c r="N22" s="996">
        <f t="shared" si="0"/>
        <v>733.27705983139469</v>
      </c>
      <c r="O22" s="996">
        <f t="shared" si="0"/>
        <v>4097.8406110383694</v>
      </c>
      <c r="P22" s="996">
        <f t="shared" si="0"/>
        <v>1880.359378198156</v>
      </c>
      <c r="Q22" s="996">
        <f t="shared" si="0"/>
        <v>171.94929769452574</v>
      </c>
      <c r="R22" s="352"/>
      <c r="S22" s="352"/>
      <c r="V22" s="180"/>
    </row>
    <row r="23" spans="1:22" s="998" customFormat="1" ht="21" customHeight="1">
      <c r="A23" s="850">
        <v>2023</v>
      </c>
      <c r="B23" s="851" t="s">
        <v>238</v>
      </c>
      <c r="C23" s="385">
        <v>25652.258766562649</v>
      </c>
      <c r="D23" s="385">
        <v>8125.7709036097194</v>
      </c>
      <c r="E23" s="386">
        <v>1091.3883130970833</v>
      </c>
      <c r="F23" s="386">
        <v>1650.5431934166618</v>
      </c>
      <c r="G23" s="386">
        <v>2188.0266966628051</v>
      </c>
      <c r="H23" s="386">
        <v>1356.512828237021</v>
      </c>
      <c r="I23" s="386">
        <v>196.15629902865476</v>
      </c>
      <c r="J23" s="634">
        <v>40260.657000614599</v>
      </c>
      <c r="K23" s="385">
        <v>22550.85890509051</v>
      </c>
      <c r="L23" s="385">
        <v>10487.089501013086</v>
      </c>
      <c r="M23" s="386">
        <v>1489.2445047144624</v>
      </c>
      <c r="N23" s="386">
        <v>696.28528937110616</v>
      </c>
      <c r="O23" s="386">
        <v>3452.6198085469769</v>
      </c>
      <c r="P23" s="386">
        <v>1315.0041675620496</v>
      </c>
      <c r="Q23" s="386">
        <v>269.55482431639393</v>
      </c>
      <c r="R23" s="352"/>
      <c r="S23" s="352"/>
      <c r="V23" s="180"/>
    </row>
    <row r="24" spans="1:22" s="998" customFormat="1" ht="21" customHeight="1">
      <c r="A24" s="850">
        <v>2024</v>
      </c>
      <c r="B24" s="851" t="s">
        <v>239</v>
      </c>
      <c r="C24" s="385">
        <v>26078.178048883994</v>
      </c>
      <c r="D24" s="385">
        <v>8415.7756104765103</v>
      </c>
      <c r="E24" s="386">
        <v>968.68305568317453</v>
      </c>
      <c r="F24" s="386">
        <v>1581.6946892626615</v>
      </c>
      <c r="G24" s="386">
        <v>2275.4983667727297</v>
      </c>
      <c r="H24" s="386">
        <v>1204.9630627202255</v>
      </c>
      <c r="I24" s="386">
        <v>177.74443381455464</v>
      </c>
      <c r="J24" s="634">
        <v>40702.557267613847</v>
      </c>
      <c r="K24" s="385">
        <v>22382.380957885285</v>
      </c>
      <c r="L24" s="385">
        <v>10927.572563060068</v>
      </c>
      <c r="M24" s="386">
        <v>1321.1821739430784</v>
      </c>
      <c r="N24" s="386">
        <v>699.43503530316127</v>
      </c>
      <c r="O24" s="386">
        <v>3606.4030362274611</v>
      </c>
      <c r="P24" s="386">
        <v>1529.294476611557</v>
      </c>
      <c r="Q24" s="386">
        <v>236.28902458323137</v>
      </c>
      <c r="R24" s="352"/>
      <c r="S24" s="352"/>
      <c r="V24" s="180"/>
    </row>
    <row r="25" spans="1:22" s="998" customFormat="1" ht="15" customHeight="1">
      <c r="A25" s="850"/>
      <c r="B25" s="851" t="s">
        <v>240</v>
      </c>
      <c r="C25" s="385">
        <v>26542.893731499833</v>
      </c>
      <c r="D25" s="385">
        <v>7928.508056821398</v>
      </c>
      <c r="E25" s="386">
        <v>932.82988032316257</v>
      </c>
      <c r="F25" s="386">
        <v>1779.6863685856908</v>
      </c>
      <c r="G25" s="386">
        <v>2208.0938220834396</v>
      </c>
      <c r="H25" s="386">
        <v>1353.4945279177275</v>
      </c>
      <c r="I25" s="386">
        <v>452.38226433105592</v>
      </c>
      <c r="J25" s="634">
        <v>41197.888651562294</v>
      </c>
      <c r="K25" s="385">
        <v>22336.218574298582</v>
      </c>
      <c r="L25" s="385">
        <v>11129.680560700095</v>
      </c>
      <c r="M25" s="386">
        <v>1616.0339292825506</v>
      </c>
      <c r="N25" s="386">
        <v>600.11962682531009</v>
      </c>
      <c r="O25" s="386">
        <v>3640.9551695940045</v>
      </c>
      <c r="P25" s="386">
        <v>1706.2601322136543</v>
      </c>
      <c r="Q25" s="386">
        <v>168.62065864809847</v>
      </c>
      <c r="R25" s="352"/>
      <c r="S25" s="352"/>
      <c r="V25" s="180"/>
    </row>
    <row r="26" spans="1:22" s="998" customFormat="1" ht="15" customHeight="1">
      <c r="A26" s="850"/>
      <c r="B26" s="851" t="s">
        <v>237</v>
      </c>
      <c r="C26" s="385">
        <v>27255.35550262767</v>
      </c>
      <c r="D26" s="385">
        <v>7855.4486871492918</v>
      </c>
      <c r="E26" s="386">
        <v>964.42664761902813</v>
      </c>
      <c r="F26" s="386">
        <v>1795.1955922978473</v>
      </c>
      <c r="G26" s="386">
        <v>2239.2163397800205</v>
      </c>
      <c r="H26" s="386">
        <v>1169.218557439161</v>
      </c>
      <c r="I26" s="386">
        <v>253.15399908290652</v>
      </c>
      <c r="J26" s="634">
        <v>41531.955325995921</v>
      </c>
      <c r="K26" s="385">
        <v>23166.142696337854</v>
      </c>
      <c r="L26" s="385">
        <v>11227.524053974757</v>
      </c>
      <c r="M26" s="386">
        <v>1411.8588349508586</v>
      </c>
      <c r="N26" s="386">
        <v>577.92360664432545</v>
      </c>
      <c r="O26" s="386">
        <v>3703.517363240629</v>
      </c>
      <c r="P26" s="386">
        <v>1306.764419808545</v>
      </c>
      <c r="Q26" s="386">
        <v>138.25435103895259</v>
      </c>
      <c r="R26" s="352"/>
      <c r="S26" s="352"/>
      <c r="V26" s="180"/>
    </row>
    <row r="27" spans="1:22" s="998" customFormat="1" ht="15" customHeight="1">
      <c r="A27" s="850"/>
      <c r="B27" s="851" t="s">
        <v>238</v>
      </c>
      <c r="C27" s="385">
        <v>26863.000820399804</v>
      </c>
      <c r="D27" s="385">
        <v>7889.7692907676219</v>
      </c>
      <c r="E27" s="386">
        <v>959.99365903343232</v>
      </c>
      <c r="F27" s="386">
        <v>2149.9429626059436</v>
      </c>
      <c r="G27" s="386">
        <v>2449.3888114142046</v>
      </c>
      <c r="H27" s="386">
        <v>1209.6754082669895</v>
      </c>
      <c r="I27" s="386">
        <v>187.73536368666507</v>
      </c>
      <c r="J27" s="634">
        <v>41709.526316174655</v>
      </c>
      <c r="K27" s="385">
        <v>22639.292034651524</v>
      </c>
      <c r="L27" s="385">
        <v>10739.342830837297</v>
      </c>
      <c r="M27" s="386">
        <v>1447.4651039233938</v>
      </c>
      <c r="N27" s="386">
        <v>733.27705983139469</v>
      </c>
      <c r="O27" s="386">
        <v>4097.8406110383694</v>
      </c>
      <c r="P27" s="386">
        <v>1880.359378198156</v>
      </c>
      <c r="Q27" s="386">
        <v>171.94929769452574</v>
      </c>
      <c r="R27" s="352"/>
      <c r="S27" s="352"/>
      <c r="V27" s="180"/>
    </row>
    <row r="28" spans="1:22" s="998" customFormat="1" ht="21" customHeight="1">
      <c r="A28" s="850">
        <v>2025</v>
      </c>
      <c r="B28" s="851" t="s">
        <v>239</v>
      </c>
      <c r="C28" s="385">
        <f t="shared" ref="C28:Q28" si="1">C36</f>
        <v>27825.870301222272</v>
      </c>
      <c r="D28" s="385">
        <f t="shared" si="1"/>
        <v>8251.8475335091553</v>
      </c>
      <c r="E28" s="386">
        <f t="shared" si="1"/>
        <v>1012.8449107113108</v>
      </c>
      <c r="F28" s="386">
        <f t="shared" si="1"/>
        <v>1600.9026224687268</v>
      </c>
      <c r="G28" s="386">
        <f t="shared" si="1"/>
        <v>2347.7587957963597</v>
      </c>
      <c r="H28" s="386">
        <f t="shared" si="1"/>
        <v>1249.3902270922163</v>
      </c>
      <c r="I28" s="386">
        <f t="shared" si="1"/>
        <v>154.46194760925894</v>
      </c>
      <c r="J28" s="634">
        <f t="shared" si="1"/>
        <v>42443.056338409304</v>
      </c>
      <c r="K28" s="385">
        <f t="shared" si="1"/>
        <v>23253.244600784179</v>
      </c>
      <c r="L28" s="385">
        <f t="shared" si="1"/>
        <v>11025.49787310292</v>
      </c>
      <c r="M28" s="386">
        <f t="shared" si="1"/>
        <v>1542.8232511272597</v>
      </c>
      <c r="N28" s="386">
        <f t="shared" si="1"/>
        <v>722.65225783623237</v>
      </c>
      <c r="O28" s="386">
        <f t="shared" si="1"/>
        <v>4101.8179526316244</v>
      </c>
      <c r="P28" s="386">
        <f t="shared" si="1"/>
        <v>1637.1563806298293</v>
      </c>
      <c r="Q28" s="386">
        <f t="shared" si="1"/>
        <v>159.86402229726082</v>
      </c>
      <c r="R28" s="352"/>
      <c r="S28" s="352"/>
      <c r="V28" s="180"/>
    </row>
    <row r="29" spans="1:22" s="998" customFormat="1" ht="15" customHeight="1">
      <c r="A29" s="850"/>
      <c r="B29" s="851" t="s">
        <v>240</v>
      </c>
      <c r="C29" s="385">
        <f t="shared" ref="C29:Q29" si="2">C39</f>
        <v>28216.060263560586</v>
      </c>
      <c r="D29" s="385">
        <f t="shared" si="2"/>
        <v>8721.5151927816314</v>
      </c>
      <c r="E29" s="386">
        <f t="shared" si="2"/>
        <v>1026.4182534605261</v>
      </c>
      <c r="F29" s="386">
        <f t="shared" si="2"/>
        <v>1629.4183774202079</v>
      </c>
      <c r="G29" s="386">
        <f t="shared" si="2"/>
        <v>2586.482848496129</v>
      </c>
      <c r="H29" s="386">
        <f t="shared" si="2"/>
        <v>1221.0600832298351</v>
      </c>
      <c r="I29" s="386">
        <f t="shared" si="2"/>
        <v>152.0184803887314</v>
      </c>
      <c r="J29" s="634">
        <f t="shared" si="2"/>
        <v>43552.973499337655</v>
      </c>
      <c r="K29" s="385">
        <f t="shared" si="2"/>
        <v>23031.953484538863</v>
      </c>
      <c r="L29" s="385">
        <f t="shared" si="2"/>
        <v>11809.372123869822</v>
      </c>
      <c r="M29" s="386">
        <f t="shared" si="2"/>
        <v>1681.2412765082011</v>
      </c>
      <c r="N29" s="386">
        <f t="shared" si="2"/>
        <v>697.66830279773319</v>
      </c>
      <c r="O29" s="386">
        <f t="shared" si="2"/>
        <v>4173.9118639584058</v>
      </c>
      <c r="P29" s="386">
        <f t="shared" si="2"/>
        <v>1980.0815374833999</v>
      </c>
      <c r="Q29" s="386">
        <f t="shared" si="2"/>
        <v>178.74491018123081</v>
      </c>
      <c r="R29" s="352"/>
      <c r="S29" s="352"/>
      <c r="V29" s="180"/>
    </row>
    <row r="30" spans="1:22" s="998" customFormat="1" ht="15" customHeight="1">
      <c r="A30" s="993"/>
      <c r="B30" s="994" t="s">
        <v>237</v>
      </c>
      <c r="C30" s="995">
        <f t="shared" ref="C30:Q30" si="3">C42</f>
        <v>28101.205140041879</v>
      </c>
      <c r="D30" s="995">
        <f t="shared" si="3"/>
        <v>8891.8683990752907</v>
      </c>
      <c r="E30" s="996">
        <f t="shared" si="3"/>
        <v>1130.8649250223364</v>
      </c>
      <c r="F30" s="996">
        <f t="shared" si="3"/>
        <v>1813.1396415238414</v>
      </c>
      <c r="G30" s="996">
        <f t="shared" si="3"/>
        <v>2645.2665138188231</v>
      </c>
      <c r="H30" s="996">
        <f t="shared" si="3"/>
        <v>1331.7312870028129</v>
      </c>
      <c r="I30" s="996">
        <f t="shared" si="3"/>
        <v>146.63558497172809</v>
      </c>
      <c r="J30" s="997">
        <f t="shared" si="3"/>
        <v>44060.741491456713</v>
      </c>
      <c r="K30" s="995">
        <f t="shared" si="3"/>
        <v>22985.532371988418</v>
      </c>
      <c r="L30" s="995">
        <f t="shared" si="3"/>
        <v>11282.344664586946</v>
      </c>
      <c r="M30" s="996">
        <f t="shared" si="3"/>
        <v>1871.5045580305366</v>
      </c>
      <c r="N30" s="996">
        <f t="shared" si="3"/>
        <v>708.21917180579567</v>
      </c>
      <c r="O30" s="996">
        <f t="shared" si="3"/>
        <v>4679.3691734179229</v>
      </c>
      <c r="P30" s="996">
        <f t="shared" si="3"/>
        <v>2334.2516942185657</v>
      </c>
      <c r="Q30" s="996">
        <f t="shared" si="3"/>
        <v>199.51985740852251</v>
      </c>
      <c r="R30" s="352"/>
      <c r="S30" s="352"/>
      <c r="V30" s="180"/>
    </row>
    <row r="31" spans="1:22" s="180" customFormat="1" ht="21" customHeight="1">
      <c r="A31" s="850">
        <v>2024</v>
      </c>
      <c r="B31" s="851" t="s">
        <v>412</v>
      </c>
      <c r="C31" s="385">
        <v>26993.772277013268</v>
      </c>
      <c r="D31" s="385">
        <v>7828.4732052914642</v>
      </c>
      <c r="E31" s="385">
        <v>932.14889611547642</v>
      </c>
      <c r="F31" s="385">
        <v>1595.0900303037458</v>
      </c>
      <c r="G31" s="385">
        <v>2302.9140889130704</v>
      </c>
      <c r="H31" s="385">
        <v>1102.887736172647</v>
      </c>
      <c r="I31" s="386">
        <v>287.41575214863406</v>
      </c>
      <c r="J31" s="634">
        <v>41042.701985958309</v>
      </c>
      <c r="K31" s="385">
        <v>22777.821444308691</v>
      </c>
      <c r="L31" s="385">
        <v>11218.573699316548</v>
      </c>
      <c r="M31" s="385">
        <v>1407.5747446201299</v>
      </c>
      <c r="N31" s="385">
        <v>419.38000030879641</v>
      </c>
      <c r="O31" s="385">
        <v>3617.225475179268</v>
      </c>
      <c r="P31" s="385">
        <v>1459.8847941875267</v>
      </c>
      <c r="Q31" s="386">
        <v>142.24182803735312</v>
      </c>
      <c r="R31" s="352"/>
      <c r="S31" s="352"/>
    </row>
    <row r="32" spans="1:22" s="180" customFormat="1" ht="16.5" customHeight="1">
      <c r="A32" s="850"/>
      <c r="B32" s="851" t="s">
        <v>413</v>
      </c>
      <c r="C32" s="385">
        <v>26948.8586610368</v>
      </c>
      <c r="D32" s="385">
        <v>8078.0105248180826</v>
      </c>
      <c r="E32" s="385">
        <v>899.57080743007998</v>
      </c>
      <c r="F32" s="385">
        <v>1762.1140125025711</v>
      </c>
      <c r="G32" s="385">
        <v>2411.5333750198365</v>
      </c>
      <c r="H32" s="385">
        <v>1231.4387615064202</v>
      </c>
      <c r="I32" s="386">
        <f>$J32-SUM(C32:H32)</f>
        <v>188.99156935838982</v>
      </c>
      <c r="J32" s="634">
        <v>41520.517711672175</v>
      </c>
      <c r="K32" s="385">
        <v>22805.043140490317</v>
      </c>
      <c r="L32" s="385">
        <v>11147.219594338949</v>
      </c>
      <c r="M32" s="385">
        <v>1385.672208562803</v>
      </c>
      <c r="N32" s="385">
        <v>690.99206821975611</v>
      </c>
      <c r="O32" s="385">
        <v>3722.6088672065102</v>
      </c>
      <c r="P32" s="385">
        <v>1633.8804898356852</v>
      </c>
      <c r="Q32" s="386">
        <f>$J32-SUM(K32:P32)</f>
        <v>135.1013430181556</v>
      </c>
      <c r="R32" s="352"/>
      <c r="S32" s="352"/>
    </row>
    <row r="33" spans="1:19" s="180" customFormat="1" ht="16.5" customHeight="1">
      <c r="A33" s="850"/>
      <c r="B33" s="851" t="s">
        <v>414</v>
      </c>
      <c r="C33" s="385">
        <v>26863.000820399804</v>
      </c>
      <c r="D33" s="385">
        <v>7889.7692907676219</v>
      </c>
      <c r="E33" s="385">
        <v>959.99365903343232</v>
      </c>
      <c r="F33" s="385">
        <v>2149.9429626059436</v>
      </c>
      <c r="G33" s="385">
        <v>2449.3888114142046</v>
      </c>
      <c r="H33" s="385">
        <v>1209.6754082669895</v>
      </c>
      <c r="I33" s="386">
        <f>$J33-SUM(C33:H33)-0.02</f>
        <v>187.73536368666507</v>
      </c>
      <c r="J33" s="634">
        <v>41709.526316174655</v>
      </c>
      <c r="K33" s="385">
        <v>22639.292034651524</v>
      </c>
      <c r="L33" s="385">
        <v>10739.342830837297</v>
      </c>
      <c r="M33" s="385">
        <v>1447.4651039233938</v>
      </c>
      <c r="N33" s="385">
        <v>733.27705983139469</v>
      </c>
      <c r="O33" s="385">
        <v>4097.8406110383694</v>
      </c>
      <c r="P33" s="385">
        <v>1880.359378198156</v>
      </c>
      <c r="Q33" s="386">
        <f>$J33-SUM(K33:P33)</f>
        <v>171.94929769452574</v>
      </c>
      <c r="R33" s="352"/>
      <c r="S33" s="352"/>
    </row>
    <row r="34" spans="1:19" s="180" customFormat="1" ht="21" customHeight="1">
      <c r="A34" s="850">
        <v>2025</v>
      </c>
      <c r="B34" s="851" t="s">
        <v>415</v>
      </c>
      <c r="C34" s="385">
        <v>27035.059875658342</v>
      </c>
      <c r="D34" s="385">
        <v>7910.4285216886819</v>
      </c>
      <c r="E34" s="385">
        <v>997.69199525442627</v>
      </c>
      <c r="F34" s="385">
        <v>1831.9598773595344</v>
      </c>
      <c r="G34" s="385">
        <v>2477.8460502712287</v>
      </c>
      <c r="H34" s="385">
        <v>1217.5133580651154</v>
      </c>
      <c r="I34" s="386">
        <f>$J34-SUM(C34:H34)</f>
        <v>179.18392002183828</v>
      </c>
      <c r="J34" s="634">
        <v>41649.68359831917</v>
      </c>
      <c r="K34" s="385">
        <v>22475.02464663349</v>
      </c>
      <c r="L34" s="385">
        <v>10882.997510716366</v>
      </c>
      <c r="M34" s="385">
        <v>1408.4122084056003</v>
      </c>
      <c r="N34" s="385">
        <v>768.82000962381505</v>
      </c>
      <c r="O34" s="385">
        <v>4103.530548400252</v>
      </c>
      <c r="P34" s="385">
        <v>1786.0615710298644</v>
      </c>
      <c r="Q34" s="386">
        <f>$J34-SUM(K34:P34)+0.02</f>
        <v>224.85710350978073</v>
      </c>
      <c r="R34" s="352"/>
      <c r="S34" s="352"/>
    </row>
    <row r="35" spans="1:19" s="180" customFormat="1" ht="17.25" customHeight="1">
      <c r="A35" s="850"/>
      <c r="B35" s="851" t="s">
        <v>416</v>
      </c>
      <c r="C35" s="385">
        <v>27398.06315684236</v>
      </c>
      <c r="D35" s="385">
        <v>7839.1429559050403</v>
      </c>
      <c r="E35" s="385">
        <v>999.03330233993097</v>
      </c>
      <c r="F35" s="385">
        <v>1655.8629823988088</v>
      </c>
      <c r="G35" s="385">
        <v>2408.0564305338694</v>
      </c>
      <c r="H35" s="385">
        <v>1219.5253474553901</v>
      </c>
      <c r="I35" s="386">
        <f>$J35-SUM(C35:H35)</f>
        <v>177.98873128046398</v>
      </c>
      <c r="J35" s="634">
        <v>41697.672906755863</v>
      </c>
      <c r="K35" s="385">
        <v>22990.187425946311</v>
      </c>
      <c r="L35" s="385">
        <v>11003.093705834319</v>
      </c>
      <c r="M35" s="385">
        <v>1368.9617126987741</v>
      </c>
      <c r="N35" s="385">
        <v>732.18509539483478</v>
      </c>
      <c r="O35" s="385">
        <v>3530.3612313234839</v>
      </c>
      <c r="P35" s="385">
        <v>1862.8062294570518</v>
      </c>
      <c r="Q35" s="386">
        <f>$J35-SUM(K35:P35)-0.05</f>
        <v>210.02750610107904</v>
      </c>
      <c r="R35" s="352"/>
      <c r="S35" s="352"/>
    </row>
    <row r="36" spans="1:19" s="180" customFormat="1" ht="17.25" customHeight="1">
      <c r="A36" s="850"/>
      <c r="B36" s="851" t="s">
        <v>417</v>
      </c>
      <c r="C36" s="385">
        <v>27825.870301222272</v>
      </c>
      <c r="D36" s="385">
        <v>8251.8475335091553</v>
      </c>
      <c r="E36" s="385">
        <v>1012.8449107113108</v>
      </c>
      <c r="F36" s="385">
        <v>1600.9026224687268</v>
      </c>
      <c r="G36" s="385">
        <v>2347.7587957963597</v>
      </c>
      <c r="H36" s="385">
        <v>1249.3902270922163</v>
      </c>
      <c r="I36" s="386">
        <f>$J36-SUM(C36:H36)+0.02</f>
        <v>154.46194760925894</v>
      </c>
      <c r="J36" s="634">
        <v>42443.056338409304</v>
      </c>
      <c r="K36" s="385">
        <v>23253.244600784179</v>
      </c>
      <c r="L36" s="385">
        <v>11025.49787310292</v>
      </c>
      <c r="M36" s="385">
        <v>1542.8232511272597</v>
      </c>
      <c r="N36" s="385">
        <v>722.65225783623237</v>
      </c>
      <c r="O36" s="385">
        <v>4101.8179526316244</v>
      </c>
      <c r="P36" s="385">
        <v>1637.1563806298293</v>
      </c>
      <c r="Q36" s="386">
        <f>$J36-SUM(K36:P36)</f>
        <v>159.86402229726082</v>
      </c>
      <c r="R36" s="352"/>
      <c r="S36" s="352"/>
    </row>
    <row r="37" spans="1:19" s="180" customFormat="1" ht="17.25" customHeight="1">
      <c r="A37" s="850"/>
      <c r="B37" s="851" t="s">
        <v>418</v>
      </c>
      <c r="C37" s="385">
        <v>27701.663003405556</v>
      </c>
      <c r="D37" s="385">
        <v>8402.6377200223433</v>
      </c>
      <c r="E37" s="385">
        <v>981.30094040685958</v>
      </c>
      <c r="F37" s="385">
        <v>1892.1472523538446</v>
      </c>
      <c r="G37" s="385">
        <v>2436.6608654060528</v>
      </c>
      <c r="H37" s="385">
        <v>1193.7688763190536</v>
      </c>
      <c r="I37" s="386">
        <f t="shared" ref="I37:I41" si="4">$J37-SUM(C37:H37)</f>
        <v>155.18600942056219</v>
      </c>
      <c r="J37" s="634">
        <v>42763.364667334274</v>
      </c>
      <c r="K37" s="385">
        <v>23041.973287094679</v>
      </c>
      <c r="L37" s="385">
        <v>11303.508474702099</v>
      </c>
      <c r="M37" s="385">
        <v>1532.1619132644018</v>
      </c>
      <c r="N37" s="385">
        <v>735.51040406019581</v>
      </c>
      <c r="O37" s="385">
        <v>4011.7821249105946</v>
      </c>
      <c r="P37" s="385">
        <v>1989.5654735306318</v>
      </c>
      <c r="Q37" s="386">
        <f>$J37-SUM(K37:P37)-0.02</f>
        <v>148.84298977167461</v>
      </c>
      <c r="R37" s="352"/>
      <c r="S37" s="352"/>
    </row>
    <row r="38" spans="1:19" s="180" customFormat="1" ht="17.25" customHeight="1">
      <c r="A38" s="850"/>
      <c r="B38" s="851" t="s">
        <v>419</v>
      </c>
      <c r="C38" s="385">
        <v>28186.084253228408</v>
      </c>
      <c r="D38" s="385">
        <v>8763.1232039963234</v>
      </c>
      <c r="E38" s="385">
        <v>1020.9812941296794</v>
      </c>
      <c r="F38" s="385">
        <v>1688.0249017855544</v>
      </c>
      <c r="G38" s="385">
        <v>2456.5562376808061</v>
      </c>
      <c r="H38" s="385">
        <v>1183.6830613658653</v>
      </c>
      <c r="I38" s="386">
        <f t="shared" si="4"/>
        <v>156.33213944491581</v>
      </c>
      <c r="J38" s="634">
        <v>43454.785091631551</v>
      </c>
      <c r="K38" s="385">
        <v>23028.934588177381</v>
      </c>
      <c r="L38" s="385">
        <v>11521.157753449585</v>
      </c>
      <c r="M38" s="385">
        <v>1619.9410011971831</v>
      </c>
      <c r="N38" s="385">
        <v>796.57827158229179</v>
      </c>
      <c r="O38" s="385">
        <v>4199.9517558677426</v>
      </c>
      <c r="P38" s="385">
        <v>2144.8851602205023</v>
      </c>
      <c r="Q38" s="386">
        <f t="shared" ref="Q38:Q43" si="5">$J38-SUM(K38:P38)</f>
        <v>143.33656113686447</v>
      </c>
      <c r="R38" s="352"/>
      <c r="S38" s="352"/>
    </row>
    <row r="39" spans="1:19" s="180" customFormat="1" ht="17.25" customHeight="1">
      <c r="A39" s="850"/>
      <c r="B39" s="851" t="s">
        <v>420</v>
      </c>
      <c r="C39" s="385">
        <v>28216.060263560586</v>
      </c>
      <c r="D39" s="385">
        <v>8721.5151927816314</v>
      </c>
      <c r="E39" s="385">
        <v>1026.4182534605261</v>
      </c>
      <c r="F39" s="385">
        <v>1629.4183774202079</v>
      </c>
      <c r="G39" s="385">
        <v>2586.482848496129</v>
      </c>
      <c r="H39" s="385">
        <v>1221.0600832298351</v>
      </c>
      <c r="I39" s="386">
        <f t="shared" si="4"/>
        <v>152.0184803887314</v>
      </c>
      <c r="J39" s="634">
        <v>43552.973499337655</v>
      </c>
      <c r="K39" s="385">
        <v>23031.953484538863</v>
      </c>
      <c r="L39" s="385">
        <v>11809.372123869822</v>
      </c>
      <c r="M39" s="385">
        <v>1681.2412765082011</v>
      </c>
      <c r="N39" s="385">
        <v>697.66830279773319</v>
      </c>
      <c r="O39" s="385">
        <v>4173.9118639584058</v>
      </c>
      <c r="P39" s="385">
        <v>1980.0815374833999</v>
      </c>
      <c r="Q39" s="386">
        <f t="shared" si="5"/>
        <v>178.74491018123081</v>
      </c>
      <c r="R39" s="352"/>
      <c r="S39" s="352"/>
    </row>
    <row r="40" spans="1:19" s="180" customFormat="1" ht="17.25" customHeight="1">
      <c r="A40" s="850"/>
      <c r="B40" s="851" t="s">
        <v>421</v>
      </c>
      <c r="C40" s="385">
        <v>28211.041084364228</v>
      </c>
      <c r="D40" s="385">
        <v>8768.4357797172215</v>
      </c>
      <c r="E40" s="385">
        <v>1133.6654692056468</v>
      </c>
      <c r="F40" s="385">
        <v>1794.2159000762801</v>
      </c>
      <c r="G40" s="385">
        <v>2606.8854575574105</v>
      </c>
      <c r="H40" s="385">
        <v>1135.0299384817358</v>
      </c>
      <c r="I40" s="386">
        <f t="shared" si="4"/>
        <v>150.36791691659164</v>
      </c>
      <c r="J40" s="634">
        <v>43799.641546319108</v>
      </c>
      <c r="K40" s="385">
        <v>22957.65687593845</v>
      </c>
      <c r="L40" s="385">
        <v>11202.942145276978</v>
      </c>
      <c r="M40" s="385">
        <v>1696.6879735696984</v>
      </c>
      <c r="N40" s="385">
        <v>900.37081284692158</v>
      </c>
      <c r="O40" s="385">
        <v>4627.3398204132573</v>
      </c>
      <c r="P40" s="385">
        <v>2222.9484123812931</v>
      </c>
      <c r="Q40" s="386">
        <f t="shared" si="5"/>
        <v>191.69550589250139</v>
      </c>
      <c r="R40" s="352"/>
      <c r="S40" s="352"/>
    </row>
    <row r="41" spans="1:19" s="180" customFormat="1" ht="17.25" customHeight="1">
      <c r="A41" s="850"/>
      <c r="B41" s="851" t="s">
        <v>422</v>
      </c>
      <c r="C41" s="385">
        <v>28036.856351553135</v>
      </c>
      <c r="D41" s="385">
        <v>9109.0194213349896</v>
      </c>
      <c r="E41" s="385">
        <v>1125.5138198451186</v>
      </c>
      <c r="F41" s="385">
        <v>1833.5375383733099</v>
      </c>
      <c r="G41" s="385">
        <v>2704.0422015553704</v>
      </c>
      <c r="H41" s="385">
        <v>1289.6695062803697</v>
      </c>
      <c r="I41" s="386">
        <f t="shared" si="4"/>
        <v>148.35663539761299</v>
      </c>
      <c r="J41" s="634">
        <v>44246.995474339907</v>
      </c>
      <c r="K41" s="385">
        <v>22984.133759488053</v>
      </c>
      <c r="L41" s="385">
        <v>11233.393110607374</v>
      </c>
      <c r="M41" s="385">
        <v>1733.3284544440467</v>
      </c>
      <c r="N41" s="385">
        <v>934.15566347002834</v>
      </c>
      <c r="O41" s="385">
        <v>4759.6720420704141</v>
      </c>
      <c r="P41" s="385">
        <v>2399.3225587284355</v>
      </c>
      <c r="Q41" s="386">
        <f t="shared" si="5"/>
        <v>202.98988553155505</v>
      </c>
      <c r="R41" s="352"/>
      <c r="S41" s="352"/>
    </row>
    <row r="42" spans="1:19" s="180" customFormat="1" ht="17.25" customHeight="1">
      <c r="A42" s="850"/>
      <c r="B42" s="851" t="s">
        <v>423</v>
      </c>
      <c r="C42" s="385">
        <v>28101.205140041879</v>
      </c>
      <c r="D42" s="385">
        <v>8891.8683990752907</v>
      </c>
      <c r="E42" s="385">
        <v>1130.8649250223364</v>
      </c>
      <c r="F42" s="385">
        <v>1813.1396415238414</v>
      </c>
      <c r="G42" s="385">
        <v>2645.2665138188231</v>
      </c>
      <c r="H42" s="385">
        <v>1331.7312870028129</v>
      </c>
      <c r="I42" s="386">
        <f>$J42-SUM(C42:H42)-0.03</f>
        <v>146.63558497172809</v>
      </c>
      <c r="J42" s="634">
        <v>44060.741491456713</v>
      </c>
      <c r="K42" s="385">
        <v>22985.532371988418</v>
      </c>
      <c r="L42" s="385">
        <v>11282.344664586946</v>
      </c>
      <c r="M42" s="385">
        <v>1871.5045580305366</v>
      </c>
      <c r="N42" s="385">
        <v>708.21917180579567</v>
      </c>
      <c r="O42" s="385">
        <v>4679.3691734179229</v>
      </c>
      <c r="P42" s="385">
        <v>2334.2516942185657</v>
      </c>
      <c r="Q42" s="386">
        <f t="shared" si="5"/>
        <v>199.51985740852251</v>
      </c>
      <c r="R42" s="352"/>
      <c r="S42" s="352"/>
    </row>
    <row r="43" spans="1:19" s="180" customFormat="1" ht="17.25" customHeight="1">
      <c r="A43" s="850"/>
      <c r="B43" s="851" t="s">
        <v>412</v>
      </c>
      <c r="C43" s="385">
        <v>28511.136359516779</v>
      </c>
      <c r="D43" s="385">
        <v>8381.850625250634</v>
      </c>
      <c r="E43" s="385">
        <v>1174.6979354267664</v>
      </c>
      <c r="F43" s="385">
        <v>1849.6455789248726</v>
      </c>
      <c r="G43" s="385">
        <v>2754.7362600964607</v>
      </c>
      <c r="H43" s="385">
        <v>1371.6682405202628</v>
      </c>
      <c r="I43" s="386">
        <f>$J43-SUM(C43:H43)</f>
        <v>144.6619674210815</v>
      </c>
      <c r="J43" s="634">
        <v>44188.396967156863</v>
      </c>
      <c r="K43" s="385">
        <v>22686.39490364811</v>
      </c>
      <c r="L43" s="385">
        <v>11733.891006150567</v>
      </c>
      <c r="M43" s="385">
        <v>1924.3553780102391</v>
      </c>
      <c r="N43" s="385">
        <v>814.63002351063608</v>
      </c>
      <c r="O43" s="385">
        <v>4597.5733885928785</v>
      </c>
      <c r="P43" s="385">
        <v>2296.1427992892927</v>
      </c>
      <c r="Q43" s="386">
        <f t="shared" si="5"/>
        <v>135.40946795513446</v>
      </c>
      <c r="R43" s="352"/>
      <c r="S43" s="352"/>
    </row>
    <row r="44" spans="1:19" ht="19.5" customHeight="1">
      <c r="A44" s="253" t="s">
        <v>996</v>
      </c>
      <c r="B44" s="1461"/>
      <c r="C44" s="1461"/>
      <c r="D44" s="1461"/>
      <c r="E44" s="1461"/>
      <c r="F44" s="1461"/>
      <c r="G44" s="1461"/>
      <c r="H44" s="1461"/>
      <c r="I44" s="1461"/>
      <c r="J44" s="1461"/>
      <c r="K44" s="1461"/>
      <c r="L44" s="1461"/>
      <c r="M44" s="1461"/>
      <c r="N44" s="1461"/>
      <c r="O44" s="1461"/>
      <c r="P44" s="1461"/>
      <c r="Q44" s="252" t="s">
        <v>997</v>
      </c>
    </row>
    <row r="45" spans="1:19" ht="15.95" customHeight="1">
      <c r="A45" s="306" t="s">
        <v>998</v>
      </c>
      <c r="Q45" s="365" t="s">
        <v>999</v>
      </c>
    </row>
    <row r="46" spans="1:19" s="180" customFormat="1" ht="15">
      <c r="A46" s="306" t="s">
        <v>1000</v>
      </c>
      <c r="B46" s="306"/>
      <c r="C46" s="306"/>
      <c r="D46" s="306"/>
      <c r="E46" s="306"/>
      <c r="F46" s="306"/>
      <c r="G46" s="306"/>
      <c r="H46" s="306"/>
      <c r="I46" s="306"/>
      <c r="J46" s="276"/>
      <c r="K46" s="276"/>
      <c r="L46" s="276"/>
      <c r="M46" s="276"/>
      <c r="N46" s="276"/>
      <c r="O46" s="276"/>
      <c r="P46" s="276"/>
      <c r="Q46" s="627" t="s">
        <v>1001</v>
      </c>
    </row>
    <row r="47" spans="1:19" ht="15">
      <c r="A47" s="276" t="s">
        <v>1002</v>
      </c>
      <c r="B47" s="1250"/>
      <c r="C47" s="1250"/>
      <c r="D47" s="1250"/>
      <c r="E47" s="1250"/>
      <c r="F47" s="1250"/>
      <c r="G47" s="1250"/>
      <c r="H47" s="1250"/>
      <c r="I47" s="1250"/>
      <c r="J47" s="1250"/>
      <c r="K47" s="1250"/>
      <c r="L47" s="1250"/>
      <c r="M47" s="1250"/>
      <c r="N47" s="1250"/>
      <c r="O47" s="1250"/>
      <c r="P47" s="1250"/>
      <c r="Q47" s="1250"/>
    </row>
    <row r="48" spans="1:19">
      <c r="C48" s="1488"/>
      <c r="D48" s="1488"/>
      <c r="E48" s="1488"/>
      <c r="F48" s="1488"/>
      <c r="G48" s="1488"/>
      <c r="H48" s="1488"/>
      <c r="I48" s="1488"/>
      <c r="J48" s="1488"/>
      <c r="K48" s="1488"/>
      <c r="L48" s="1488"/>
      <c r="M48" s="1488"/>
      <c r="N48" s="1488"/>
      <c r="O48" s="1488"/>
      <c r="P48" s="1488"/>
      <c r="Q48" s="1488"/>
    </row>
    <row r="49" spans="3:17">
      <c r="C49" s="1488"/>
      <c r="D49" s="1488"/>
      <c r="E49" s="1488"/>
      <c r="F49" s="1488"/>
      <c r="G49" s="1488"/>
      <c r="H49" s="1488"/>
      <c r="I49" s="1488"/>
      <c r="J49" s="1488"/>
      <c r="K49" s="1488"/>
      <c r="L49" s="1488"/>
      <c r="M49" s="1488"/>
      <c r="N49" s="1488"/>
      <c r="O49" s="1488"/>
      <c r="P49" s="1488"/>
      <c r="Q49" s="1488"/>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tabSelected="1" zoomScale="80" zoomScaleNormal="80" workbookViewId="0">
      <pane ySplit="12" topLeftCell="A23" activePane="bottomLeft" state="frozen"/>
      <selection activeCell="N29" sqref="N29"/>
      <selection pane="bottomLeft" activeCell="N29" sqref="N29"/>
    </sheetView>
  </sheetViews>
  <sheetFormatPr defaultColWidth="9.140625" defaultRowHeight="12.75"/>
  <cols>
    <col min="1" max="2" width="9.7109375" style="1251" customWidth="1"/>
    <col min="3" max="3" width="11" style="1251" customWidth="1"/>
    <col min="4" max="4" width="12.85546875" style="1251" customWidth="1"/>
    <col min="5" max="5" width="12.7109375" style="1251" customWidth="1"/>
    <col min="6" max="6" width="10.28515625" style="1251" customWidth="1"/>
    <col min="7" max="7" width="11.85546875" style="1251" customWidth="1"/>
    <col min="8" max="8" width="11.7109375" style="1251" customWidth="1"/>
    <col min="9" max="9" width="10.28515625" style="1251" customWidth="1"/>
    <col min="10" max="10" width="12.7109375" style="1251" customWidth="1"/>
    <col min="11" max="11" width="12" style="1251" customWidth="1"/>
    <col min="12" max="12" width="12.85546875" style="1251" customWidth="1"/>
    <col min="13" max="13" width="11.7109375" style="1251" customWidth="1"/>
    <col min="14" max="14" width="10.28515625" style="1251" customWidth="1"/>
    <col min="15" max="16" width="11.7109375" style="1251" customWidth="1"/>
    <col min="17" max="17" width="10.7109375" style="1251" customWidth="1"/>
    <col min="18" max="16384" width="9.140625" style="1251"/>
  </cols>
  <sheetData>
    <row r="1" spans="1:19" s="381" customFormat="1" ht="18">
      <c r="A1" s="277" t="s">
        <v>1746</v>
      </c>
      <c r="B1" s="1458"/>
      <c r="C1" s="1458"/>
      <c r="D1" s="1458"/>
      <c r="E1" s="1458"/>
      <c r="F1" s="1458"/>
      <c r="G1" s="1458"/>
      <c r="H1" s="1458"/>
      <c r="I1" s="1458"/>
      <c r="J1" s="1458"/>
      <c r="K1" s="1458"/>
      <c r="L1" s="1458"/>
      <c r="M1" s="1458"/>
      <c r="N1" s="1458"/>
      <c r="O1" s="1458"/>
      <c r="P1" s="1458"/>
      <c r="Q1" s="1458"/>
    </row>
    <row r="2" spans="1:19" s="381" customFormat="1" ht="18">
      <c r="A2" s="1425" t="s">
        <v>1003</v>
      </c>
      <c r="B2" s="1458"/>
      <c r="C2" s="1458"/>
      <c r="D2" s="1458"/>
      <c r="E2" s="1458"/>
      <c r="F2" s="1458"/>
      <c r="G2" s="1458"/>
      <c r="H2" s="1458"/>
      <c r="I2" s="1458"/>
      <c r="J2" s="1458"/>
      <c r="K2" s="1458"/>
      <c r="L2" s="1458"/>
      <c r="M2" s="1458"/>
      <c r="N2" s="1458"/>
      <c r="O2" s="1458"/>
      <c r="P2" s="1458"/>
      <c r="Q2" s="1458"/>
    </row>
    <row r="3" spans="1:19" s="381" customFormat="1" ht="18">
      <c r="A3" s="1459" t="s">
        <v>1004</v>
      </c>
      <c r="B3" s="1458"/>
      <c r="C3" s="1458"/>
      <c r="D3" s="1458"/>
      <c r="E3" s="1458"/>
      <c r="F3" s="1458"/>
      <c r="G3" s="1458"/>
      <c r="H3" s="1458"/>
      <c r="I3" s="1458"/>
      <c r="J3" s="1458"/>
      <c r="K3" s="1458"/>
      <c r="L3" s="1458"/>
      <c r="M3" s="1458"/>
      <c r="N3" s="1458"/>
      <c r="O3" s="1458"/>
      <c r="P3" s="1458"/>
      <c r="Q3" s="1458"/>
    </row>
    <row r="4" spans="1:19" s="321" customFormat="1" ht="14.25">
      <c r="A4" s="357" t="s">
        <v>369</v>
      </c>
      <c r="B4" s="358"/>
      <c r="C4" s="359"/>
      <c r="D4" s="359"/>
      <c r="E4" s="359"/>
      <c r="F4" s="359"/>
      <c r="G4" s="359"/>
      <c r="H4" s="359"/>
      <c r="I4" s="359"/>
      <c r="J4" s="359"/>
      <c r="K4" s="359"/>
      <c r="L4" s="359"/>
      <c r="Q4" s="360" t="s">
        <v>370</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1005</v>
      </c>
      <c r="D9" s="177" t="s">
        <v>1006</v>
      </c>
      <c r="E9" s="177" t="s">
        <v>1007</v>
      </c>
      <c r="F9" s="162" t="s">
        <v>1008</v>
      </c>
      <c r="G9" s="162"/>
      <c r="H9" s="177" t="s">
        <v>1009</v>
      </c>
      <c r="I9" s="177"/>
      <c r="J9" s="194"/>
      <c r="K9" s="182" t="s">
        <v>1005</v>
      </c>
      <c r="L9" s="177" t="s">
        <v>1006</v>
      </c>
      <c r="M9" s="177" t="s">
        <v>1007</v>
      </c>
      <c r="N9" s="162" t="s">
        <v>1008</v>
      </c>
      <c r="O9" s="162"/>
      <c r="P9" s="177" t="s">
        <v>1009</v>
      </c>
      <c r="Q9" s="177"/>
    </row>
    <row r="10" spans="1:19" s="176" customFormat="1" ht="18" customHeight="1">
      <c r="A10" s="163" t="s">
        <v>379</v>
      </c>
      <c r="B10" s="165"/>
      <c r="C10" s="182" t="s">
        <v>1010</v>
      </c>
      <c r="D10" s="177" t="s">
        <v>1011</v>
      </c>
      <c r="E10" s="177" t="s">
        <v>1012</v>
      </c>
      <c r="F10" s="162" t="s">
        <v>1013</v>
      </c>
      <c r="G10" s="162" t="s">
        <v>348</v>
      </c>
      <c r="H10" s="177" t="s">
        <v>1014</v>
      </c>
      <c r="I10" s="177" t="s">
        <v>392</v>
      </c>
      <c r="J10" s="193" t="s">
        <v>382</v>
      </c>
      <c r="K10" s="182" t="s">
        <v>1010</v>
      </c>
      <c r="L10" s="177" t="s">
        <v>1011</v>
      </c>
      <c r="M10" s="177" t="s">
        <v>1012</v>
      </c>
      <c r="N10" s="162" t="s">
        <v>1013</v>
      </c>
      <c r="O10" s="162" t="s">
        <v>348</v>
      </c>
      <c r="P10" s="177" t="s">
        <v>1014</v>
      </c>
      <c r="Q10" s="177" t="s">
        <v>392</v>
      </c>
    </row>
    <row r="11" spans="1:19" s="164" customFormat="1" ht="18" customHeight="1">
      <c r="A11" s="178" t="s">
        <v>387</v>
      </c>
      <c r="B11" s="165"/>
      <c r="C11" s="191" t="s">
        <v>1015</v>
      </c>
      <c r="D11" s="166" t="s">
        <v>1016</v>
      </c>
      <c r="E11" s="166" t="s">
        <v>1017</v>
      </c>
      <c r="F11" s="166" t="s">
        <v>1018</v>
      </c>
      <c r="G11" s="166" t="s">
        <v>545</v>
      </c>
      <c r="H11" s="166" t="s">
        <v>1019</v>
      </c>
      <c r="I11" s="168" t="s">
        <v>400</v>
      </c>
      <c r="J11" s="195" t="s">
        <v>393</v>
      </c>
      <c r="K11" s="191" t="s">
        <v>1015</v>
      </c>
      <c r="L11" s="166" t="s">
        <v>1016</v>
      </c>
      <c r="M11" s="166" t="s">
        <v>1017</v>
      </c>
      <c r="N11" s="166" t="s">
        <v>1018</v>
      </c>
      <c r="O11" s="166" t="s">
        <v>545</v>
      </c>
      <c r="P11" s="166" t="s">
        <v>1019</v>
      </c>
      <c r="Q11" s="168" t="s">
        <v>400</v>
      </c>
    </row>
    <row r="12" spans="1:19" s="164" customFormat="1" ht="18" customHeight="1">
      <c r="A12" s="179"/>
      <c r="B12" s="170"/>
      <c r="C12" s="192" t="s">
        <v>1020</v>
      </c>
      <c r="D12" s="198" t="s">
        <v>1021</v>
      </c>
      <c r="E12" s="198" t="s">
        <v>1022</v>
      </c>
      <c r="F12" s="198" t="s">
        <v>1023</v>
      </c>
      <c r="G12" s="198"/>
      <c r="H12" s="198" t="s">
        <v>1024</v>
      </c>
      <c r="I12" s="199"/>
      <c r="J12" s="196"/>
      <c r="K12" s="192" t="s">
        <v>1020</v>
      </c>
      <c r="L12" s="198" t="s">
        <v>1021</v>
      </c>
      <c r="M12" s="198" t="s">
        <v>1022</v>
      </c>
      <c r="N12" s="198" t="s">
        <v>1023</v>
      </c>
      <c r="O12" s="198"/>
      <c r="P12" s="198" t="s">
        <v>1024</v>
      </c>
      <c r="Q12" s="198"/>
    </row>
    <row r="13" spans="1:19" s="180" customFormat="1" ht="27" customHeight="1">
      <c r="A13" s="850">
        <v>2015</v>
      </c>
      <c r="B13" s="851"/>
      <c r="C13" s="385">
        <v>13140.959805222123</v>
      </c>
      <c r="D13" s="385">
        <v>1778.0884863967951</v>
      </c>
      <c r="E13" s="386">
        <v>14018.914251182803</v>
      </c>
      <c r="F13" s="386">
        <v>545.58611901179597</v>
      </c>
      <c r="G13" s="386">
        <v>726.8087996383257</v>
      </c>
      <c r="H13" s="386">
        <v>136.78741615228799</v>
      </c>
      <c r="I13" s="386">
        <v>555.10937312685746</v>
      </c>
      <c r="J13" s="634">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597" customFormat="1" ht="18" customHeight="1">
      <c r="A14" s="850">
        <v>2016</v>
      </c>
      <c r="B14" s="851"/>
      <c r="C14" s="385">
        <v>13847.684482513308</v>
      </c>
      <c r="D14" s="385">
        <v>2582.1412415265781</v>
      </c>
      <c r="E14" s="386">
        <v>13061.54417763273</v>
      </c>
      <c r="F14" s="386">
        <v>608.83682272617261</v>
      </c>
      <c r="G14" s="386">
        <v>588.03695792123949</v>
      </c>
      <c r="H14" s="386">
        <v>29.177962049455999</v>
      </c>
      <c r="I14" s="386">
        <v>496.23113126245738</v>
      </c>
      <c r="J14" s="634">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597" customFormat="1" ht="18" customHeight="1">
      <c r="A15" s="850">
        <v>2017</v>
      </c>
      <c r="B15" s="851"/>
      <c r="C15" s="385">
        <v>13940.199743638404</v>
      </c>
      <c r="D15" s="385">
        <v>2907.4556547999391</v>
      </c>
      <c r="E15" s="386">
        <v>12788.375321419533</v>
      </c>
      <c r="F15" s="386">
        <v>552.43831574225521</v>
      </c>
      <c r="G15" s="386">
        <v>849.32577454291572</v>
      </c>
      <c r="H15" s="386">
        <v>27.06092474791868</v>
      </c>
      <c r="I15" s="386">
        <v>324.11342342409949</v>
      </c>
      <c r="J15" s="634">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998" customFormat="1" ht="18" customHeight="1">
      <c r="A16" s="850">
        <v>2018</v>
      </c>
      <c r="B16" s="851"/>
      <c r="C16" s="385">
        <v>14462.797287870835</v>
      </c>
      <c r="D16" s="385">
        <v>2586.6432679346249</v>
      </c>
      <c r="E16" s="385">
        <v>13769.88138537962</v>
      </c>
      <c r="F16" s="385">
        <v>571.28541417253462</v>
      </c>
      <c r="G16" s="385">
        <v>815.73195869102346</v>
      </c>
      <c r="H16" s="385">
        <v>15.388048864315319</v>
      </c>
      <c r="I16" s="385">
        <v>347.30963501831781</v>
      </c>
      <c r="J16" s="634">
        <v>32569.016388166277</v>
      </c>
      <c r="K16" s="644">
        <v>13951.974525542304</v>
      </c>
      <c r="L16" s="385">
        <v>2532.602719672233</v>
      </c>
      <c r="M16" s="385">
        <v>14701.103629624118</v>
      </c>
      <c r="N16" s="385">
        <v>347.74045659573926</v>
      </c>
      <c r="O16" s="385">
        <v>886.48241709768354</v>
      </c>
      <c r="P16" s="385">
        <v>13.485524372999999</v>
      </c>
      <c r="Q16" s="386">
        <v>135.56336443500007</v>
      </c>
      <c r="R16" s="352"/>
      <c r="S16" s="352"/>
    </row>
    <row r="17" spans="1:21" s="998" customFormat="1" ht="18" customHeight="1">
      <c r="A17" s="850">
        <v>2019</v>
      </c>
      <c r="B17" s="851"/>
      <c r="C17" s="385">
        <v>15324.558939506498</v>
      </c>
      <c r="D17" s="385">
        <v>2658.0382645028026</v>
      </c>
      <c r="E17" s="385">
        <v>15520.493560314675</v>
      </c>
      <c r="F17" s="385">
        <v>546.41696574771413</v>
      </c>
      <c r="G17" s="385">
        <v>907.92306462330896</v>
      </c>
      <c r="H17" s="385">
        <v>34.235041916440018</v>
      </c>
      <c r="I17" s="385">
        <v>378.16713127278348</v>
      </c>
      <c r="J17" s="634">
        <v>35369.833967884224</v>
      </c>
      <c r="K17" s="644">
        <v>14947.892765251161</v>
      </c>
      <c r="L17" s="385">
        <v>3168.3382739973372</v>
      </c>
      <c r="M17" s="385">
        <v>15458.671910102514</v>
      </c>
      <c r="N17" s="385">
        <v>443.74445464110158</v>
      </c>
      <c r="O17" s="385">
        <v>1220.1151924091785</v>
      </c>
      <c r="P17" s="385">
        <v>33.529388792999995</v>
      </c>
      <c r="Q17" s="386">
        <v>97.601158596871983</v>
      </c>
      <c r="R17" s="352"/>
      <c r="S17" s="352"/>
    </row>
    <row r="18" spans="1:21" s="998" customFormat="1" ht="18" customHeight="1">
      <c r="A18" s="850">
        <v>2020</v>
      </c>
      <c r="B18" s="851"/>
      <c r="C18" s="385">
        <v>15896.513872158943</v>
      </c>
      <c r="D18" s="385">
        <v>2320.9844596053845</v>
      </c>
      <c r="E18" s="385">
        <v>15243.588888115544</v>
      </c>
      <c r="F18" s="385">
        <v>594.22075759881227</v>
      </c>
      <c r="G18" s="385">
        <v>1049.9900123503633</v>
      </c>
      <c r="H18" s="385">
        <v>17.969776463737517</v>
      </c>
      <c r="I18" s="385">
        <v>324.04670405163228</v>
      </c>
      <c r="J18" s="634">
        <v>35447.314470344412</v>
      </c>
      <c r="K18" s="644">
        <v>16272.309352863536</v>
      </c>
      <c r="L18" s="385">
        <v>2600.4448920150439</v>
      </c>
      <c r="M18" s="385">
        <v>14958.470577552891</v>
      </c>
      <c r="N18" s="385">
        <v>499.0095573562204</v>
      </c>
      <c r="O18" s="385">
        <v>1006.4740581444566</v>
      </c>
      <c r="P18" s="385">
        <v>21.264856650647395</v>
      </c>
      <c r="Q18" s="386">
        <v>89.306979346224196</v>
      </c>
      <c r="R18" s="352"/>
      <c r="S18" s="352"/>
    </row>
    <row r="19" spans="1:21" s="998" customFormat="1" ht="18" customHeight="1">
      <c r="A19" s="850">
        <v>2021</v>
      </c>
      <c r="B19" s="851"/>
      <c r="C19" s="385">
        <v>16779.133268977133</v>
      </c>
      <c r="D19" s="385">
        <v>2282.1972764481743</v>
      </c>
      <c r="E19" s="385">
        <v>16484.874264458889</v>
      </c>
      <c r="F19" s="385">
        <v>597.86710019031864</v>
      </c>
      <c r="G19" s="385">
        <v>806.79121212652831</v>
      </c>
      <c r="H19" s="385">
        <v>5.6137079902668816</v>
      </c>
      <c r="I19" s="385">
        <v>417.46319103086574</v>
      </c>
      <c r="J19" s="634">
        <v>37373.952699287176</v>
      </c>
      <c r="K19" s="644">
        <v>17288.630812578012</v>
      </c>
      <c r="L19" s="385">
        <v>2621.9720775585256</v>
      </c>
      <c r="M19" s="385">
        <v>16083.66411008286</v>
      </c>
      <c r="N19" s="385">
        <v>537.50150597253901</v>
      </c>
      <c r="O19" s="385">
        <v>799.19708879123107</v>
      </c>
      <c r="P19" s="385">
        <v>5.5780842786122786</v>
      </c>
      <c r="Q19" s="386">
        <v>37.437702376435382</v>
      </c>
      <c r="R19" s="352"/>
      <c r="S19" s="352"/>
    </row>
    <row r="20" spans="1:21" s="998" customFormat="1" ht="18" customHeight="1">
      <c r="A20" s="850">
        <v>2022</v>
      </c>
      <c r="B20" s="851"/>
      <c r="C20" s="385">
        <v>18506.457155046908</v>
      </c>
      <c r="D20" s="386">
        <v>2216.1085650700788</v>
      </c>
      <c r="E20" s="385">
        <v>16089.040512472631</v>
      </c>
      <c r="F20" s="385">
        <v>426.02954481117285</v>
      </c>
      <c r="G20" s="385">
        <v>804.00103932739023</v>
      </c>
      <c r="H20" s="385">
        <v>5.8184737994105493</v>
      </c>
      <c r="I20" s="385">
        <v>200.00434684554256</v>
      </c>
      <c r="J20" s="634">
        <v>38247.439637373129</v>
      </c>
      <c r="K20" s="644">
        <v>18304.145722667265</v>
      </c>
      <c r="L20" s="385">
        <v>2800.9989651581118</v>
      </c>
      <c r="M20" s="385">
        <v>15396.76478851281</v>
      </c>
      <c r="N20" s="385">
        <v>487.27343186731008</v>
      </c>
      <c r="O20" s="385">
        <v>1167.0821682529854</v>
      </c>
      <c r="P20" s="385">
        <v>57.211248504696918</v>
      </c>
      <c r="Q20" s="386">
        <v>33.903585004878636</v>
      </c>
      <c r="R20" s="352"/>
      <c r="S20" s="352"/>
    </row>
    <row r="21" spans="1:21" s="998" customFormat="1" ht="18" customHeight="1">
      <c r="A21" s="850">
        <v>2023</v>
      </c>
      <c r="B21" s="851"/>
      <c r="C21" s="385">
        <v>19337.15675525241</v>
      </c>
      <c r="D21" s="385">
        <v>2347.6561269723657</v>
      </c>
      <c r="E21" s="385">
        <v>17075.921001832998</v>
      </c>
      <c r="F21" s="385">
        <v>440.12185662291955</v>
      </c>
      <c r="G21" s="385">
        <v>760.43876505872129</v>
      </c>
      <c r="H21" s="385">
        <v>45.074261329599494</v>
      </c>
      <c r="I21" s="385">
        <v>254.31340911333706</v>
      </c>
      <c r="J21" s="634">
        <v>40260.652176182353</v>
      </c>
      <c r="K21" s="644">
        <v>19390.863245950488</v>
      </c>
      <c r="L21" s="385">
        <v>2940.5696878663184</v>
      </c>
      <c r="M21" s="385">
        <v>16151.578705033531</v>
      </c>
      <c r="N21" s="385">
        <v>463.45607349649947</v>
      </c>
      <c r="O21" s="385">
        <v>1097.0287476978474</v>
      </c>
      <c r="P21" s="385">
        <v>68.488432743785836</v>
      </c>
      <c r="Q21" s="386">
        <v>148.59976064464686</v>
      </c>
      <c r="R21" s="352"/>
      <c r="S21" s="352"/>
    </row>
    <row r="22" spans="1:21" s="998" customFormat="1" ht="18" customHeight="1">
      <c r="A22" s="993">
        <v>2024</v>
      </c>
      <c r="B22" s="994"/>
      <c r="C22" s="995">
        <f t="shared" ref="C22:Q22" si="0">C27</f>
        <v>19402.315594920288</v>
      </c>
      <c r="D22" s="995">
        <f t="shared" si="0"/>
        <v>1701.8688531829457</v>
      </c>
      <c r="E22" s="995">
        <f t="shared" si="0"/>
        <v>18827.597080303363</v>
      </c>
      <c r="F22" s="995">
        <f t="shared" si="0"/>
        <v>485.53954273937404</v>
      </c>
      <c r="G22" s="995">
        <f t="shared" si="0"/>
        <v>965.11162111833437</v>
      </c>
      <c r="H22" s="995">
        <f t="shared" si="0"/>
        <v>34.684937384176251</v>
      </c>
      <c r="I22" s="995">
        <f t="shared" si="0"/>
        <v>292.43754660404358</v>
      </c>
      <c r="J22" s="997">
        <f t="shared" si="0"/>
        <v>41709.535176252524</v>
      </c>
      <c r="K22" s="1034">
        <f t="shared" si="0"/>
        <v>20064.013236298444</v>
      </c>
      <c r="L22" s="995">
        <f t="shared" si="0"/>
        <v>2322.6338594975591</v>
      </c>
      <c r="M22" s="995">
        <f t="shared" si="0"/>
        <v>17133.257296149313</v>
      </c>
      <c r="N22" s="995">
        <f t="shared" si="0"/>
        <v>614.98349325481763</v>
      </c>
      <c r="O22" s="995">
        <f t="shared" si="0"/>
        <v>1243.9076923169562</v>
      </c>
      <c r="P22" s="995">
        <f t="shared" si="0"/>
        <v>16.859113488510296</v>
      </c>
      <c r="Q22" s="996">
        <f t="shared" si="0"/>
        <v>313.82475300055404</v>
      </c>
      <c r="R22" s="352"/>
      <c r="S22" s="352"/>
    </row>
    <row r="23" spans="1:21" s="998" customFormat="1" ht="21" customHeight="1">
      <c r="A23" s="850">
        <v>2023</v>
      </c>
      <c r="B23" s="851" t="s">
        <v>238</v>
      </c>
      <c r="C23" s="385">
        <v>19337.15675525241</v>
      </c>
      <c r="D23" s="385">
        <v>2347.6561269723657</v>
      </c>
      <c r="E23" s="385">
        <v>17075.921001832998</v>
      </c>
      <c r="F23" s="385">
        <v>440.12185662291955</v>
      </c>
      <c r="G23" s="385">
        <v>760.43876505872129</v>
      </c>
      <c r="H23" s="385">
        <v>45.074261329599494</v>
      </c>
      <c r="I23" s="385">
        <v>254.31340911333706</v>
      </c>
      <c r="J23" s="634">
        <v>40260.652176182353</v>
      </c>
      <c r="K23" s="644">
        <v>19390.863245950488</v>
      </c>
      <c r="L23" s="385">
        <v>2940.5696878663184</v>
      </c>
      <c r="M23" s="385">
        <v>16151.578705033531</v>
      </c>
      <c r="N23" s="385">
        <v>463.45607349649947</v>
      </c>
      <c r="O23" s="385">
        <v>1097.0287476978474</v>
      </c>
      <c r="P23" s="385">
        <v>68.488432743785836</v>
      </c>
      <c r="Q23" s="386">
        <v>148.59976064464686</v>
      </c>
      <c r="R23" s="352"/>
      <c r="S23" s="352"/>
    </row>
    <row r="24" spans="1:21" s="998" customFormat="1" ht="21" customHeight="1">
      <c r="A24" s="850">
        <v>2024</v>
      </c>
      <c r="B24" s="851" t="s">
        <v>239</v>
      </c>
      <c r="C24" s="385">
        <v>19361.695683580059</v>
      </c>
      <c r="D24" s="385">
        <v>2097.6881999240295</v>
      </c>
      <c r="E24" s="385">
        <v>17543.823031040331</v>
      </c>
      <c r="F24" s="385">
        <v>458.26164347569278</v>
      </c>
      <c r="G24" s="385">
        <v>1062.1611712714719</v>
      </c>
      <c r="H24" s="385">
        <v>23.865114765852542</v>
      </c>
      <c r="I24" s="385">
        <v>154.97164911802099</v>
      </c>
      <c r="J24" s="634">
        <v>40702.556493175463</v>
      </c>
      <c r="K24" s="644">
        <v>19425.533333859756</v>
      </c>
      <c r="L24" s="385">
        <v>2771.1693057265284</v>
      </c>
      <c r="M24" s="385">
        <v>16161.895421918942</v>
      </c>
      <c r="N24" s="385">
        <v>417.81820724116511</v>
      </c>
      <c r="O24" s="385">
        <v>1680.9923301919575</v>
      </c>
      <c r="P24" s="385">
        <v>94.775093124392981</v>
      </c>
      <c r="Q24" s="386">
        <v>150.37666866927009</v>
      </c>
      <c r="R24" s="352"/>
      <c r="S24" s="352"/>
    </row>
    <row r="25" spans="1:21" s="998" customFormat="1" ht="15" customHeight="1">
      <c r="A25" s="850"/>
      <c r="B25" s="851" t="s">
        <v>240</v>
      </c>
      <c r="C25" s="385">
        <v>19563.916088429432</v>
      </c>
      <c r="D25" s="385">
        <v>2100.3576049418189</v>
      </c>
      <c r="E25" s="385">
        <v>17732.356663074581</v>
      </c>
      <c r="F25" s="385">
        <v>424.40397219042279</v>
      </c>
      <c r="G25" s="385">
        <v>1123.6518747248056</v>
      </c>
      <c r="H25" s="385">
        <v>75.782592147761889</v>
      </c>
      <c r="I25" s="385">
        <v>177.25744572829262</v>
      </c>
      <c r="J25" s="634">
        <v>41197.876241237114</v>
      </c>
      <c r="K25" s="644">
        <v>19680.013829505133</v>
      </c>
      <c r="L25" s="385">
        <v>2605.9520159994618</v>
      </c>
      <c r="M25" s="385">
        <v>17258.857405241335</v>
      </c>
      <c r="N25" s="385">
        <v>453.88686165435479</v>
      </c>
      <c r="O25" s="385">
        <v>994.1328069413687</v>
      </c>
      <c r="P25" s="385">
        <v>46.905510052771191</v>
      </c>
      <c r="Q25" s="386">
        <v>158.06517254171095</v>
      </c>
      <c r="R25" s="352"/>
      <c r="S25" s="352"/>
    </row>
    <row r="26" spans="1:21" s="998" customFormat="1" ht="15" customHeight="1">
      <c r="A26" s="850"/>
      <c r="B26" s="851" t="s">
        <v>237</v>
      </c>
      <c r="C26" s="385">
        <v>19892.258661065989</v>
      </c>
      <c r="D26" s="385">
        <v>1974.0281266856864</v>
      </c>
      <c r="E26" s="385">
        <v>18015.776503887781</v>
      </c>
      <c r="F26" s="385">
        <v>417.2567488534973</v>
      </c>
      <c r="G26" s="385">
        <v>1070.0085722507285</v>
      </c>
      <c r="H26" s="385">
        <v>40.129756868990427</v>
      </c>
      <c r="I26" s="385">
        <v>122.53209353661849</v>
      </c>
      <c r="J26" s="634">
        <v>41531.960463149298</v>
      </c>
      <c r="K26" s="644">
        <v>20222.15690215526</v>
      </c>
      <c r="L26" s="385">
        <v>2663.4771588292638</v>
      </c>
      <c r="M26" s="385">
        <v>16495.985760307238</v>
      </c>
      <c r="N26" s="385">
        <v>690.52777331837865</v>
      </c>
      <c r="O26" s="385">
        <v>1287.0126609905922</v>
      </c>
      <c r="P26" s="385">
        <v>40.210108127386533</v>
      </c>
      <c r="Q26" s="386">
        <v>132.60901975121041</v>
      </c>
      <c r="R26" s="352"/>
      <c r="S26" s="352"/>
    </row>
    <row r="27" spans="1:21" s="998" customFormat="1" ht="15" customHeight="1">
      <c r="A27" s="850"/>
      <c r="B27" s="851" t="s">
        <v>238</v>
      </c>
      <c r="C27" s="385">
        <v>19402.315594920288</v>
      </c>
      <c r="D27" s="385">
        <v>1701.8688531829457</v>
      </c>
      <c r="E27" s="385">
        <v>18827.597080303363</v>
      </c>
      <c r="F27" s="385">
        <v>485.53954273937404</v>
      </c>
      <c r="G27" s="385">
        <v>965.11162111833437</v>
      </c>
      <c r="H27" s="385">
        <v>34.684937384176251</v>
      </c>
      <c r="I27" s="385">
        <v>292.43754660404358</v>
      </c>
      <c r="J27" s="634">
        <v>41709.535176252524</v>
      </c>
      <c r="K27" s="644">
        <v>20064.013236298444</v>
      </c>
      <c r="L27" s="385">
        <v>2322.6338594975591</v>
      </c>
      <c r="M27" s="385">
        <v>17133.257296149313</v>
      </c>
      <c r="N27" s="385">
        <v>614.98349325481763</v>
      </c>
      <c r="O27" s="385">
        <v>1243.9076923169562</v>
      </c>
      <c r="P27" s="385">
        <v>16.859113488510296</v>
      </c>
      <c r="Q27" s="386">
        <v>313.82475300055404</v>
      </c>
      <c r="R27" s="352"/>
      <c r="S27" s="352"/>
    </row>
    <row r="28" spans="1:21" s="998" customFormat="1" ht="21" customHeight="1">
      <c r="A28" s="850">
        <v>2025</v>
      </c>
      <c r="B28" s="851" t="s">
        <v>239</v>
      </c>
      <c r="C28" s="385">
        <f t="shared" ref="C28:Q28" si="1">C36</f>
        <v>20009.077315058312</v>
      </c>
      <c r="D28" s="385">
        <f t="shared" si="1"/>
        <v>2291.6617496489362</v>
      </c>
      <c r="E28" s="385">
        <f t="shared" si="1"/>
        <v>18272.832578941889</v>
      </c>
      <c r="F28" s="385">
        <f t="shared" si="1"/>
        <v>564.76126745240151</v>
      </c>
      <c r="G28" s="385">
        <f t="shared" si="1"/>
        <v>927.70719641275241</v>
      </c>
      <c r="H28" s="385">
        <f t="shared" si="1"/>
        <v>78.892049191771775</v>
      </c>
      <c r="I28" s="385">
        <f t="shared" si="1"/>
        <v>298.13128128051835</v>
      </c>
      <c r="J28" s="634">
        <f t="shared" si="1"/>
        <v>42443.063437986581</v>
      </c>
      <c r="K28" s="644">
        <f t="shared" si="1"/>
        <v>20110.762254236161</v>
      </c>
      <c r="L28" s="385">
        <f t="shared" si="1"/>
        <v>2337.4892369082495</v>
      </c>
      <c r="M28" s="385">
        <f t="shared" si="1"/>
        <v>17297.537639608814</v>
      </c>
      <c r="N28" s="385">
        <f t="shared" si="1"/>
        <v>933.61619778202328</v>
      </c>
      <c r="O28" s="385">
        <f t="shared" si="1"/>
        <v>1343.0888411204262</v>
      </c>
      <c r="P28" s="385">
        <f t="shared" si="1"/>
        <v>53.843873451862763</v>
      </c>
      <c r="Q28" s="386">
        <f t="shared" si="1"/>
        <v>366.79456519590116</v>
      </c>
      <c r="R28" s="352"/>
      <c r="S28" s="352"/>
    </row>
    <row r="29" spans="1:21" s="998" customFormat="1" ht="15" customHeight="1">
      <c r="A29" s="850"/>
      <c r="B29" s="851" t="s">
        <v>240</v>
      </c>
      <c r="C29" s="385">
        <f t="shared" ref="C29:Q29" si="2">C39</f>
        <v>20194.890406196628</v>
      </c>
      <c r="D29" s="385">
        <f t="shared" si="2"/>
        <v>2295.6140393198752</v>
      </c>
      <c r="E29" s="385">
        <f t="shared" si="2"/>
        <v>19093.04505046393</v>
      </c>
      <c r="F29" s="385">
        <f t="shared" si="2"/>
        <v>494.21463742429188</v>
      </c>
      <c r="G29" s="385">
        <f t="shared" si="2"/>
        <v>1144.0034868196858</v>
      </c>
      <c r="H29" s="385">
        <f t="shared" si="2"/>
        <v>73.912834872692201</v>
      </c>
      <c r="I29" s="385">
        <f t="shared" si="2"/>
        <v>257.35797675270288</v>
      </c>
      <c r="J29" s="634">
        <f t="shared" si="2"/>
        <v>43552.958431849809</v>
      </c>
      <c r="K29" s="644">
        <f t="shared" si="2"/>
        <v>20551.409431749071</v>
      </c>
      <c r="L29" s="385">
        <f t="shared" si="2"/>
        <v>2266.8576800985938</v>
      </c>
      <c r="M29" s="385">
        <f t="shared" si="2"/>
        <v>18603.691866007353</v>
      </c>
      <c r="N29" s="385">
        <f t="shared" si="2"/>
        <v>691.59567959991637</v>
      </c>
      <c r="O29" s="385">
        <f t="shared" si="2"/>
        <v>1086.5539501301723</v>
      </c>
      <c r="P29" s="385">
        <f t="shared" si="2"/>
        <v>24.969129230779743</v>
      </c>
      <c r="Q29" s="386">
        <f t="shared" si="2"/>
        <v>327.78153052609355</v>
      </c>
      <c r="R29" s="352"/>
      <c r="S29" s="352"/>
    </row>
    <row r="30" spans="1:21" s="998" customFormat="1" ht="15" customHeight="1">
      <c r="A30" s="993"/>
      <c r="B30" s="994" t="s">
        <v>237</v>
      </c>
      <c r="C30" s="995">
        <f t="shared" ref="C30:Q30" si="3">C42</f>
        <v>19676.261761436246</v>
      </c>
      <c r="D30" s="995">
        <f t="shared" si="3"/>
        <v>2391.2363321001535</v>
      </c>
      <c r="E30" s="995">
        <f t="shared" si="3"/>
        <v>20127.640526423031</v>
      </c>
      <c r="F30" s="995">
        <f t="shared" si="3"/>
        <v>472.92361293983265</v>
      </c>
      <c r="G30" s="995">
        <f t="shared" si="3"/>
        <v>1129.8011555914672</v>
      </c>
      <c r="H30" s="995">
        <f t="shared" si="3"/>
        <v>62.07240699010238</v>
      </c>
      <c r="I30" s="995">
        <f t="shared" si="3"/>
        <v>200.84286978560502</v>
      </c>
      <c r="J30" s="997">
        <f t="shared" si="3"/>
        <v>44060.708665266437</v>
      </c>
      <c r="K30" s="1034">
        <f t="shared" si="3"/>
        <v>19924.808753679004</v>
      </c>
      <c r="L30" s="995">
        <f t="shared" si="3"/>
        <v>2428.4446050994684</v>
      </c>
      <c r="M30" s="995">
        <f t="shared" si="3"/>
        <v>19429.037186917063</v>
      </c>
      <c r="N30" s="995">
        <f t="shared" si="3"/>
        <v>467.13560303210988</v>
      </c>
      <c r="O30" s="995">
        <f t="shared" si="3"/>
        <v>1482.1207044115488</v>
      </c>
      <c r="P30" s="995">
        <f t="shared" si="3"/>
        <v>31.505442930239429</v>
      </c>
      <c r="Q30" s="996">
        <f t="shared" si="3"/>
        <v>297.84218364187183</v>
      </c>
      <c r="R30" s="352"/>
      <c r="S30" s="352"/>
    </row>
    <row r="31" spans="1:21" s="597" customFormat="1" ht="21" customHeight="1">
      <c r="A31" s="850">
        <v>2024</v>
      </c>
      <c r="B31" s="851" t="s">
        <v>412</v>
      </c>
      <c r="C31" s="385">
        <v>19768.23029230276</v>
      </c>
      <c r="D31" s="385">
        <v>1733.6935589609154</v>
      </c>
      <c r="E31" s="386">
        <v>17743.332531683343</v>
      </c>
      <c r="F31" s="386">
        <v>473.85754278972325</v>
      </c>
      <c r="G31" s="386">
        <v>1102.5618679426127</v>
      </c>
      <c r="H31" s="386">
        <v>33.951854627553821</v>
      </c>
      <c r="I31" s="385">
        <v>187.00575712025605</v>
      </c>
      <c r="J31" s="634">
        <v>41042.673405427166</v>
      </c>
      <c r="K31" s="644">
        <v>20052.568450414597</v>
      </c>
      <c r="L31" s="385">
        <v>2406.2849166566502</v>
      </c>
      <c r="M31" s="386">
        <v>16548.757781405926</v>
      </c>
      <c r="N31" s="386">
        <v>688.2389149606297</v>
      </c>
      <c r="O31" s="386">
        <v>1123.3628380477662</v>
      </c>
      <c r="P31" s="386">
        <v>18.323482546260738</v>
      </c>
      <c r="Q31" s="386">
        <v>205.06022257740293</v>
      </c>
      <c r="R31" s="352"/>
      <c r="S31" s="352"/>
      <c r="T31" s="180"/>
      <c r="U31" s="180"/>
    </row>
    <row r="32" spans="1:21" s="597" customFormat="1" ht="16.5" customHeight="1">
      <c r="A32" s="850"/>
      <c r="B32" s="851" t="s">
        <v>413</v>
      </c>
      <c r="C32" s="385">
        <v>19757.062382363241</v>
      </c>
      <c r="D32" s="385">
        <v>1730.7297711148126</v>
      </c>
      <c r="E32" s="386">
        <v>18151.786756750236</v>
      </c>
      <c r="F32" s="386">
        <v>558.88360966907806</v>
      </c>
      <c r="G32" s="386">
        <v>1024.9945792728452</v>
      </c>
      <c r="H32" s="386">
        <v>20.534430300982656</v>
      </c>
      <c r="I32" s="385">
        <v>276.52781611830051</v>
      </c>
      <c r="J32" s="634">
        <v>41520.489345589493</v>
      </c>
      <c r="K32" s="644">
        <v>20083.905339198169</v>
      </c>
      <c r="L32" s="385">
        <v>2372.9134234128305</v>
      </c>
      <c r="M32" s="386">
        <v>17122.404947813222</v>
      </c>
      <c r="N32" s="386">
        <v>614.93824171548101</v>
      </c>
      <c r="O32" s="386">
        <v>1013.4048977572738</v>
      </c>
      <c r="P32" s="386">
        <v>18.368433546885196</v>
      </c>
      <c r="Q32" s="386">
        <v>294.61212887159712</v>
      </c>
      <c r="R32" s="352"/>
      <c r="S32" s="352"/>
      <c r="T32" s="180"/>
      <c r="U32" s="180"/>
    </row>
    <row r="33" spans="1:21" s="597" customFormat="1" ht="16.5" customHeight="1">
      <c r="A33" s="850"/>
      <c r="B33" s="851" t="s">
        <v>414</v>
      </c>
      <c r="C33" s="385">
        <v>19402.315594920288</v>
      </c>
      <c r="D33" s="385">
        <v>1701.8688531829457</v>
      </c>
      <c r="E33" s="386">
        <v>18827.597080303363</v>
      </c>
      <c r="F33" s="386">
        <v>485.53954273937404</v>
      </c>
      <c r="G33" s="386">
        <v>965.11162111833437</v>
      </c>
      <c r="H33" s="386">
        <v>34.684937384176251</v>
      </c>
      <c r="I33" s="385">
        <v>292.43754660404358</v>
      </c>
      <c r="J33" s="634">
        <v>41709.535176252524</v>
      </c>
      <c r="K33" s="644">
        <v>20064.013236298444</v>
      </c>
      <c r="L33" s="385">
        <v>2322.6338594975591</v>
      </c>
      <c r="M33" s="386">
        <v>17133.257296149313</v>
      </c>
      <c r="N33" s="386">
        <v>614.98349325481763</v>
      </c>
      <c r="O33" s="386">
        <v>1243.9076923169562</v>
      </c>
      <c r="P33" s="386">
        <v>16.859113488510296</v>
      </c>
      <c r="Q33" s="386">
        <v>313.82475300055404</v>
      </c>
      <c r="R33" s="352"/>
      <c r="S33" s="352"/>
      <c r="T33" s="180"/>
      <c r="U33" s="180"/>
    </row>
    <row r="34" spans="1:21" s="597" customFormat="1" ht="21" customHeight="1">
      <c r="A34" s="850">
        <v>2025</v>
      </c>
      <c r="B34" s="851" t="s">
        <v>415</v>
      </c>
      <c r="C34" s="385">
        <v>19367.951917910603</v>
      </c>
      <c r="D34" s="385">
        <v>1716.3539853225484</v>
      </c>
      <c r="E34" s="386">
        <v>18778.497452352713</v>
      </c>
      <c r="F34" s="386">
        <v>496.91197890328186</v>
      </c>
      <c r="G34" s="386">
        <v>913.44123065391545</v>
      </c>
      <c r="H34" s="386">
        <v>43.643592385102053</v>
      </c>
      <c r="I34" s="385">
        <v>332.86721334286995</v>
      </c>
      <c r="J34" s="634">
        <v>41649.667370871037</v>
      </c>
      <c r="K34" s="644">
        <v>19911.931754188019</v>
      </c>
      <c r="L34" s="385">
        <v>2193.5640209323187</v>
      </c>
      <c r="M34" s="386">
        <v>17308.119253296994</v>
      </c>
      <c r="N34" s="386">
        <v>757.41310813124915</v>
      </c>
      <c r="O34" s="386">
        <v>1104.323526697824</v>
      </c>
      <c r="P34" s="386">
        <v>25.47826742235581</v>
      </c>
      <c r="Q34" s="386">
        <v>348.94327137341043</v>
      </c>
      <c r="R34" s="352"/>
      <c r="S34" s="352"/>
      <c r="T34" s="180"/>
      <c r="U34" s="180"/>
    </row>
    <row r="35" spans="1:21" s="597" customFormat="1" ht="17.25" customHeight="1">
      <c r="A35" s="850"/>
      <c r="B35" s="851" t="s">
        <v>416</v>
      </c>
      <c r="C35" s="385">
        <v>19734.260332035519</v>
      </c>
      <c r="D35" s="385">
        <v>2279.514222662513</v>
      </c>
      <c r="E35" s="386">
        <v>18021.58428996458</v>
      </c>
      <c r="F35" s="386">
        <v>499.0127763127681</v>
      </c>
      <c r="G35" s="386">
        <v>881.67900953209437</v>
      </c>
      <c r="H35" s="386">
        <v>36.45859233369351</v>
      </c>
      <c r="I35" s="385">
        <v>245.07036694822017</v>
      </c>
      <c r="J35" s="634">
        <v>41697.659589789393</v>
      </c>
      <c r="K35" s="644">
        <v>20101.446678891902</v>
      </c>
      <c r="L35" s="385">
        <v>2290.1596810554061</v>
      </c>
      <c r="M35" s="386">
        <v>17226.281654444047</v>
      </c>
      <c r="N35" s="386">
        <v>743.27439961096638</v>
      </c>
      <c r="O35" s="386">
        <v>949.01598425016186</v>
      </c>
      <c r="P35" s="386">
        <v>20.08846859783781</v>
      </c>
      <c r="Q35" s="386">
        <v>367.38161724477646</v>
      </c>
      <c r="R35" s="352"/>
      <c r="S35" s="352"/>
      <c r="T35" s="180"/>
      <c r="U35" s="180"/>
    </row>
    <row r="36" spans="1:21" s="597" customFormat="1" ht="17.25" customHeight="1">
      <c r="A36" s="850"/>
      <c r="B36" s="851" t="s">
        <v>417</v>
      </c>
      <c r="C36" s="385">
        <v>20009.077315058312</v>
      </c>
      <c r="D36" s="385">
        <v>2291.6617496489362</v>
      </c>
      <c r="E36" s="386">
        <v>18272.832578941889</v>
      </c>
      <c r="F36" s="386">
        <v>564.76126745240151</v>
      </c>
      <c r="G36" s="386">
        <v>927.70719641275241</v>
      </c>
      <c r="H36" s="386">
        <v>78.892049191771775</v>
      </c>
      <c r="I36" s="385">
        <v>298.13128128051835</v>
      </c>
      <c r="J36" s="634">
        <v>42443.063437986581</v>
      </c>
      <c r="K36" s="644">
        <v>20110.762254236161</v>
      </c>
      <c r="L36" s="385">
        <v>2337.4892369082495</v>
      </c>
      <c r="M36" s="386">
        <v>17297.537639608814</v>
      </c>
      <c r="N36" s="386">
        <v>933.61619778202328</v>
      </c>
      <c r="O36" s="386">
        <v>1343.0888411204262</v>
      </c>
      <c r="P36" s="386">
        <v>53.843873451862763</v>
      </c>
      <c r="Q36" s="386">
        <v>366.79456519590116</v>
      </c>
      <c r="R36" s="352"/>
      <c r="S36" s="352"/>
      <c r="T36" s="180"/>
      <c r="U36" s="180"/>
    </row>
    <row r="37" spans="1:21" s="597" customFormat="1" ht="17.25" customHeight="1">
      <c r="A37" s="850"/>
      <c r="B37" s="851" t="s">
        <v>418</v>
      </c>
      <c r="C37" s="385">
        <v>20084.116121756095</v>
      </c>
      <c r="D37" s="385">
        <v>2289.5590911364238</v>
      </c>
      <c r="E37" s="386">
        <v>18529.147598993699</v>
      </c>
      <c r="F37" s="386">
        <v>504.20100616828228</v>
      </c>
      <c r="G37" s="386">
        <v>1041.0723533217251</v>
      </c>
      <c r="H37" s="386">
        <v>38.882898068681662</v>
      </c>
      <c r="I37" s="385">
        <v>276.38906772256047</v>
      </c>
      <c r="J37" s="634">
        <v>42763.368137167461</v>
      </c>
      <c r="K37" s="644">
        <v>20236.535956356103</v>
      </c>
      <c r="L37" s="385">
        <v>2295.2536814644418</v>
      </c>
      <c r="M37" s="386">
        <v>17661.833013464809</v>
      </c>
      <c r="N37" s="386">
        <v>909.48536329406284</v>
      </c>
      <c r="O37" s="386">
        <v>1306.354883528069</v>
      </c>
      <c r="P37" s="386">
        <v>14.25165226182542</v>
      </c>
      <c r="Q37" s="386">
        <v>339.61724577431625</v>
      </c>
      <c r="R37" s="352"/>
      <c r="S37" s="352"/>
      <c r="T37" s="180"/>
      <c r="U37" s="180"/>
    </row>
    <row r="38" spans="1:21" s="597" customFormat="1" ht="17.25" customHeight="1">
      <c r="A38" s="850"/>
      <c r="B38" s="851" t="s">
        <v>419</v>
      </c>
      <c r="C38" s="385">
        <v>20184.66494224421</v>
      </c>
      <c r="D38" s="385">
        <v>2359.6917389683699</v>
      </c>
      <c r="E38" s="386">
        <v>19073.846222734308</v>
      </c>
      <c r="F38" s="386">
        <v>485.33675479809756</v>
      </c>
      <c r="G38" s="386">
        <v>1070.6952122859116</v>
      </c>
      <c r="H38" s="386">
        <v>23.882087934363671</v>
      </c>
      <c r="I38" s="385">
        <v>256.71399446021508</v>
      </c>
      <c r="J38" s="634">
        <v>43454.800953425474</v>
      </c>
      <c r="K38" s="644">
        <v>20337.638416647555</v>
      </c>
      <c r="L38" s="385">
        <v>2394.0212502218274</v>
      </c>
      <c r="M38" s="386">
        <v>18398.179959811067</v>
      </c>
      <c r="N38" s="386">
        <v>604.28641593179213</v>
      </c>
      <c r="O38" s="386">
        <v>1364.1416882703445</v>
      </c>
      <c r="P38" s="386">
        <v>23.855975818864145</v>
      </c>
      <c r="Q38" s="386">
        <v>332.7496564818191</v>
      </c>
      <c r="R38" s="352"/>
      <c r="S38" s="352"/>
      <c r="T38" s="180"/>
      <c r="U38" s="180"/>
    </row>
    <row r="39" spans="1:21" s="597" customFormat="1" ht="17.25" customHeight="1">
      <c r="A39" s="850"/>
      <c r="B39" s="851" t="s">
        <v>420</v>
      </c>
      <c r="C39" s="385">
        <v>20194.890406196628</v>
      </c>
      <c r="D39" s="385">
        <v>2295.6140393198752</v>
      </c>
      <c r="E39" s="386">
        <v>19093.04505046393</v>
      </c>
      <c r="F39" s="386">
        <v>494.21463742429188</v>
      </c>
      <c r="G39" s="386">
        <v>1144.0034868196858</v>
      </c>
      <c r="H39" s="386">
        <v>73.912834872692201</v>
      </c>
      <c r="I39" s="385">
        <v>257.35797675270288</v>
      </c>
      <c r="J39" s="634">
        <v>43552.958431849809</v>
      </c>
      <c r="K39" s="644">
        <v>20551.409431749071</v>
      </c>
      <c r="L39" s="385">
        <v>2266.8576800985938</v>
      </c>
      <c r="M39" s="386">
        <v>18603.691866007353</v>
      </c>
      <c r="N39" s="386">
        <v>691.59567959991637</v>
      </c>
      <c r="O39" s="386">
        <v>1086.5539501301723</v>
      </c>
      <c r="P39" s="386">
        <v>24.969129230779743</v>
      </c>
      <c r="Q39" s="386">
        <v>327.78153052609355</v>
      </c>
      <c r="R39" s="352"/>
      <c r="S39" s="352"/>
      <c r="T39" s="180"/>
      <c r="U39" s="180"/>
    </row>
    <row r="40" spans="1:21" s="597" customFormat="1" ht="17.25" customHeight="1">
      <c r="A40" s="850"/>
      <c r="B40" s="851" t="s">
        <v>421</v>
      </c>
      <c r="C40" s="385">
        <v>19990.929086302487</v>
      </c>
      <c r="D40" s="385">
        <v>2413.2413643130858</v>
      </c>
      <c r="E40" s="386">
        <v>19583.945576443439</v>
      </c>
      <c r="F40" s="386">
        <v>473.39799599035416</v>
      </c>
      <c r="G40" s="386">
        <v>1099.8655136424982</v>
      </c>
      <c r="H40" s="386">
        <v>20.332098177668058</v>
      </c>
      <c r="I40" s="385">
        <v>217.97330568501957</v>
      </c>
      <c r="J40" s="634">
        <v>43799.634940554548</v>
      </c>
      <c r="K40" s="644">
        <v>20313.814263107884</v>
      </c>
      <c r="L40" s="385">
        <v>2400.2825431714627</v>
      </c>
      <c r="M40" s="386">
        <v>18931.442285118377</v>
      </c>
      <c r="N40" s="386">
        <v>534.10688141238302</v>
      </c>
      <c r="O40" s="386">
        <v>1300.0363761208146</v>
      </c>
      <c r="P40" s="386">
        <v>28.154762467790125</v>
      </c>
      <c r="Q40" s="386">
        <v>291.75577481720143</v>
      </c>
      <c r="R40" s="352"/>
      <c r="S40" s="352"/>
      <c r="T40" s="180"/>
      <c r="U40" s="180"/>
    </row>
    <row r="41" spans="1:21" s="597" customFormat="1" ht="17.25" customHeight="1">
      <c r="A41" s="850"/>
      <c r="B41" s="851" t="s">
        <v>422</v>
      </c>
      <c r="C41" s="385">
        <v>19924.627828488905</v>
      </c>
      <c r="D41" s="385">
        <v>2427.2030613227271</v>
      </c>
      <c r="E41" s="386">
        <v>19770.735880700464</v>
      </c>
      <c r="F41" s="386">
        <v>508.60723906809443</v>
      </c>
      <c r="G41" s="386">
        <v>1303.9549201712741</v>
      </c>
      <c r="H41" s="386">
        <v>51.85908347765784</v>
      </c>
      <c r="I41" s="385">
        <v>259.95852943707831</v>
      </c>
      <c r="J41" s="634">
        <v>44246.956542666194</v>
      </c>
      <c r="K41" s="644">
        <v>20177.263066490043</v>
      </c>
      <c r="L41" s="385">
        <v>2440.7777192794219</v>
      </c>
      <c r="M41" s="386">
        <v>19343.236958878893</v>
      </c>
      <c r="N41" s="386">
        <v>477.56575491294541</v>
      </c>
      <c r="O41" s="386">
        <v>1454.0430992071474</v>
      </c>
      <c r="P41" s="386">
        <v>29.413327984015297</v>
      </c>
      <c r="Q41" s="386">
        <v>324.67580566243277</v>
      </c>
      <c r="R41" s="352"/>
      <c r="S41" s="352"/>
      <c r="T41" s="180"/>
      <c r="U41" s="180"/>
    </row>
    <row r="42" spans="1:21" s="597" customFormat="1" ht="17.25" customHeight="1">
      <c r="A42" s="850"/>
      <c r="B42" s="851" t="s">
        <v>423</v>
      </c>
      <c r="C42" s="385">
        <v>19676.261761436246</v>
      </c>
      <c r="D42" s="385">
        <v>2391.2363321001535</v>
      </c>
      <c r="E42" s="386">
        <v>20127.640526423031</v>
      </c>
      <c r="F42" s="386">
        <v>472.92361293983265</v>
      </c>
      <c r="G42" s="386">
        <v>1129.8011555914672</v>
      </c>
      <c r="H42" s="386">
        <v>62.07240699010238</v>
      </c>
      <c r="I42" s="385">
        <v>200.84286978560502</v>
      </c>
      <c r="J42" s="634">
        <v>44060.708665266437</v>
      </c>
      <c r="K42" s="644">
        <v>19924.808753679004</v>
      </c>
      <c r="L42" s="385">
        <v>2428.4446050994684</v>
      </c>
      <c r="M42" s="386">
        <v>19429.037186917063</v>
      </c>
      <c r="N42" s="386">
        <v>467.13560303210988</v>
      </c>
      <c r="O42" s="386">
        <v>1482.1207044115488</v>
      </c>
      <c r="P42" s="386">
        <v>31.505442930239429</v>
      </c>
      <c r="Q42" s="386">
        <v>297.84218364187183</v>
      </c>
      <c r="R42" s="352"/>
      <c r="S42" s="352"/>
      <c r="T42" s="180"/>
      <c r="U42" s="180"/>
    </row>
    <row r="43" spans="1:21" s="597" customFormat="1" ht="17.25" customHeight="1">
      <c r="A43" s="850"/>
      <c r="B43" s="851" t="s">
        <v>412</v>
      </c>
      <c r="C43" s="385">
        <v>20102.623677525062</v>
      </c>
      <c r="D43" s="385">
        <v>1631.2132229923673</v>
      </c>
      <c r="E43" s="386">
        <v>20494.385256727201</v>
      </c>
      <c r="F43" s="386">
        <v>483.61273715605336</v>
      </c>
      <c r="G43" s="386">
        <v>1168.2788164102337</v>
      </c>
      <c r="H43" s="386">
        <v>101.460789396748</v>
      </c>
      <c r="I43" s="385">
        <v>206.79985939075866</v>
      </c>
      <c r="J43" s="634">
        <v>44188.354359598423</v>
      </c>
      <c r="K43" s="644">
        <v>19893.559943808468</v>
      </c>
      <c r="L43" s="385">
        <v>2223.1356563767777</v>
      </c>
      <c r="M43" s="386">
        <v>19720.979573005177</v>
      </c>
      <c r="N43" s="386">
        <v>571.78508533051377</v>
      </c>
      <c r="O43" s="386">
        <v>1472.9888905255302</v>
      </c>
      <c r="P43" s="386">
        <v>21.546014943055528</v>
      </c>
      <c r="Q43" s="386">
        <v>284.44478498412496</v>
      </c>
      <c r="R43" s="352"/>
      <c r="S43" s="352"/>
      <c r="T43" s="180"/>
      <c r="U43" s="180"/>
    </row>
    <row r="44" spans="1:21" ht="20.25" customHeight="1">
      <c r="A44" s="253" t="s">
        <v>996</v>
      </c>
      <c r="B44" s="1461"/>
      <c r="C44" s="1461"/>
      <c r="D44" s="1461"/>
      <c r="E44" s="1461"/>
      <c r="F44" s="1461"/>
      <c r="G44" s="1461"/>
      <c r="H44" s="1461"/>
      <c r="I44" s="1461"/>
      <c r="J44" s="1461"/>
      <c r="K44" s="1461"/>
      <c r="L44" s="1461"/>
      <c r="M44" s="1461"/>
      <c r="N44" s="1461"/>
      <c r="O44" s="1461"/>
      <c r="P44" s="1461"/>
      <c r="Q44" s="252" t="s">
        <v>997</v>
      </c>
    </row>
    <row r="45" spans="1:21" ht="14.25">
      <c r="A45" s="306"/>
      <c r="C45" s="1488"/>
      <c r="D45" s="1488"/>
      <c r="E45" s="1488"/>
      <c r="F45" s="1488"/>
      <c r="G45" s="1488"/>
      <c r="H45" s="1488"/>
      <c r="I45" s="1488"/>
      <c r="J45" s="1488"/>
      <c r="K45" s="1488"/>
      <c r="L45" s="1488"/>
      <c r="M45" s="1488"/>
      <c r="N45" s="1488"/>
      <c r="O45" s="1488"/>
      <c r="P45" s="1488"/>
      <c r="Q45" s="635"/>
    </row>
    <row r="46" spans="1:21" s="180" customFormat="1" ht="15">
      <c r="A46" s="276" t="s">
        <v>1025</v>
      </c>
      <c r="B46" s="276"/>
      <c r="C46" s="276"/>
      <c r="D46" s="276"/>
      <c r="E46" s="276"/>
      <c r="F46" s="276"/>
      <c r="G46" s="276"/>
      <c r="H46" s="276"/>
      <c r="I46" s="276"/>
      <c r="J46" s="276"/>
      <c r="K46" s="276"/>
      <c r="L46" s="276"/>
      <c r="M46" s="276"/>
      <c r="N46" s="276"/>
      <c r="O46" s="276"/>
      <c r="P46" s="276"/>
      <c r="Q46" s="276"/>
    </row>
    <row r="47" spans="1:21">
      <c r="C47" s="1570"/>
      <c r="D47" s="1570"/>
      <c r="E47" s="1570"/>
      <c r="F47" s="1570"/>
      <c r="G47" s="1570"/>
      <c r="H47" s="1570"/>
      <c r="I47" s="1570"/>
      <c r="J47" s="1570"/>
      <c r="K47" s="1570"/>
      <c r="L47" s="1570"/>
      <c r="M47" s="1570"/>
      <c r="N47" s="1570"/>
      <c r="O47" s="1570"/>
      <c r="P47" s="1570"/>
      <c r="Q47" s="1570"/>
    </row>
    <row r="48" spans="1:21">
      <c r="C48" s="1570"/>
      <c r="D48" s="1570"/>
      <c r="E48" s="1570"/>
      <c r="F48" s="1570"/>
      <c r="G48" s="1570"/>
      <c r="H48" s="1570"/>
      <c r="I48" s="1570"/>
      <c r="J48" s="1570"/>
      <c r="K48" s="1570"/>
      <c r="L48" s="1570"/>
      <c r="M48" s="1570"/>
      <c r="N48" s="1570"/>
      <c r="O48" s="1570"/>
      <c r="P48" s="1570"/>
      <c r="Q48" s="1570"/>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tabSelected="1" zoomScale="80" zoomScaleNormal="80" workbookViewId="0">
      <pane ySplit="12" topLeftCell="A21" activePane="bottomLeft" state="frozen"/>
      <selection activeCell="N29" sqref="N29"/>
      <selection pane="bottomLeft" activeCell="N29" sqref="N29"/>
    </sheetView>
  </sheetViews>
  <sheetFormatPr defaultColWidth="7.85546875" defaultRowHeight="15"/>
  <cols>
    <col min="1" max="1" width="9.28515625" style="1251" customWidth="1"/>
    <col min="2" max="2" width="9" style="1251"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1026</v>
      </c>
      <c r="B1" s="275"/>
      <c r="C1" s="276"/>
      <c r="D1" s="276"/>
      <c r="E1" s="276"/>
      <c r="F1" s="276"/>
      <c r="G1" s="276"/>
      <c r="H1" s="276"/>
      <c r="I1" s="276"/>
      <c r="J1" s="276"/>
      <c r="K1" s="276"/>
    </row>
    <row r="2" spans="1:13" ht="18">
      <c r="A2" s="1425" t="s">
        <v>826</v>
      </c>
      <c r="B2" s="275"/>
      <c r="C2" s="276"/>
      <c r="D2" s="276"/>
      <c r="E2" s="276"/>
      <c r="F2" s="276"/>
      <c r="G2" s="276"/>
      <c r="H2" s="276"/>
      <c r="I2" s="276"/>
      <c r="J2" s="276"/>
      <c r="K2" s="276"/>
    </row>
    <row r="3" spans="1:13" ht="18">
      <c r="A3" s="277" t="s">
        <v>827</v>
      </c>
      <c r="B3" s="275"/>
      <c r="C3" s="276"/>
      <c r="D3" s="276"/>
      <c r="E3" s="276"/>
      <c r="F3" s="276"/>
      <c r="G3" s="276"/>
      <c r="H3" s="276"/>
      <c r="I3" s="276"/>
      <c r="J3" s="276"/>
      <c r="K3" s="276"/>
    </row>
    <row r="4" spans="1:13" ht="18">
      <c r="A4" s="1425"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828</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24" t="s">
        <v>1027</v>
      </c>
      <c r="B10" s="1924"/>
      <c r="C10" s="278"/>
      <c r="D10" s="278"/>
      <c r="E10" s="278"/>
      <c r="F10" s="278"/>
      <c r="G10" s="278"/>
      <c r="H10" s="278"/>
      <c r="I10" s="278"/>
      <c r="J10" s="278"/>
      <c r="K10" s="246" t="s">
        <v>1028</v>
      </c>
    </row>
    <row r="11" spans="1:13" s="285" customFormat="1" ht="53.45" customHeight="1">
      <c r="A11" s="286" t="s">
        <v>379</v>
      </c>
      <c r="B11" s="287"/>
      <c r="C11" s="288" t="s">
        <v>1029</v>
      </c>
      <c r="D11" s="288" t="s">
        <v>1030</v>
      </c>
      <c r="E11" s="288" t="s">
        <v>1031</v>
      </c>
      <c r="F11" s="854" t="s">
        <v>1032</v>
      </c>
      <c r="G11" s="854" t="s">
        <v>1033</v>
      </c>
      <c r="H11" s="854" t="s">
        <v>1034</v>
      </c>
      <c r="I11" s="288" t="s">
        <v>1035</v>
      </c>
      <c r="J11" s="854" t="s">
        <v>1036</v>
      </c>
      <c r="K11" s="854" t="s">
        <v>1037</v>
      </c>
    </row>
    <row r="12" spans="1:13" s="161" customFormat="1" ht="53.45" customHeight="1">
      <c r="A12" s="178" t="s">
        <v>387</v>
      </c>
      <c r="B12" s="167"/>
      <c r="C12" s="168" t="s">
        <v>1038</v>
      </c>
      <c r="D12" s="168" t="s">
        <v>1039</v>
      </c>
      <c r="E12" s="168" t="s">
        <v>1040</v>
      </c>
      <c r="F12" s="169" t="s">
        <v>1041</v>
      </c>
      <c r="G12" s="169" t="s">
        <v>1042</v>
      </c>
      <c r="H12" s="168" t="s">
        <v>1043</v>
      </c>
      <c r="I12" s="169" t="s">
        <v>1044</v>
      </c>
      <c r="J12" s="169" t="s">
        <v>1045</v>
      </c>
      <c r="K12" s="169" t="s">
        <v>1046</v>
      </c>
    </row>
    <row r="13" spans="1:13" s="306" customFormat="1" ht="20.25" customHeight="1">
      <c r="A13" s="1564">
        <v>2015</v>
      </c>
      <c r="B13" s="722"/>
      <c r="C13" s="1565">
        <v>25.388624266789424</v>
      </c>
      <c r="D13" s="1565">
        <v>24.427082156925195</v>
      </c>
      <c r="E13" s="1565">
        <v>47.979932357113007</v>
      </c>
      <c r="F13" s="1565">
        <v>46.529695669283846</v>
      </c>
      <c r="G13" s="1565">
        <v>47.731689614943505</v>
      </c>
      <c r="H13" s="1565">
        <v>52.915089745902002</v>
      </c>
      <c r="I13" s="1565">
        <v>56.695584290403026</v>
      </c>
      <c r="J13" s="1565">
        <v>58.205021528360213</v>
      </c>
      <c r="K13" s="1565">
        <v>16.934715036862983</v>
      </c>
    </row>
    <row r="14" spans="1:13" s="408" customFormat="1" ht="14.25" customHeight="1">
      <c r="A14" s="356">
        <v>2016</v>
      </c>
      <c r="B14" s="407"/>
      <c r="C14" s="1566">
        <v>25.83081099929084</v>
      </c>
      <c r="D14" s="1566">
        <v>24.890837291875794</v>
      </c>
      <c r="E14" s="1567">
        <v>48.664323547122407</v>
      </c>
      <c r="F14" s="1567">
        <v>44.418336607058009</v>
      </c>
      <c r="G14" s="1567">
        <v>46.303040931277344</v>
      </c>
      <c r="H14" s="1567">
        <v>53.079564486863717</v>
      </c>
      <c r="I14" s="1567">
        <v>54.945917151097461</v>
      </c>
      <c r="J14" s="1567">
        <v>58.139690772407818</v>
      </c>
      <c r="K14" s="1567">
        <v>16.783021556601007</v>
      </c>
    </row>
    <row r="15" spans="1:13" s="408" customFormat="1" ht="14.25" customHeight="1">
      <c r="A15" s="356">
        <v>2017</v>
      </c>
      <c r="B15" s="407"/>
      <c r="C15" s="1566">
        <v>27.714459608507212</v>
      </c>
      <c r="D15" s="1566">
        <v>26.652959778508897</v>
      </c>
      <c r="E15" s="1567">
        <v>51.221743402580231</v>
      </c>
      <c r="F15" s="1567">
        <v>42.575579779019534</v>
      </c>
      <c r="G15" s="1567">
        <v>45.511107063417427</v>
      </c>
      <c r="H15" s="1567">
        <v>54.106826061510297</v>
      </c>
      <c r="I15" s="1567">
        <v>54.917181607166846</v>
      </c>
      <c r="J15" s="1567">
        <v>59.279004709879665</v>
      </c>
      <c r="K15" s="1567">
        <v>16.652050282337196</v>
      </c>
    </row>
    <row r="16" spans="1:13" s="321" customFormat="1" ht="14.25" customHeight="1">
      <c r="A16" s="747">
        <v>2018</v>
      </c>
      <c r="B16" s="900"/>
      <c r="C16" s="1109">
        <v>29.229392260732599</v>
      </c>
      <c r="D16" s="1109">
        <v>28.42771628914825</v>
      </c>
      <c r="E16" s="1109">
        <v>53.320863242578049</v>
      </c>
      <c r="F16" s="1109">
        <v>41.848683130138589</v>
      </c>
      <c r="G16" s="1109">
        <v>45.247495653375253</v>
      </c>
      <c r="H16" s="1109">
        <v>54.817927698875273</v>
      </c>
      <c r="I16" s="1109">
        <v>51.524442796780598</v>
      </c>
      <c r="J16" s="1109">
        <v>57.7874563474154</v>
      </c>
      <c r="K16" s="1109">
        <v>16.209179203885451</v>
      </c>
      <c r="L16" s="906"/>
      <c r="M16" s="770"/>
    </row>
    <row r="17" spans="1:13" s="321" customFormat="1" ht="14.25" customHeight="1">
      <c r="A17" s="747">
        <v>2019</v>
      </c>
      <c r="B17" s="900"/>
      <c r="C17" s="1109">
        <v>27.527261202876627</v>
      </c>
      <c r="D17" s="1109">
        <v>26.674734929943028</v>
      </c>
      <c r="E17" s="1109">
        <v>54.197952287785419</v>
      </c>
      <c r="F17" s="1109">
        <v>43.605652949504154</v>
      </c>
      <c r="G17" s="1109">
        <v>46.373348297024215</v>
      </c>
      <c r="H17" s="1109">
        <v>50.790223690942724</v>
      </c>
      <c r="I17" s="1109">
        <v>55.166618264562779</v>
      </c>
      <c r="J17" s="1109">
        <v>64.110254402548989</v>
      </c>
      <c r="K17" s="1109">
        <v>16.580019082289585</v>
      </c>
      <c r="L17" s="906"/>
      <c r="M17" s="770"/>
    </row>
    <row r="18" spans="1:13" s="321" customFormat="1" ht="14.25" customHeight="1">
      <c r="A18" s="747">
        <v>2020</v>
      </c>
      <c r="B18" s="900"/>
      <c r="C18" s="1109">
        <v>29.378122748423216</v>
      </c>
      <c r="D18" s="1109">
        <v>28.335437657325564</v>
      </c>
      <c r="E18" s="1109">
        <v>61.5897894354367</v>
      </c>
      <c r="F18" s="1109">
        <v>40.927153092374873</v>
      </c>
      <c r="G18" s="1109">
        <v>44.676691700403978</v>
      </c>
      <c r="H18" s="1109">
        <v>47.699664210119913</v>
      </c>
      <c r="I18" s="1109">
        <v>63.741488751748541</v>
      </c>
      <c r="J18" s="1109">
        <v>72.432340207331663</v>
      </c>
      <c r="K18" s="1109">
        <v>19.446031645284361</v>
      </c>
      <c r="L18" s="906"/>
      <c r="M18" s="770"/>
    </row>
    <row r="19" spans="1:13" s="321" customFormat="1" ht="14.25" customHeight="1">
      <c r="A19" s="747">
        <v>2021</v>
      </c>
      <c r="B19" s="900"/>
      <c r="C19" s="1109">
        <v>29.180559956903668</v>
      </c>
      <c r="D19" s="1109">
        <v>27.964623828649064</v>
      </c>
      <c r="E19" s="1109">
        <v>58.307473080887959</v>
      </c>
      <c r="F19" s="1109">
        <v>40.797910435676641</v>
      </c>
      <c r="G19" s="1109">
        <v>44.795256172967335</v>
      </c>
      <c r="H19" s="1109">
        <v>50.046003393805933</v>
      </c>
      <c r="I19" s="1109">
        <v>59.926762243468872</v>
      </c>
      <c r="J19" s="1109">
        <v>69.008352884710575</v>
      </c>
      <c r="K19" s="1109">
        <v>21.128746090378929</v>
      </c>
      <c r="L19" s="906"/>
      <c r="M19" s="770"/>
    </row>
    <row r="20" spans="1:13" s="321" customFormat="1" ht="14.25" customHeight="1">
      <c r="A20" s="747">
        <v>2022</v>
      </c>
      <c r="B20" s="900"/>
      <c r="C20" s="1109">
        <v>29.539105133520689</v>
      </c>
      <c r="D20" s="1109">
        <v>27.892344776224846</v>
      </c>
      <c r="E20" s="1109">
        <v>59.45128691571044</v>
      </c>
      <c r="F20" s="1109">
        <v>37.558094264688883</v>
      </c>
      <c r="G20" s="1109">
        <v>44.354560333403619</v>
      </c>
      <c r="H20" s="1109">
        <v>49.686233328138037</v>
      </c>
      <c r="I20" s="1109">
        <v>59.756835717692155</v>
      </c>
      <c r="J20" s="1109">
        <v>70.924232395013149</v>
      </c>
      <c r="K20" s="1109">
        <v>17.883595658714416</v>
      </c>
      <c r="L20" s="906"/>
      <c r="M20" s="770"/>
    </row>
    <row r="21" spans="1:13" s="321" customFormat="1" ht="14.25" customHeight="1">
      <c r="A21" s="747">
        <v>2023</v>
      </c>
      <c r="B21" s="900"/>
      <c r="C21" s="1109">
        <v>29.257353825207353</v>
      </c>
      <c r="D21" s="1109">
        <v>26.958960363044746</v>
      </c>
      <c r="E21" s="1109">
        <v>58.299721461128115</v>
      </c>
      <c r="F21" s="1109">
        <v>36.284430075000962</v>
      </c>
      <c r="G21" s="1109">
        <v>43.98780616246912</v>
      </c>
      <c r="H21" s="1109">
        <v>50.184380117004451</v>
      </c>
      <c r="I21" s="1109">
        <v>58.99536881174506</v>
      </c>
      <c r="J21" s="1109">
        <v>70.073618759215876</v>
      </c>
      <c r="K21" s="1109">
        <v>15.87532455968501</v>
      </c>
      <c r="L21" s="906"/>
      <c r="M21" s="770"/>
    </row>
    <row r="22" spans="1:13" s="321" customFormat="1" ht="14.25" customHeight="1">
      <c r="A22" s="907">
        <v>2024</v>
      </c>
      <c r="B22" s="908"/>
      <c r="C22" s="976">
        <f t="shared" ref="C22:K22" si="0">C27</f>
        <v>29.542244688659853</v>
      </c>
      <c r="D22" s="976">
        <f t="shared" si="0"/>
        <v>26.760997674010671</v>
      </c>
      <c r="E22" s="976">
        <f t="shared" si="0"/>
        <v>59.901457663319732</v>
      </c>
      <c r="F22" s="976">
        <f t="shared" si="0"/>
        <v>35.594979793004747</v>
      </c>
      <c r="G22" s="976">
        <f t="shared" si="0"/>
        <v>45.721551780163075</v>
      </c>
      <c r="H22" s="976">
        <f t="shared" si="0"/>
        <v>49.318073117192029</v>
      </c>
      <c r="I22" s="976">
        <f t="shared" si="0"/>
        <v>60.640290504070997</v>
      </c>
      <c r="J22" s="976">
        <f t="shared" si="0"/>
        <v>69.097163842787168</v>
      </c>
      <c r="K22" s="976">
        <f t="shared" si="0"/>
        <v>15.866955010560897</v>
      </c>
      <c r="L22" s="906"/>
      <c r="M22" s="770"/>
    </row>
    <row r="23" spans="1:13" s="321" customFormat="1" ht="21" customHeight="1">
      <c r="A23" s="747">
        <v>2023</v>
      </c>
      <c r="B23" s="900" t="s">
        <v>238</v>
      </c>
      <c r="C23" s="1109">
        <v>29.257353825207353</v>
      </c>
      <c r="D23" s="1109">
        <v>26.958960363044746</v>
      </c>
      <c r="E23" s="1109">
        <v>58.299721461128115</v>
      </c>
      <c r="F23" s="1109">
        <v>36.284430075000962</v>
      </c>
      <c r="G23" s="1109">
        <v>43.98780616246912</v>
      </c>
      <c r="H23" s="1109">
        <v>50.184380117004451</v>
      </c>
      <c r="I23" s="1109">
        <v>58.99536881174506</v>
      </c>
      <c r="J23" s="1109">
        <v>70.073618759215876</v>
      </c>
      <c r="K23" s="1109">
        <v>15.87532455968501</v>
      </c>
      <c r="L23" s="906"/>
      <c r="M23" s="770"/>
    </row>
    <row r="24" spans="1:13" s="321" customFormat="1" ht="21" customHeight="1">
      <c r="A24" s="747">
        <v>2024</v>
      </c>
      <c r="B24" s="900" t="s">
        <v>239</v>
      </c>
      <c r="C24" s="1109">
        <v>29.790928001446897</v>
      </c>
      <c r="D24" s="1109">
        <v>27.315091631950626</v>
      </c>
      <c r="E24" s="1109">
        <v>59.942662254548495</v>
      </c>
      <c r="F24" s="1109">
        <v>35.929822467467886</v>
      </c>
      <c r="G24" s="1109">
        <v>45.009815097682321</v>
      </c>
      <c r="H24" s="1109">
        <v>49.699040517984898</v>
      </c>
      <c r="I24" s="1109">
        <v>58.604030067608392</v>
      </c>
      <c r="J24" s="1109">
        <v>68.65208073300461</v>
      </c>
      <c r="K24" s="1109">
        <v>15.540816273371496</v>
      </c>
      <c r="L24" s="906"/>
      <c r="M24" s="770"/>
    </row>
    <row r="25" spans="1:13" s="321" customFormat="1" ht="15" customHeight="1">
      <c r="A25" s="747"/>
      <c r="B25" s="900" t="s">
        <v>240</v>
      </c>
      <c r="C25" s="1109">
        <v>29.683344237701188</v>
      </c>
      <c r="D25" s="1109">
        <v>27.225694083446093</v>
      </c>
      <c r="E25" s="1109">
        <v>60.339307092907951</v>
      </c>
      <c r="F25" s="1109">
        <v>35.572315228179185</v>
      </c>
      <c r="G25" s="1109">
        <v>45.783171192033102</v>
      </c>
      <c r="H25" s="1109">
        <v>49.194042271642282</v>
      </c>
      <c r="I25" s="1109">
        <v>59.813862259587047</v>
      </c>
      <c r="J25" s="1109">
        <v>69.828273108579921</v>
      </c>
      <c r="K25" s="1109">
        <v>15.943344054853341</v>
      </c>
      <c r="L25" s="906"/>
      <c r="M25" s="770"/>
    </row>
    <row r="26" spans="1:13" s="321" customFormat="1" ht="15" customHeight="1">
      <c r="A26" s="747"/>
      <c r="B26" s="900" t="s">
        <v>237</v>
      </c>
      <c r="C26" s="1109">
        <v>29.289918254313822</v>
      </c>
      <c r="D26" s="1109">
        <v>26.739916836258477</v>
      </c>
      <c r="E26" s="1109">
        <v>57.586009571615975</v>
      </c>
      <c r="F26" s="1109">
        <v>34.374947304350371</v>
      </c>
      <c r="G26" s="1109">
        <v>44.220970274918656</v>
      </c>
      <c r="H26" s="1109">
        <v>50.862906584780553</v>
      </c>
      <c r="I26" s="1109">
        <v>59.003153047288784</v>
      </c>
      <c r="J26" s="1109">
        <v>69.066742204921454</v>
      </c>
      <c r="K26" s="1109">
        <v>15.60873015067418</v>
      </c>
      <c r="L26" s="906"/>
      <c r="M26" s="770"/>
    </row>
    <row r="27" spans="1:13" s="321" customFormat="1" ht="15" customHeight="1">
      <c r="A27" s="747"/>
      <c r="B27" s="900" t="s">
        <v>238</v>
      </c>
      <c r="C27" s="1109">
        <v>29.542244688659853</v>
      </c>
      <c r="D27" s="1109">
        <v>26.760997674010671</v>
      </c>
      <c r="E27" s="1109">
        <v>59.901457663319732</v>
      </c>
      <c r="F27" s="1109">
        <v>35.594979793004747</v>
      </c>
      <c r="G27" s="1109">
        <v>45.721551780163075</v>
      </c>
      <c r="H27" s="1109">
        <v>49.318073117192029</v>
      </c>
      <c r="I27" s="1109">
        <v>60.640290504070997</v>
      </c>
      <c r="J27" s="1109">
        <v>69.097163842787168</v>
      </c>
      <c r="K27" s="1109">
        <v>15.866955010560897</v>
      </c>
      <c r="L27" s="906"/>
      <c r="M27" s="770"/>
    </row>
    <row r="28" spans="1:13" s="321" customFormat="1" ht="21" customHeight="1">
      <c r="A28" s="747">
        <v>2025</v>
      </c>
      <c r="B28" s="900" t="s">
        <v>239</v>
      </c>
      <c r="C28" s="1109">
        <f t="shared" ref="C28:K28" si="1">C36</f>
        <v>29.704000583967233</v>
      </c>
      <c r="D28" s="1109">
        <f t="shared" si="1"/>
        <v>26.950244199414769</v>
      </c>
      <c r="E28" s="1109">
        <f t="shared" si="1"/>
        <v>60.238676560208262</v>
      </c>
      <c r="F28" s="1109">
        <f t="shared" si="1"/>
        <v>34.439612922715035</v>
      </c>
      <c r="G28" s="1109">
        <f t="shared" si="1"/>
        <v>45.213109193803568</v>
      </c>
      <c r="H28" s="1109">
        <f t="shared" si="1"/>
        <v>49.310513245220832</v>
      </c>
      <c r="I28" s="1109">
        <f t="shared" si="1"/>
        <v>59.967176080892585</v>
      </c>
      <c r="J28" s="1109">
        <f t="shared" si="1"/>
        <v>68.245152218427208</v>
      </c>
      <c r="K28" s="1109">
        <f t="shared" si="1"/>
        <v>16.0136036999018</v>
      </c>
      <c r="L28" s="906"/>
      <c r="M28" s="770"/>
    </row>
    <row r="29" spans="1:13" s="321" customFormat="1" ht="15" customHeight="1">
      <c r="A29" s="747"/>
      <c r="B29" s="900" t="s">
        <v>240</v>
      </c>
      <c r="C29" s="1109">
        <f t="shared" ref="C29:K29" si="2">C39</f>
        <v>28.648880667398775</v>
      </c>
      <c r="D29" s="1109">
        <f t="shared" si="2"/>
        <v>26.328130802823122</v>
      </c>
      <c r="E29" s="1109">
        <f t="shared" si="2"/>
        <v>62.918691519830219</v>
      </c>
      <c r="F29" s="1109">
        <f t="shared" si="2"/>
        <v>35.214294241022657</v>
      </c>
      <c r="G29" s="1109">
        <f t="shared" si="2"/>
        <v>47.117345276339883</v>
      </c>
      <c r="H29" s="1109">
        <f t="shared" si="2"/>
        <v>45.533179370663561</v>
      </c>
      <c r="I29" s="1109">
        <f t="shared" si="2"/>
        <v>64.775606999624344</v>
      </c>
      <c r="J29" s="1109">
        <f t="shared" si="2"/>
        <v>71.867214018706377</v>
      </c>
      <c r="K29" s="1109">
        <f t="shared" si="2"/>
        <v>16.092645416337721</v>
      </c>
      <c r="L29" s="906"/>
      <c r="M29" s="770"/>
    </row>
    <row r="30" spans="1:13" s="321" customFormat="1" ht="15" customHeight="1">
      <c r="A30" s="907"/>
      <c r="B30" s="908" t="s">
        <v>237</v>
      </c>
      <c r="C30" s="976">
        <f t="shared" ref="C30:K30" si="3">C42</f>
        <v>28.930162508545294</v>
      </c>
      <c r="D30" s="976">
        <f t="shared" si="3"/>
        <v>25.690780395724303</v>
      </c>
      <c r="E30" s="976">
        <f t="shared" si="3"/>
        <v>61.993846723255913</v>
      </c>
      <c r="F30" s="976">
        <f t="shared" si="3"/>
        <v>36.221552238762982</v>
      </c>
      <c r="G30" s="976">
        <f t="shared" si="3"/>
        <v>47.83220791896764</v>
      </c>
      <c r="H30" s="976">
        <f t="shared" si="3"/>
        <v>46.666183883847694</v>
      </c>
      <c r="I30" s="976">
        <f t="shared" si="3"/>
        <v>61.853669075875821</v>
      </c>
      <c r="J30" s="976">
        <f t="shared" si="3"/>
        <v>69.095628046950353</v>
      </c>
      <c r="K30" s="976">
        <f t="shared" si="3"/>
        <v>15.405659190997632</v>
      </c>
      <c r="L30" s="906"/>
      <c r="M30" s="770"/>
    </row>
    <row r="31" spans="1:13" s="321" customFormat="1" ht="21" customHeight="1">
      <c r="A31" s="747">
        <v>2024</v>
      </c>
      <c r="B31" s="900" t="s">
        <v>412</v>
      </c>
      <c r="C31" s="1109">
        <v>29.37419528551456</v>
      </c>
      <c r="D31" s="1109">
        <v>26.84733973006125</v>
      </c>
      <c r="E31" s="1109">
        <v>58.94493449819376</v>
      </c>
      <c r="F31" s="1109">
        <v>34.229769744384612</v>
      </c>
      <c r="G31" s="1109">
        <v>44.50212989976859</v>
      </c>
      <c r="H31" s="1109">
        <v>49.833281749451544</v>
      </c>
      <c r="I31" s="1109">
        <v>61.10315292101982</v>
      </c>
      <c r="J31" s="1109">
        <v>70.278882717888266</v>
      </c>
      <c r="K31" s="1109">
        <v>15.599794723598238</v>
      </c>
      <c r="M31" s="770"/>
    </row>
    <row r="32" spans="1:13" s="321" customFormat="1" ht="16.5" customHeight="1">
      <c r="A32" s="747"/>
      <c r="B32" s="900" t="s">
        <v>413</v>
      </c>
      <c r="C32" s="1109">
        <v>29.370705222382345</v>
      </c>
      <c r="D32" s="1109">
        <v>26.834281462999211</v>
      </c>
      <c r="E32" s="1109">
        <v>60.020041980152719</v>
      </c>
      <c r="F32" s="1109">
        <v>35.094943141548171</v>
      </c>
      <c r="G32" s="1109">
        <v>45.075245810590467</v>
      </c>
      <c r="H32" s="1109">
        <v>48.934829522602762</v>
      </c>
      <c r="I32" s="1109">
        <v>61.06295824942255</v>
      </c>
      <c r="J32" s="1109">
        <v>70.053384912559778</v>
      </c>
      <c r="K32" s="1109">
        <v>15.386718668267989</v>
      </c>
      <c r="M32" s="770"/>
    </row>
    <row r="33" spans="1:13" s="321" customFormat="1" ht="16.5" customHeight="1">
      <c r="A33" s="747"/>
      <c r="B33" s="900" t="s">
        <v>414</v>
      </c>
      <c r="C33" s="1109">
        <v>29.542244688659853</v>
      </c>
      <c r="D33" s="1109">
        <v>26.760997674010671</v>
      </c>
      <c r="E33" s="1109">
        <v>59.901457663319732</v>
      </c>
      <c r="F33" s="1109">
        <v>35.594979793004747</v>
      </c>
      <c r="G33" s="1109">
        <v>45.721551780163075</v>
      </c>
      <c r="H33" s="1109">
        <v>49.318073117192029</v>
      </c>
      <c r="I33" s="1109">
        <v>60.640290504070997</v>
      </c>
      <c r="J33" s="1109">
        <v>69.097163842787168</v>
      </c>
      <c r="K33" s="1109">
        <v>15.866955010560897</v>
      </c>
      <c r="M33" s="770"/>
    </row>
    <row r="34" spans="1:13" s="321" customFormat="1" ht="21" customHeight="1">
      <c r="A34" s="747">
        <v>2025</v>
      </c>
      <c r="B34" s="900" t="s">
        <v>415</v>
      </c>
      <c r="C34" s="1109">
        <v>29.316439820308009</v>
      </c>
      <c r="D34" s="1109">
        <v>26.531869147024274</v>
      </c>
      <c r="E34" s="1109">
        <v>60.840369836935032</v>
      </c>
      <c r="F34" s="1109">
        <v>35.089296653144984</v>
      </c>
      <c r="G34" s="1109">
        <v>46.0380565915559</v>
      </c>
      <c r="H34" s="1109">
        <v>48.185834338092008</v>
      </c>
      <c r="I34" s="1109">
        <v>61.754022081019848</v>
      </c>
      <c r="J34" s="1109">
        <v>69.390179126337785</v>
      </c>
      <c r="K34" s="1109">
        <v>15.718996518631645</v>
      </c>
      <c r="M34" s="770"/>
    </row>
    <row r="35" spans="1:13" s="321" customFormat="1" ht="17.25" customHeight="1">
      <c r="A35" s="747"/>
      <c r="B35" s="900" t="s">
        <v>416</v>
      </c>
      <c r="C35" s="1109">
        <v>29.597519203016915</v>
      </c>
      <c r="D35" s="1109">
        <v>26.727563745500412</v>
      </c>
      <c r="E35" s="1109">
        <v>61.072386428882702</v>
      </c>
      <c r="F35" s="1109">
        <v>34.29346380564435</v>
      </c>
      <c r="G35" s="1109">
        <v>44.864522329862098</v>
      </c>
      <c r="H35" s="1109">
        <v>48.463014029233172</v>
      </c>
      <c r="I35" s="1109">
        <v>61.896141468522153</v>
      </c>
      <c r="J35" s="1109">
        <v>69.942899374986283</v>
      </c>
      <c r="K35" s="1109">
        <v>15.574842836882297</v>
      </c>
      <c r="M35" s="770"/>
    </row>
    <row r="36" spans="1:13" s="321" customFormat="1" ht="17.25" customHeight="1">
      <c r="A36" s="747"/>
      <c r="B36" s="900" t="s">
        <v>417</v>
      </c>
      <c r="C36" s="1109">
        <v>29.704000583967233</v>
      </c>
      <c r="D36" s="1109">
        <v>26.950244199414769</v>
      </c>
      <c r="E36" s="1109">
        <v>60.238676560208262</v>
      </c>
      <c r="F36" s="1109">
        <v>34.439612922715035</v>
      </c>
      <c r="G36" s="1109">
        <v>45.213109193803568</v>
      </c>
      <c r="H36" s="1109">
        <v>49.310513245220832</v>
      </c>
      <c r="I36" s="1109">
        <v>59.967176080892585</v>
      </c>
      <c r="J36" s="1109">
        <v>68.245152218427208</v>
      </c>
      <c r="K36" s="1109">
        <v>16.0136036999018</v>
      </c>
      <c r="M36" s="770"/>
    </row>
    <row r="37" spans="1:13" s="321" customFormat="1" ht="17.25" customHeight="1">
      <c r="A37" s="747"/>
      <c r="B37" s="900" t="s">
        <v>418</v>
      </c>
      <c r="C37" s="1109">
        <v>28.934434307878675</v>
      </c>
      <c r="D37" s="1109">
        <v>26.683813489315554</v>
      </c>
      <c r="E37" s="1109">
        <v>59.00142639210398</v>
      </c>
      <c r="F37" s="1109">
        <v>35.2209633100478</v>
      </c>
      <c r="G37" s="1109">
        <v>46.117571749083162</v>
      </c>
      <c r="H37" s="1109">
        <v>49.040228477850668</v>
      </c>
      <c r="I37" s="1109">
        <v>60.898462886505541</v>
      </c>
      <c r="J37" s="1109">
        <v>68.568688514326666</v>
      </c>
      <c r="K37" s="1109">
        <v>16.160168727718023</v>
      </c>
      <c r="M37" s="770"/>
    </row>
    <row r="38" spans="1:13" s="321" customFormat="1" ht="17.25" customHeight="1">
      <c r="A38" s="747"/>
      <c r="B38" s="900" t="s">
        <v>419</v>
      </c>
      <c r="C38" s="1109">
        <v>28.636579944254649</v>
      </c>
      <c r="D38" s="1109">
        <v>26.378265663328236</v>
      </c>
      <c r="E38" s="1109">
        <v>60.209678473785367</v>
      </c>
      <c r="F38" s="1109">
        <v>35.136891617185391</v>
      </c>
      <c r="G38" s="1109">
        <v>47.004896513370909</v>
      </c>
      <c r="H38" s="1109">
        <v>47.561423130207714</v>
      </c>
      <c r="I38" s="1109">
        <v>62.078634222499716</v>
      </c>
      <c r="J38" s="1109">
        <v>69.130763660977365</v>
      </c>
      <c r="K38" s="1109">
        <v>15.752612700579959</v>
      </c>
      <c r="M38" s="770"/>
    </row>
    <row r="39" spans="1:13" s="321" customFormat="1" ht="17.25" customHeight="1">
      <c r="A39" s="747"/>
      <c r="B39" s="900" t="s">
        <v>420</v>
      </c>
      <c r="C39" s="1109">
        <v>28.648880667398775</v>
      </c>
      <c r="D39" s="1109">
        <v>26.328130802823122</v>
      </c>
      <c r="E39" s="1109">
        <v>62.918691519830219</v>
      </c>
      <c r="F39" s="1109">
        <v>35.214294241022657</v>
      </c>
      <c r="G39" s="1109">
        <v>47.117345276339883</v>
      </c>
      <c r="H39" s="1109">
        <v>45.533179370663561</v>
      </c>
      <c r="I39" s="1109">
        <v>64.775606999624344</v>
      </c>
      <c r="J39" s="1109">
        <v>71.867214018706377</v>
      </c>
      <c r="K39" s="1109">
        <v>16.092645416337721</v>
      </c>
      <c r="M39" s="770"/>
    </row>
    <row r="40" spans="1:13" s="321" customFormat="1" ht="17.25" customHeight="1">
      <c r="A40" s="747"/>
      <c r="B40" s="900" t="s">
        <v>421</v>
      </c>
      <c r="C40" s="1109">
        <v>28.596028748666559</v>
      </c>
      <c r="D40" s="1109">
        <v>26.055654199421276</v>
      </c>
      <c r="E40" s="1109">
        <v>62.050805936320742</v>
      </c>
      <c r="F40" s="1109">
        <v>35.590752644825152</v>
      </c>
      <c r="G40" s="1109">
        <v>47.58476435410185</v>
      </c>
      <c r="H40" s="1109">
        <v>46.084862746203584</v>
      </c>
      <c r="I40" s="1109">
        <v>63.352302632097661</v>
      </c>
      <c r="J40" s="1109">
        <v>69.297910716224081</v>
      </c>
      <c r="K40" s="1109">
        <v>15.346752344468703</v>
      </c>
      <c r="M40" s="770"/>
    </row>
    <row r="41" spans="1:13" s="321" customFormat="1" ht="17.25" customHeight="1">
      <c r="A41" s="747"/>
      <c r="B41" s="900" t="s">
        <v>422</v>
      </c>
      <c r="C41" s="1109">
        <v>28.582027674371869</v>
      </c>
      <c r="D41" s="1109">
        <v>25.640194863921963</v>
      </c>
      <c r="E41" s="1109">
        <v>61.590757287072968</v>
      </c>
      <c r="F41" s="1109">
        <v>36.635452385132062</v>
      </c>
      <c r="G41" s="1109">
        <v>48.055150056826349</v>
      </c>
      <c r="H41" s="1109">
        <v>46.406358572848447</v>
      </c>
      <c r="I41" s="1109">
        <v>62.451072006100354</v>
      </c>
      <c r="J41" s="1109">
        <v>68.806262758545159</v>
      </c>
      <c r="K41" s="1109">
        <v>15.702553871475653</v>
      </c>
      <c r="M41" s="770"/>
    </row>
    <row r="42" spans="1:13" s="321" customFormat="1" ht="17.25" customHeight="1">
      <c r="A42" s="747"/>
      <c r="B42" s="900" t="s">
        <v>423</v>
      </c>
      <c r="C42" s="1109">
        <v>28.930162508545294</v>
      </c>
      <c r="D42" s="1109">
        <v>25.690780395724303</v>
      </c>
      <c r="E42" s="1109">
        <v>61.993846723255913</v>
      </c>
      <c r="F42" s="1109">
        <v>36.221552238762982</v>
      </c>
      <c r="G42" s="1109">
        <v>47.83220791896764</v>
      </c>
      <c r="H42" s="1109">
        <v>46.666183883847694</v>
      </c>
      <c r="I42" s="1109">
        <v>61.853669075875821</v>
      </c>
      <c r="J42" s="1109">
        <v>69.095628046950353</v>
      </c>
      <c r="K42" s="1109">
        <v>15.405659190997632</v>
      </c>
      <c r="M42" s="770"/>
    </row>
    <row r="43" spans="1:13" s="321" customFormat="1" ht="17.25" customHeight="1">
      <c r="A43" s="747"/>
      <c r="B43" s="900" t="s">
        <v>412</v>
      </c>
      <c r="C43" s="1109">
        <v>28.91697378571784</v>
      </c>
      <c r="D43" s="1109">
        <v>25.663944594597986</v>
      </c>
      <c r="E43" s="1109">
        <v>60.736905801469931</v>
      </c>
      <c r="F43" s="1109">
        <v>35.478303839554627</v>
      </c>
      <c r="G43" s="1109">
        <v>48.659789688765393</v>
      </c>
      <c r="H43" s="1109">
        <v>47.610218867978624</v>
      </c>
      <c r="I43" s="1109">
        <v>59.948068811620082</v>
      </c>
      <c r="J43" s="1109">
        <v>67.194242448462134</v>
      </c>
      <c r="K43" s="1109">
        <v>14.834790802487495</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488"/>
      <c r="F46" s="637"/>
      <c r="G46" s="637"/>
      <c r="H46" s="637"/>
      <c r="I46" s="637"/>
      <c r="J46" s="637"/>
      <c r="K46" s="637"/>
    </row>
    <row r="47" spans="1:13" ht="12.75" customHeight="1">
      <c r="A47" s="319" t="s">
        <v>1047</v>
      </c>
      <c r="B47" s="320"/>
      <c r="C47" s="320"/>
      <c r="D47" s="320"/>
      <c r="E47" s="320"/>
      <c r="F47" s="320"/>
      <c r="G47" s="320"/>
      <c r="H47" s="320"/>
      <c r="I47" s="320"/>
      <c r="J47" s="282"/>
      <c r="K47" s="282"/>
    </row>
    <row r="48" spans="1:13" ht="16.5">
      <c r="B48" s="283"/>
      <c r="C48" s="276"/>
      <c r="E48" s="1568"/>
      <c r="F48" s="1569"/>
      <c r="I48" s="348"/>
    </row>
    <row r="49" spans="1:9" ht="16.5">
      <c r="A49" s="282"/>
      <c r="B49" s="283"/>
      <c r="C49" s="276"/>
      <c r="E49" s="1568"/>
      <c r="F49" s="1569"/>
      <c r="I49" s="348"/>
    </row>
    <row r="50" spans="1:9" ht="16.5">
      <c r="A50" s="247"/>
      <c r="B50" s="284"/>
      <c r="E50" s="1568"/>
      <c r="F50" s="1569"/>
      <c r="I50" s="348"/>
    </row>
    <row r="51" spans="1:9" ht="16.5">
      <c r="E51" s="1568"/>
      <c r="F51" s="1569"/>
      <c r="I51" s="348"/>
    </row>
    <row r="52" spans="1:9" ht="16.5">
      <c r="E52" s="1568"/>
      <c r="F52" s="1569"/>
      <c r="I52" s="348"/>
    </row>
    <row r="53" spans="1:9" ht="16.5">
      <c r="E53" s="1568"/>
      <c r="F53" s="1569"/>
      <c r="I53" s="348"/>
    </row>
    <row r="54" spans="1:9" ht="16.5">
      <c r="E54" s="1568"/>
      <c r="F54" s="1569"/>
      <c r="I54" s="348"/>
    </row>
    <row r="55" spans="1:9" ht="16.5">
      <c r="E55" s="352"/>
      <c r="F55" s="1569"/>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tabSelected="1" zoomScale="80" zoomScaleNormal="80" workbookViewId="0">
      <pane ySplit="12" topLeftCell="A23" activePane="bottomLeft" state="frozen"/>
      <selection activeCell="N29" sqref="N29"/>
      <selection pane="bottomLeft" activeCell="N29" sqref="N29"/>
    </sheetView>
  </sheetViews>
  <sheetFormatPr defaultColWidth="8.85546875" defaultRowHeight="12.75"/>
  <cols>
    <col min="1" max="2" width="9.7109375" customWidth="1"/>
    <col min="3" max="3" width="9.42578125" customWidth="1"/>
    <col min="4" max="4" width="12.7109375" customWidth="1"/>
    <col min="5" max="5" width="14.7109375" customWidth="1"/>
    <col min="6" max="6" width="12" customWidth="1"/>
    <col min="7" max="7" width="10.140625" customWidth="1"/>
    <col min="8" max="8" width="10.7109375" customWidth="1"/>
    <col min="9" max="9" width="12.7109375" customWidth="1"/>
    <col min="10" max="10" width="14.7109375" customWidth="1"/>
    <col min="11" max="11" width="11.7109375" customWidth="1"/>
    <col min="12" max="12" width="13.42578125" customWidth="1"/>
    <col min="13" max="13" width="11" customWidth="1"/>
    <col min="14" max="14" width="11.28515625" customWidth="1"/>
    <col min="15" max="15" width="11.85546875" customWidth="1"/>
    <col min="16" max="16" width="10.7109375" customWidth="1"/>
  </cols>
  <sheetData>
    <row r="1" spans="1:19" s="8" customFormat="1" ht="18" customHeight="1">
      <c r="A1" s="1465" t="s">
        <v>1745</v>
      </c>
      <c r="B1" s="1464"/>
      <c r="C1" s="1464"/>
      <c r="D1" s="1464"/>
      <c r="E1" s="1464"/>
      <c r="F1" s="1464"/>
      <c r="G1" s="1464"/>
      <c r="H1" s="1464"/>
      <c r="I1" s="1464"/>
      <c r="J1" s="1464"/>
      <c r="K1" s="1464"/>
      <c r="L1" s="1464"/>
      <c r="M1" s="1464"/>
      <c r="N1" s="1464"/>
      <c r="O1" s="1464"/>
      <c r="P1" s="1464"/>
    </row>
    <row r="2" spans="1:19" s="8" customFormat="1" ht="18" customHeight="1">
      <c r="A2" s="1463" t="s">
        <v>1048</v>
      </c>
      <c r="B2" s="1464"/>
      <c r="C2" s="1464"/>
      <c r="D2" s="1464"/>
      <c r="E2" s="1464"/>
      <c r="F2" s="1464"/>
      <c r="G2" s="1464"/>
      <c r="H2" s="1464"/>
      <c r="I2" s="1464"/>
      <c r="J2" s="1464"/>
      <c r="K2" s="1464"/>
      <c r="L2" s="1464"/>
      <c r="M2" s="1464"/>
      <c r="N2" s="1464"/>
      <c r="O2" s="1464"/>
      <c r="P2" s="1464"/>
    </row>
    <row r="3" spans="1:19" s="8" customFormat="1" ht="18" customHeight="1">
      <c r="A3" s="1465" t="s">
        <v>1049</v>
      </c>
      <c r="B3" s="1464"/>
      <c r="C3" s="1464"/>
      <c r="D3" s="1464"/>
      <c r="E3" s="1464"/>
      <c r="F3" s="1464"/>
      <c r="G3" s="1464"/>
      <c r="H3" s="1464"/>
      <c r="I3" s="1464"/>
      <c r="J3" s="1464"/>
      <c r="K3" s="1464"/>
      <c r="L3" s="1464"/>
      <c r="M3" s="1464"/>
      <c r="N3" s="1464"/>
      <c r="O3" s="1464"/>
      <c r="P3" s="1464"/>
    </row>
    <row r="4" spans="1:19" s="8" customFormat="1" ht="18" customHeight="1">
      <c r="A4" s="1465" t="s">
        <v>1050</v>
      </c>
      <c r="B4" s="1464"/>
      <c r="C4" s="1464"/>
      <c r="D4" s="1464"/>
      <c r="E4" s="1464"/>
      <c r="F4" s="1464"/>
      <c r="G4" s="1464"/>
      <c r="H4" s="1464"/>
      <c r="I4" s="1464"/>
      <c r="J4" s="1464"/>
      <c r="K4" s="1464"/>
      <c r="L4" s="1464"/>
      <c r="M4" s="1464"/>
      <c r="N4" s="1464"/>
      <c r="O4" s="1464"/>
      <c r="P4" s="1464"/>
    </row>
    <row r="5" spans="1:19" s="25" customFormat="1" ht="20.25" customHeight="1">
      <c r="A5" s="16" t="s">
        <v>1051</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478" t="s">
        <v>493</v>
      </c>
      <c r="D7" s="40"/>
      <c r="E7" s="123"/>
      <c r="F7" s="123"/>
      <c r="G7" s="1479"/>
      <c r="H7" s="1480" t="s">
        <v>1052</v>
      </c>
      <c r="I7" s="1481" t="s">
        <v>1053</v>
      </c>
      <c r="J7" s="40"/>
      <c r="K7" s="123"/>
      <c r="L7" s="123"/>
      <c r="M7" s="1479"/>
      <c r="N7" s="1482" t="s">
        <v>1054</v>
      </c>
      <c r="O7" s="1469"/>
      <c r="P7" s="1469"/>
    </row>
    <row r="8" spans="1:19" s="39" customFormat="1" ht="16.5" customHeight="1">
      <c r="A8" s="370" t="s">
        <v>379</v>
      </c>
      <c r="B8" s="81"/>
      <c r="D8" s="270" t="s">
        <v>1055</v>
      </c>
      <c r="E8" s="270" t="s">
        <v>1055</v>
      </c>
      <c r="F8" s="270" t="s">
        <v>1055</v>
      </c>
      <c r="H8" s="270"/>
      <c r="I8" s="270" t="s">
        <v>1055</v>
      </c>
      <c r="J8" s="270" t="s">
        <v>1055</v>
      </c>
      <c r="K8" s="371"/>
      <c r="L8" s="372" t="s">
        <v>1056</v>
      </c>
      <c r="N8" s="371"/>
      <c r="O8" s="270" t="s">
        <v>430</v>
      </c>
      <c r="P8" s="270" t="s">
        <v>1057</v>
      </c>
    </row>
    <row r="9" spans="1:19" s="39" customFormat="1" ht="16.5" customHeight="1">
      <c r="A9" s="62" t="s">
        <v>387</v>
      </c>
      <c r="B9" s="74"/>
      <c r="C9" s="270" t="s">
        <v>831</v>
      </c>
      <c r="D9" s="79" t="s">
        <v>432</v>
      </c>
      <c r="E9" s="271" t="s">
        <v>871</v>
      </c>
      <c r="F9" s="95" t="s">
        <v>391</v>
      </c>
      <c r="G9" s="270" t="s">
        <v>392</v>
      </c>
      <c r="H9" s="270" t="s">
        <v>382</v>
      </c>
      <c r="I9" s="79" t="s">
        <v>432</v>
      </c>
      <c r="J9" s="271" t="s">
        <v>871</v>
      </c>
      <c r="K9" s="270" t="s">
        <v>837</v>
      </c>
      <c r="L9" s="372" t="s">
        <v>1058</v>
      </c>
      <c r="M9" s="270" t="s">
        <v>392</v>
      </c>
      <c r="N9" s="373" t="s">
        <v>382</v>
      </c>
      <c r="O9" s="63" t="s">
        <v>372</v>
      </c>
      <c r="P9" s="63" t="s">
        <v>1059</v>
      </c>
    </row>
    <row r="10" spans="1:19" s="39" customFormat="1" ht="16.5" customHeight="1">
      <c r="A10" s="82"/>
      <c r="B10" s="74"/>
      <c r="C10" s="374" t="s">
        <v>834</v>
      </c>
      <c r="D10" s="107" t="s">
        <v>1060</v>
      </c>
      <c r="E10" s="107" t="s">
        <v>1060</v>
      </c>
      <c r="F10" s="107" t="s">
        <v>1060</v>
      </c>
      <c r="G10" s="228" t="s">
        <v>1061</v>
      </c>
      <c r="H10" s="374" t="s">
        <v>393</v>
      </c>
      <c r="I10" s="107" t="s">
        <v>1060</v>
      </c>
      <c r="J10" s="107" t="s">
        <v>1060</v>
      </c>
      <c r="K10" s="228" t="s">
        <v>844</v>
      </c>
      <c r="L10" s="375" t="s">
        <v>1062</v>
      </c>
      <c r="M10" s="228" t="s">
        <v>1061</v>
      </c>
      <c r="N10" s="376" t="s">
        <v>393</v>
      </c>
      <c r="O10" s="374" t="s">
        <v>393</v>
      </c>
      <c r="P10" s="374" t="s">
        <v>1063</v>
      </c>
    </row>
    <row r="11" spans="1:19" s="39" customFormat="1" ht="16.5" customHeight="1">
      <c r="A11" s="82"/>
      <c r="B11" s="74"/>
      <c r="C11" s="374"/>
      <c r="D11" s="107" t="s">
        <v>1064</v>
      </c>
      <c r="E11" s="107" t="s">
        <v>1065</v>
      </c>
      <c r="F11" s="107" t="s">
        <v>1066</v>
      </c>
      <c r="G11" s="228"/>
      <c r="H11" s="228"/>
      <c r="I11" s="107" t="s">
        <v>1064</v>
      </c>
      <c r="J11" s="107" t="s">
        <v>1065</v>
      </c>
      <c r="K11" s="75"/>
      <c r="L11" s="375" t="s">
        <v>1067</v>
      </c>
      <c r="M11" s="228"/>
      <c r="N11" s="377"/>
      <c r="O11" s="228" t="s">
        <v>371</v>
      </c>
      <c r="P11" s="228" t="s">
        <v>796</v>
      </c>
    </row>
    <row r="12" spans="1:19" s="39" customFormat="1" ht="16.5" customHeight="1">
      <c r="A12" s="87"/>
      <c r="B12" s="98"/>
      <c r="C12" s="378"/>
      <c r="D12" s="139" t="s">
        <v>842</v>
      </c>
      <c r="E12" s="379" t="s">
        <v>410</v>
      </c>
      <c r="F12" s="139"/>
      <c r="G12" s="138"/>
      <c r="H12" s="138"/>
      <c r="I12" s="139"/>
      <c r="J12" s="379" t="s">
        <v>410</v>
      </c>
      <c r="K12" s="130"/>
      <c r="L12" s="139"/>
      <c r="M12" s="138"/>
      <c r="N12" s="230"/>
      <c r="O12" s="138" t="s">
        <v>841</v>
      </c>
      <c r="P12" s="138" t="s">
        <v>1068</v>
      </c>
    </row>
    <row r="13" spans="1:19" s="39" customFormat="1" ht="21" customHeight="1">
      <c r="A13" s="405">
        <v>2015</v>
      </c>
      <c r="B13" s="60"/>
      <c r="C13" s="797">
        <v>6.9</v>
      </c>
      <c r="D13" s="797">
        <v>212.70446641127054</v>
      </c>
      <c r="E13" s="797">
        <v>787.1063363523466</v>
      </c>
      <c r="F13" s="797">
        <v>78.858999999999995</v>
      </c>
      <c r="G13" s="797">
        <v>13.202649906999994</v>
      </c>
      <c r="H13" s="797">
        <v>1098.7520484537035</v>
      </c>
      <c r="I13" s="797">
        <v>105.125</v>
      </c>
      <c r="J13" s="797">
        <v>362.375</v>
      </c>
      <c r="K13" s="797">
        <v>37.207648045829998</v>
      </c>
      <c r="L13" s="797">
        <v>0</v>
      </c>
      <c r="M13" s="797">
        <v>0.41</v>
      </c>
      <c r="N13" s="797">
        <v>505.11764804582998</v>
      </c>
      <c r="O13" s="797">
        <v>1603.8696145215558</v>
      </c>
      <c r="P13" s="776">
        <v>0</v>
      </c>
      <c r="Q13" s="321">
        <f t="shared" ref="Q13" si="0">ROUND(H13,1)-ROUND(C13,1)-ROUND(D13,1)-ROUND(E13,1)-ROUND(F13,1)-ROUND(G13,1)</f>
        <v>-2.0961010704922955E-13</v>
      </c>
      <c r="R13" s="321">
        <f t="shared" ref="R13" si="1">ROUND(N13,1)-ROUND(I13,1)-ROUND(J13,1)-ROUND(K13,1)-ROUND(L13,1)-ROUND(M13,1)</f>
        <v>1.9872992140790302E-14</v>
      </c>
      <c r="S13" s="321">
        <f t="shared" ref="S13" si="2">ROUND(O13,1)-ROUND(H13,1)-ROUND(N13,1)</f>
        <v>0</v>
      </c>
    </row>
    <row r="14" spans="1:19" s="39" customFormat="1" ht="15.75">
      <c r="A14" s="405">
        <v>2016</v>
      </c>
      <c r="B14" s="60"/>
      <c r="C14" s="797">
        <v>6.3999999999999995</v>
      </c>
      <c r="D14" s="797">
        <v>197.20931514773042</v>
      </c>
      <c r="E14" s="797">
        <v>755.69671795778845</v>
      </c>
      <c r="F14" s="797">
        <v>80.622</v>
      </c>
      <c r="G14" s="797">
        <v>22.357629524000004</v>
      </c>
      <c r="H14" s="797">
        <v>1062.2756626295188</v>
      </c>
      <c r="I14" s="797">
        <v>180.065</v>
      </c>
      <c r="J14" s="797">
        <v>384.46875376100002</v>
      </c>
      <c r="K14" s="797">
        <v>26.543474660969999</v>
      </c>
      <c r="L14" s="797">
        <v>0</v>
      </c>
      <c r="M14" s="797">
        <v>4.5</v>
      </c>
      <c r="N14" s="797">
        <v>595.57722842197006</v>
      </c>
      <c r="O14" s="797">
        <v>1657.852891051489</v>
      </c>
      <c r="P14" s="776">
        <v>8.9</v>
      </c>
      <c r="Q14" s="321"/>
      <c r="R14" s="321"/>
      <c r="S14" s="321"/>
    </row>
    <row r="15" spans="1:19" s="39" customFormat="1" ht="14.25" customHeight="1">
      <c r="A15" s="405">
        <v>2017</v>
      </c>
      <c r="B15" s="60"/>
      <c r="C15" s="797">
        <v>0.7</v>
      </c>
      <c r="D15" s="797">
        <v>105.05272791200001</v>
      </c>
      <c r="E15" s="797">
        <v>733.13499523712005</v>
      </c>
      <c r="F15" s="797">
        <v>46.446999999999996</v>
      </c>
      <c r="G15" s="797">
        <v>8.6514088931465647</v>
      </c>
      <c r="H15" s="797">
        <v>893.98613204226672</v>
      </c>
      <c r="I15" s="797">
        <v>88.11999999999999</v>
      </c>
      <c r="J15" s="797">
        <v>421.15999999999997</v>
      </c>
      <c r="K15" s="797">
        <v>10.07</v>
      </c>
      <c r="L15" s="797">
        <v>0</v>
      </c>
      <c r="M15" s="797">
        <v>3.5</v>
      </c>
      <c r="N15" s="797">
        <v>522.85</v>
      </c>
      <c r="O15" s="797">
        <v>1416.8561320422666</v>
      </c>
      <c r="P15" s="776">
        <v>0</v>
      </c>
      <c r="Q15" s="321"/>
      <c r="R15" s="321"/>
      <c r="S15" s="321"/>
    </row>
    <row r="16" spans="1:19" s="1033" customFormat="1" ht="14.25" customHeight="1">
      <c r="A16" s="405">
        <v>2018</v>
      </c>
      <c r="B16" s="1117"/>
      <c r="C16" s="797">
        <v>0.8</v>
      </c>
      <c r="D16" s="797">
        <v>98.873211310999977</v>
      </c>
      <c r="E16" s="797">
        <v>720.34329391263725</v>
      </c>
      <c r="F16" s="797">
        <v>62.382044116378168</v>
      </c>
      <c r="G16" s="797">
        <v>4.0184891994038079</v>
      </c>
      <c r="H16" s="797">
        <v>886.43703853941918</v>
      </c>
      <c r="I16" s="797">
        <v>90.295329178711086</v>
      </c>
      <c r="J16" s="797">
        <v>412.38831199569279</v>
      </c>
      <c r="K16" s="797">
        <v>53.839999999999996</v>
      </c>
      <c r="L16" s="797">
        <v>0</v>
      </c>
      <c r="M16" s="797">
        <v>3.7646708212889157</v>
      </c>
      <c r="N16" s="797">
        <v>560.28831199569277</v>
      </c>
      <c r="O16" s="797">
        <v>1446.7253505351118</v>
      </c>
      <c r="P16" s="776">
        <v>0</v>
      </c>
      <c r="Q16" s="321"/>
      <c r="R16" s="321"/>
      <c r="S16" s="321"/>
    </row>
    <row r="17" spans="1:19" s="1033" customFormat="1" ht="14.25" customHeight="1">
      <c r="A17" s="405">
        <v>2019</v>
      </c>
      <c r="B17" s="1117"/>
      <c r="C17" s="797">
        <v>0.9</v>
      </c>
      <c r="D17" s="797">
        <v>106.15606847700001</v>
      </c>
      <c r="E17" s="797">
        <v>767.07447262767494</v>
      </c>
      <c r="F17" s="797">
        <v>54.099999999999994</v>
      </c>
      <c r="G17" s="797">
        <v>7.1979842229950259</v>
      </c>
      <c r="H17" s="797">
        <v>935.45852532766992</v>
      </c>
      <c r="I17" s="797">
        <v>43.6</v>
      </c>
      <c r="J17" s="797">
        <v>388.43530578772834</v>
      </c>
      <c r="K17" s="797">
        <v>101.77</v>
      </c>
      <c r="L17" s="797">
        <v>0</v>
      </c>
      <c r="M17" s="797">
        <v>9.2000000000000011</v>
      </c>
      <c r="N17" s="797">
        <v>543.03530578772836</v>
      </c>
      <c r="O17" s="797">
        <v>1478.4637997781185</v>
      </c>
      <c r="P17" s="776">
        <v>0</v>
      </c>
      <c r="Q17" s="321"/>
      <c r="R17" s="321"/>
      <c r="S17" s="321"/>
    </row>
    <row r="18" spans="1:19" s="1033" customFormat="1" ht="14.25" customHeight="1">
      <c r="A18" s="405">
        <v>2020</v>
      </c>
      <c r="B18" s="1117"/>
      <c r="C18" s="797">
        <v>0.9</v>
      </c>
      <c r="D18" s="797">
        <v>90.710103341000007</v>
      </c>
      <c r="E18" s="797">
        <v>935.90397370847359</v>
      </c>
      <c r="F18" s="797">
        <v>90.072999999999993</v>
      </c>
      <c r="G18" s="797">
        <v>9.2620316770000368</v>
      </c>
      <c r="H18" s="797">
        <v>1126.8587494604456</v>
      </c>
      <c r="I18" s="797">
        <v>25.5</v>
      </c>
      <c r="J18" s="797">
        <v>232.94000000000003</v>
      </c>
      <c r="K18" s="797">
        <v>165.5</v>
      </c>
      <c r="L18" s="797">
        <v>0</v>
      </c>
      <c r="M18" s="797">
        <v>22.400000000000002</v>
      </c>
      <c r="N18" s="797">
        <v>446.34000000000003</v>
      </c>
      <c r="O18" s="797">
        <v>1573.188727676702</v>
      </c>
      <c r="P18" s="776">
        <v>0</v>
      </c>
      <c r="Q18" s="321"/>
      <c r="R18" s="321"/>
      <c r="S18" s="321"/>
    </row>
    <row r="19" spans="1:19" s="1033" customFormat="1" ht="14.25" customHeight="1">
      <c r="A19" s="405">
        <v>2021</v>
      </c>
      <c r="B19" s="1117"/>
      <c r="C19" s="797">
        <v>0.92575661499999973</v>
      </c>
      <c r="D19" s="797">
        <v>65.133557546439988</v>
      </c>
      <c r="E19" s="797">
        <v>968.10479340452503</v>
      </c>
      <c r="F19" s="797">
        <v>102.57147591536001</v>
      </c>
      <c r="G19" s="797">
        <v>15.35537643306132</v>
      </c>
      <c r="H19" s="797">
        <v>1152.0704919291911</v>
      </c>
      <c r="I19" s="797">
        <v>48.656519040197836</v>
      </c>
      <c r="J19" s="797">
        <v>242.90953266424964</v>
      </c>
      <c r="K19" s="797">
        <v>108.63470564829625</v>
      </c>
      <c r="L19" s="797">
        <v>0</v>
      </c>
      <c r="M19" s="797">
        <v>6.3908862586100064</v>
      </c>
      <c r="N19" s="797">
        <v>406.59164361135373</v>
      </c>
      <c r="O19" s="797">
        <v>1558.6621097761608</v>
      </c>
      <c r="P19" s="776">
        <v>0</v>
      </c>
      <c r="Q19" s="321"/>
      <c r="R19" s="321"/>
      <c r="S19" s="321"/>
    </row>
    <row r="20" spans="1:19" s="1033" customFormat="1" ht="14.25" customHeight="1">
      <c r="A20" s="405">
        <v>2022</v>
      </c>
      <c r="B20" s="1117"/>
      <c r="C20" s="797">
        <v>0.68198592500000033</v>
      </c>
      <c r="D20" s="797">
        <v>521.40691048157396</v>
      </c>
      <c r="E20" s="797">
        <v>1006.4889761459139</v>
      </c>
      <c r="F20" s="797">
        <v>132.36958789631998</v>
      </c>
      <c r="G20" s="797">
        <v>27.627767206378309</v>
      </c>
      <c r="H20" s="797">
        <v>1688.5752276551862</v>
      </c>
      <c r="I20" s="797">
        <v>51.096698772763752</v>
      </c>
      <c r="J20" s="797">
        <v>215.07671747051347</v>
      </c>
      <c r="K20" s="797">
        <v>142.7402259684838</v>
      </c>
      <c r="L20" s="797">
        <v>0</v>
      </c>
      <c r="M20" s="797">
        <v>0.45956955999600008</v>
      </c>
      <c r="N20" s="797">
        <v>409.38321177175703</v>
      </c>
      <c r="O20" s="797">
        <v>2097.9584394269432</v>
      </c>
      <c r="P20" s="776">
        <v>0</v>
      </c>
      <c r="Q20" s="321"/>
      <c r="R20" s="321"/>
      <c r="S20" s="321"/>
    </row>
    <row r="21" spans="1:19" s="1033" customFormat="1" ht="14.25" customHeight="1">
      <c r="A21" s="405">
        <v>2023</v>
      </c>
      <c r="B21" s="1117"/>
      <c r="C21" s="797">
        <v>13.545799190898997</v>
      </c>
      <c r="D21" s="797">
        <v>554.87390134701627</v>
      </c>
      <c r="E21" s="797">
        <v>2013.2661118929429</v>
      </c>
      <c r="F21" s="797">
        <v>666.66359432526997</v>
      </c>
      <c r="G21" s="797">
        <v>158.53581192627917</v>
      </c>
      <c r="H21" s="797">
        <v>3406.885218682407</v>
      </c>
      <c r="I21" s="797">
        <v>787.34084128010807</v>
      </c>
      <c r="J21" s="797">
        <v>1325.5669674364399</v>
      </c>
      <c r="K21" s="797">
        <v>2604.5023685434971</v>
      </c>
      <c r="L21" s="797">
        <v>286.56707653629667</v>
      </c>
      <c r="M21" s="797">
        <v>162.73571000570161</v>
      </c>
      <c r="N21" s="797">
        <v>5166.7129638020433</v>
      </c>
      <c r="O21" s="797">
        <v>8573.5981824844512</v>
      </c>
      <c r="P21" s="776">
        <v>0</v>
      </c>
      <c r="Q21" s="321"/>
      <c r="R21" s="321"/>
      <c r="S21" s="321"/>
    </row>
    <row r="22" spans="1:19" s="1033" customFormat="1" ht="14.25" customHeight="1">
      <c r="A22" s="713">
        <v>2024</v>
      </c>
      <c r="B22" s="1017"/>
      <c r="C22" s="1178">
        <f t="shared" ref="C22:P22" si="3">C27</f>
        <v>0</v>
      </c>
      <c r="D22" s="1178">
        <f t="shared" si="3"/>
        <v>0</v>
      </c>
      <c r="E22" s="1178">
        <f t="shared" si="3"/>
        <v>609.99869317155117</v>
      </c>
      <c r="F22" s="1178">
        <f t="shared" si="3"/>
        <v>33.97</v>
      </c>
      <c r="G22" s="1178">
        <f t="shared" si="3"/>
        <v>57.193427390225168</v>
      </c>
      <c r="H22" s="1178">
        <f t="shared" si="3"/>
        <v>701.16212056177631</v>
      </c>
      <c r="I22" s="1178">
        <f t="shared" si="3"/>
        <v>0</v>
      </c>
      <c r="J22" s="1178">
        <f t="shared" si="3"/>
        <v>1.4784E-2</v>
      </c>
      <c r="K22" s="1178">
        <f t="shared" si="3"/>
        <v>0</v>
      </c>
      <c r="L22" s="1178">
        <f t="shared" si="3"/>
        <v>0</v>
      </c>
      <c r="M22" s="1178">
        <f t="shared" si="3"/>
        <v>-5.6547999999999378E-5</v>
      </c>
      <c r="N22" s="1178">
        <f t="shared" si="3"/>
        <v>1.4727452E-2</v>
      </c>
      <c r="O22" s="1178">
        <f t="shared" si="3"/>
        <v>701.17684801377629</v>
      </c>
      <c r="P22" s="1028">
        <f t="shared" si="3"/>
        <v>0</v>
      </c>
      <c r="Q22" s="770">
        <f t="shared" ref="Q22" si="4">ROUND(H22,1)-ROUND(C22,1)-ROUND(D22,1)-ROUND(E22,1)-ROUND(F22,1)-ROUND(G22,1)</f>
        <v>0</v>
      </c>
      <c r="R22" s="770">
        <f t="shared" ref="R22" si="5">ROUND(N22,1)-ROUND(I22,1)-ROUND(J22,1)-ROUND(K22,1)-ROUND(L22,1)-ROUND(M22,1)</f>
        <v>0</v>
      </c>
      <c r="S22" s="770">
        <f t="shared" ref="S22" si="6">ROUND(O22,1)-ROUND(H22,1)-ROUND(N22,1)</f>
        <v>0</v>
      </c>
    </row>
    <row r="23" spans="1:19" s="1033" customFormat="1" ht="21" customHeight="1">
      <c r="A23" s="405">
        <v>2023</v>
      </c>
      <c r="B23" s="748" t="s">
        <v>238</v>
      </c>
      <c r="C23" s="797">
        <v>13.545799190898997</v>
      </c>
      <c r="D23" s="797">
        <v>554.87390134701627</v>
      </c>
      <c r="E23" s="797">
        <v>2013.2661118929429</v>
      </c>
      <c r="F23" s="797">
        <v>666.66359432526997</v>
      </c>
      <c r="G23" s="797">
        <v>158.53581192627917</v>
      </c>
      <c r="H23" s="797">
        <v>3406.885218682407</v>
      </c>
      <c r="I23" s="797">
        <v>787.34084128010807</v>
      </c>
      <c r="J23" s="797">
        <v>1325.5669674364399</v>
      </c>
      <c r="K23" s="1560">
        <v>2604.5023685434971</v>
      </c>
      <c r="L23" s="797">
        <v>286.56707653629667</v>
      </c>
      <c r="M23" s="798">
        <v>162.73571000570161</v>
      </c>
      <c r="N23" s="1561">
        <v>5166.7129638020433</v>
      </c>
      <c r="O23" s="772">
        <v>8573.5981824844512</v>
      </c>
      <c r="P23" s="776">
        <v>0</v>
      </c>
      <c r="Q23" s="321"/>
      <c r="R23" s="321"/>
      <c r="S23" s="321"/>
    </row>
    <row r="24" spans="1:19" s="1033" customFormat="1" ht="21" customHeight="1">
      <c r="A24" s="405">
        <v>2024</v>
      </c>
      <c r="B24" s="748" t="s">
        <v>239</v>
      </c>
      <c r="C24" s="797">
        <v>0</v>
      </c>
      <c r="D24" s="797">
        <v>2</v>
      </c>
      <c r="E24" s="797">
        <v>518.81323380847334</v>
      </c>
      <c r="F24" s="797">
        <v>45.12</v>
      </c>
      <c r="G24" s="797">
        <v>46.66482647620596</v>
      </c>
      <c r="H24" s="797">
        <v>612.5680602846794</v>
      </c>
      <c r="I24" s="797">
        <v>0</v>
      </c>
      <c r="J24" s="797">
        <v>20.744</v>
      </c>
      <c r="K24" s="797">
        <v>0</v>
      </c>
      <c r="L24" s="797">
        <v>0</v>
      </c>
      <c r="M24" s="797">
        <v>0</v>
      </c>
      <c r="N24" s="1561">
        <v>20.743972643359999</v>
      </c>
      <c r="O24" s="772">
        <v>633.31203292803934</v>
      </c>
      <c r="P24" s="776">
        <v>0</v>
      </c>
      <c r="Q24" s="321"/>
      <c r="R24" s="321"/>
      <c r="S24" s="321"/>
    </row>
    <row r="25" spans="1:19" s="1033" customFormat="1" ht="15" customHeight="1">
      <c r="A25" s="405"/>
      <c r="B25" s="748" t="s">
        <v>240</v>
      </c>
      <c r="C25" s="797">
        <v>0</v>
      </c>
      <c r="D25" s="797">
        <v>0</v>
      </c>
      <c r="E25" s="797">
        <v>542.40628884277726</v>
      </c>
      <c r="F25" s="797">
        <v>41.86</v>
      </c>
      <c r="G25" s="797">
        <v>35.826026766687335</v>
      </c>
      <c r="H25" s="797">
        <v>620.09231560946466</v>
      </c>
      <c r="I25" s="797">
        <v>0</v>
      </c>
      <c r="J25" s="797">
        <v>12.593</v>
      </c>
      <c r="K25" s="797">
        <v>0</v>
      </c>
      <c r="L25" s="797">
        <v>0</v>
      </c>
      <c r="M25" s="797">
        <v>0</v>
      </c>
      <c r="N25" s="797">
        <v>12.593</v>
      </c>
      <c r="O25" s="772">
        <v>632.68531560946462</v>
      </c>
      <c r="P25" s="776">
        <v>0</v>
      </c>
      <c r="Q25" s="321"/>
      <c r="R25" s="321"/>
      <c r="S25" s="321"/>
    </row>
    <row r="26" spans="1:19" s="1033" customFormat="1" ht="15" customHeight="1">
      <c r="A26" s="405"/>
      <c r="B26" s="748" t="s">
        <v>237</v>
      </c>
      <c r="C26" s="797">
        <v>0</v>
      </c>
      <c r="D26" s="797">
        <v>0</v>
      </c>
      <c r="E26" s="797">
        <v>561.93579369947543</v>
      </c>
      <c r="F26" s="797">
        <v>39.4</v>
      </c>
      <c r="G26" s="797">
        <v>94.169193339999993</v>
      </c>
      <c r="H26" s="797">
        <v>695.51051969400771</v>
      </c>
      <c r="I26" s="797">
        <v>0</v>
      </c>
      <c r="J26" s="797">
        <v>4.9394791250000001</v>
      </c>
      <c r="K26" s="797">
        <v>0</v>
      </c>
      <c r="L26" s="797">
        <v>0</v>
      </c>
      <c r="M26" s="797">
        <v>0</v>
      </c>
      <c r="N26" s="1561">
        <v>4.9394584027599997</v>
      </c>
      <c r="O26" s="772">
        <v>700.44997809676761</v>
      </c>
      <c r="P26" s="776">
        <v>0</v>
      </c>
      <c r="Q26" s="321"/>
      <c r="R26" s="321"/>
      <c r="S26" s="321"/>
    </row>
    <row r="27" spans="1:19" s="1033" customFormat="1" ht="15" customHeight="1">
      <c r="A27" s="405"/>
      <c r="B27" s="748" t="s">
        <v>238</v>
      </c>
      <c r="C27" s="797">
        <v>0</v>
      </c>
      <c r="D27" s="797">
        <v>0</v>
      </c>
      <c r="E27" s="797">
        <v>609.99869317155117</v>
      </c>
      <c r="F27" s="797">
        <v>33.97</v>
      </c>
      <c r="G27" s="797">
        <v>57.193427390225168</v>
      </c>
      <c r="H27" s="797">
        <v>701.16212056177631</v>
      </c>
      <c r="I27" s="797">
        <v>0</v>
      </c>
      <c r="J27" s="797">
        <v>1.4784E-2</v>
      </c>
      <c r="K27" s="797">
        <v>0</v>
      </c>
      <c r="L27" s="797">
        <v>0</v>
      </c>
      <c r="M27" s="797">
        <v>-5.6547999999999378E-5</v>
      </c>
      <c r="N27" s="1561">
        <v>1.4727452E-2</v>
      </c>
      <c r="O27" s="772">
        <v>701.17684801377629</v>
      </c>
      <c r="P27" s="776">
        <v>0</v>
      </c>
      <c r="Q27" s="770"/>
      <c r="R27" s="770"/>
      <c r="S27" s="770"/>
    </row>
    <row r="28" spans="1:19" s="1033" customFormat="1" ht="21" customHeight="1">
      <c r="A28" s="405">
        <v>2025</v>
      </c>
      <c r="B28" s="748" t="s">
        <v>239</v>
      </c>
      <c r="C28" s="797">
        <f t="shared" ref="C28:P28" si="7">C36</f>
        <v>0</v>
      </c>
      <c r="D28" s="797">
        <f t="shared" si="7"/>
        <v>0</v>
      </c>
      <c r="E28" s="797">
        <f t="shared" si="7"/>
        <v>644.53654373370853</v>
      </c>
      <c r="F28" s="797">
        <f t="shared" si="7"/>
        <v>33.97</v>
      </c>
      <c r="G28" s="797">
        <f t="shared" si="7"/>
        <v>16.374064928716599</v>
      </c>
      <c r="H28" s="797">
        <f t="shared" si="7"/>
        <v>694.88060866242517</v>
      </c>
      <c r="I28" s="797">
        <f t="shared" si="7"/>
        <v>0</v>
      </c>
      <c r="J28" s="797">
        <f t="shared" si="7"/>
        <v>12.335087039999999</v>
      </c>
      <c r="K28" s="797">
        <f t="shared" si="7"/>
        <v>0</v>
      </c>
      <c r="L28" s="797">
        <f t="shared" si="7"/>
        <v>0</v>
      </c>
      <c r="M28" s="797">
        <f t="shared" si="7"/>
        <v>-2.0058800000001042E-5</v>
      </c>
      <c r="N28" s="1561">
        <f t="shared" si="7"/>
        <v>12.335066981200001</v>
      </c>
      <c r="O28" s="772">
        <f t="shared" si="7"/>
        <v>707.21567564362522</v>
      </c>
      <c r="P28" s="776">
        <f t="shared" si="7"/>
        <v>0</v>
      </c>
      <c r="Q28" s="770"/>
      <c r="R28" s="770"/>
      <c r="S28" s="770"/>
    </row>
    <row r="29" spans="1:19" s="1033" customFormat="1" ht="15" customHeight="1">
      <c r="A29" s="405"/>
      <c r="B29" s="748" t="s">
        <v>240</v>
      </c>
      <c r="C29" s="797">
        <f t="shared" ref="C29:P29" si="8">C39</f>
        <v>0</v>
      </c>
      <c r="D29" s="797">
        <f t="shared" si="8"/>
        <v>0</v>
      </c>
      <c r="E29" s="797">
        <f t="shared" si="8"/>
        <v>655.6459175638746</v>
      </c>
      <c r="F29" s="797">
        <f t="shared" si="8"/>
        <v>34.96</v>
      </c>
      <c r="G29" s="797">
        <f t="shared" si="8"/>
        <v>11.309029259781088</v>
      </c>
      <c r="H29" s="797">
        <f t="shared" si="8"/>
        <v>701.89094682365578</v>
      </c>
      <c r="I29" s="797">
        <f t="shared" si="8"/>
        <v>0</v>
      </c>
      <c r="J29" s="797">
        <f t="shared" si="8"/>
        <v>16.328052535999998</v>
      </c>
      <c r="K29" s="797">
        <f t="shared" si="8"/>
        <v>0</v>
      </c>
      <c r="L29" s="797">
        <f t="shared" si="8"/>
        <v>0</v>
      </c>
      <c r="M29" s="797">
        <f t="shared" si="8"/>
        <v>-6.7163039999996961E-5</v>
      </c>
      <c r="N29" s="1561">
        <f t="shared" si="8"/>
        <v>16.327985372960001</v>
      </c>
      <c r="O29" s="772">
        <f t="shared" si="8"/>
        <v>718.2189321966157</v>
      </c>
      <c r="P29" s="776">
        <f t="shared" si="8"/>
        <v>0</v>
      </c>
      <c r="Q29" s="770"/>
      <c r="R29" s="770"/>
      <c r="S29" s="770"/>
    </row>
    <row r="30" spans="1:19" s="1033" customFormat="1" ht="15" customHeight="1">
      <c r="A30" s="713"/>
      <c r="B30" s="999" t="s">
        <v>237</v>
      </c>
      <c r="C30" s="1178">
        <f t="shared" ref="C30:P30" si="9">C42</f>
        <v>0</v>
      </c>
      <c r="D30" s="1178">
        <f t="shared" si="9"/>
        <v>0</v>
      </c>
      <c r="E30" s="1178">
        <f t="shared" si="9"/>
        <v>614.94625167952313</v>
      </c>
      <c r="F30" s="1178">
        <f t="shared" si="9"/>
        <v>35.46</v>
      </c>
      <c r="G30" s="1178">
        <f t="shared" si="9"/>
        <v>40.659289700999999</v>
      </c>
      <c r="H30" s="1178">
        <f t="shared" si="9"/>
        <v>691.05754138052305</v>
      </c>
      <c r="I30" s="1178">
        <f t="shared" si="9"/>
        <v>0</v>
      </c>
      <c r="J30" s="1178">
        <f t="shared" si="9"/>
        <v>17.238442399</v>
      </c>
      <c r="K30" s="1178">
        <f t="shared" si="9"/>
        <v>0</v>
      </c>
      <c r="L30" s="1178">
        <f t="shared" si="9"/>
        <v>0</v>
      </c>
      <c r="M30" s="1178">
        <f t="shared" si="9"/>
        <v>0</v>
      </c>
      <c r="N30" s="1562">
        <f t="shared" si="9"/>
        <v>17.238442399</v>
      </c>
      <c r="O30" s="1032">
        <f t="shared" si="9"/>
        <v>708.26598377952303</v>
      </c>
      <c r="P30" s="1028">
        <f t="shared" si="9"/>
        <v>0</v>
      </c>
      <c r="Q30" s="770"/>
      <c r="R30" s="770"/>
      <c r="S30" s="770"/>
    </row>
    <row r="31" spans="1:19" s="321" customFormat="1" ht="21" customHeight="1">
      <c r="A31" s="747">
        <v>2024</v>
      </c>
      <c r="B31" s="748" t="s">
        <v>412</v>
      </c>
      <c r="C31" s="797">
        <v>0</v>
      </c>
      <c r="D31" s="797">
        <v>0</v>
      </c>
      <c r="E31" s="797">
        <v>572.26757305184117</v>
      </c>
      <c r="F31" s="797">
        <v>39.4</v>
      </c>
      <c r="G31" s="797">
        <v>98.540748801626208</v>
      </c>
      <c r="H31" s="797">
        <v>710.22832185346738</v>
      </c>
      <c r="I31" s="797">
        <v>0</v>
      </c>
      <c r="J31" s="797">
        <v>0.108332</v>
      </c>
      <c r="K31" s="797">
        <v>0</v>
      </c>
      <c r="L31" s="797">
        <v>0</v>
      </c>
      <c r="M31" s="797">
        <v>-2.4702879999999538E-5</v>
      </c>
      <c r="N31" s="797">
        <v>0.10830729711999999</v>
      </c>
      <c r="O31" s="797">
        <v>710.33662915058744</v>
      </c>
      <c r="P31" s="776">
        <v>0</v>
      </c>
      <c r="Q31" s="770"/>
      <c r="R31" s="770"/>
      <c r="S31" s="770"/>
    </row>
    <row r="32" spans="1:19" s="321" customFormat="1" ht="16.5" customHeight="1">
      <c r="A32" s="747"/>
      <c r="B32" s="748" t="s">
        <v>413</v>
      </c>
      <c r="C32" s="797">
        <v>0</v>
      </c>
      <c r="D32" s="797">
        <v>0</v>
      </c>
      <c r="E32" s="797">
        <v>576.28506309010754</v>
      </c>
      <c r="F32" s="797">
        <v>39.4</v>
      </c>
      <c r="G32" s="797">
        <v>93.968825608688917</v>
      </c>
      <c r="H32" s="797">
        <v>709.65388869879655</v>
      </c>
      <c r="I32" s="797">
        <v>0</v>
      </c>
      <c r="J32" s="797">
        <v>0.104238</v>
      </c>
      <c r="K32" s="797">
        <v>0</v>
      </c>
      <c r="L32" s="797">
        <v>0</v>
      </c>
      <c r="M32" s="797">
        <v>-2.6693200000003968E-5</v>
      </c>
      <c r="N32" s="797">
        <v>0.10421130679999999</v>
      </c>
      <c r="O32" s="797">
        <v>709.75810000559648</v>
      </c>
      <c r="P32" s="776">
        <v>0</v>
      </c>
      <c r="Q32" s="770"/>
      <c r="R32" s="770"/>
      <c r="S32" s="770"/>
    </row>
    <row r="33" spans="1:19" s="321" customFormat="1" ht="16.5" customHeight="1">
      <c r="A33" s="747"/>
      <c r="B33" s="748" t="s">
        <v>414</v>
      </c>
      <c r="C33" s="797">
        <v>0</v>
      </c>
      <c r="D33" s="797">
        <v>0</v>
      </c>
      <c r="E33" s="797">
        <v>609.99869317155117</v>
      </c>
      <c r="F33" s="797">
        <v>33.97</v>
      </c>
      <c r="G33" s="797">
        <v>57.193427390225168</v>
      </c>
      <c r="H33" s="797">
        <v>701.16212056177631</v>
      </c>
      <c r="I33" s="797">
        <v>0</v>
      </c>
      <c r="J33" s="797">
        <v>1.4784E-2</v>
      </c>
      <c r="K33" s="797">
        <v>0</v>
      </c>
      <c r="L33" s="797">
        <v>0</v>
      </c>
      <c r="M33" s="797">
        <v>-5.6547999999999378E-5</v>
      </c>
      <c r="N33" s="797">
        <v>1.4727452E-2</v>
      </c>
      <c r="O33" s="797">
        <v>701.17684801377629</v>
      </c>
      <c r="P33" s="776">
        <v>0</v>
      </c>
      <c r="Q33" s="770"/>
      <c r="R33" s="770"/>
      <c r="S33" s="770"/>
    </row>
    <row r="34" spans="1:19" s="321" customFormat="1" ht="21" customHeight="1">
      <c r="A34" s="747">
        <v>2025</v>
      </c>
      <c r="B34" s="748" t="s">
        <v>415</v>
      </c>
      <c r="C34" s="797">
        <v>0</v>
      </c>
      <c r="D34" s="797">
        <v>2</v>
      </c>
      <c r="E34" s="797">
        <v>612.07186821661548</v>
      </c>
      <c r="F34" s="797">
        <v>33.97</v>
      </c>
      <c r="G34" s="797">
        <v>74.300888407061805</v>
      </c>
      <c r="H34" s="797">
        <v>722.36275662367746</v>
      </c>
      <c r="I34" s="797">
        <v>0</v>
      </c>
      <c r="J34" s="797">
        <v>1.4784E-2</v>
      </c>
      <c r="K34" s="797">
        <v>0</v>
      </c>
      <c r="L34" s="797">
        <v>0</v>
      </c>
      <c r="M34" s="797">
        <v>-2.2049120000005472E-5</v>
      </c>
      <c r="N34" s="797">
        <v>1.4761950879999994E-2</v>
      </c>
      <c r="O34" s="797">
        <v>722.35751857455728</v>
      </c>
      <c r="P34" s="776">
        <v>0</v>
      </c>
      <c r="Q34" s="770"/>
      <c r="R34" s="770"/>
      <c r="S34" s="770"/>
    </row>
    <row r="35" spans="1:19" s="321" customFormat="1" ht="17.25" customHeight="1">
      <c r="A35" s="747"/>
      <c r="B35" s="748" t="s">
        <v>416</v>
      </c>
      <c r="C35" s="797">
        <v>0</v>
      </c>
      <c r="D35" s="797">
        <v>0</v>
      </c>
      <c r="E35" s="797">
        <v>579.54518674089115</v>
      </c>
      <c r="F35" s="797">
        <v>64.13</v>
      </c>
      <c r="G35" s="797">
        <v>81.66278434717259</v>
      </c>
      <c r="H35" s="797">
        <v>725.33797108806368</v>
      </c>
      <c r="I35" s="797">
        <v>0</v>
      </c>
      <c r="J35" s="797">
        <v>2.2989679089999999</v>
      </c>
      <c r="K35" s="797">
        <v>0</v>
      </c>
      <c r="L35" s="797">
        <v>0</v>
      </c>
      <c r="M35" s="797">
        <v>-1.1434080000000791E-5</v>
      </c>
      <c r="N35" s="797">
        <v>2.2989564749199998</v>
      </c>
      <c r="O35" s="797">
        <v>727.6369275629836</v>
      </c>
      <c r="P35" s="776">
        <v>0</v>
      </c>
      <c r="Q35" s="770"/>
      <c r="R35" s="770"/>
      <c r="S35" s="770"/>
    </row>
    <row r="36" spans="1:19" s="321" customFormat="1" ht="17.25" customHeight="1">
      <c r="A36" s="747"/>
      <c r="B36" s="748" t="s">
        <v>417</v>
      </c>
      <c r="C36" s="797">
        <v>0</v>
      </c>
      <c r="D36" s="797">
        <v>0</v>
      </c>
      <c r="E36" s="797">
        <v>644.53654373370853</v>
      </c>
      <c r="F36" s="797">
        <v>33.97</v>
      </c>
      <c r="G36" s="797">
        <v>16.374064928716599</v>
      </c>
      <c r="H36" s="797">
        <v>694.88060866242517</v>
      </c>
      <c r="I36" s="797">
        <v>0</v>
      </c>
      <c r="J36" s="797">
        <v>12.335087039999999</v>
      </c>
      <c r="K36" s="797">
        <v>0</v>
      </c>
      <c r="L36" s="797">
        <v>0</v>
      </c>
      <c r="M36" s="797">
        <v>-2.0058800000001042E-5</v>
      </c>
      <c r="N36" s="797">
        <v>12.335066981200001</v>
      </c>
      <c r="O36" s="797">
        <v>707.21567564362522</v>
      </c>
      <c r="P36" s="776">
        <v>0</v>
      </c>
      <c r="Q36" s="770"/>
      <c r="R36" s="770"/>
      <c r="S36" s="770"/>
    </row>
    <row r="37" spans="1:19" s="321" customFormat="1" ht="17.25" customHeight="1">
      <c r="A37" s="747"/>
      <c r="B37" s="748" t="s">
        <v>418</v>
      </c>
      <c r="C37" s="797">
        <v>0</v>
      </c>
      <c r="D37" s="797">
        <v>0</v>
      </c>
      <c r="E37" s="797">
        <v>642.03810965411401</v>
      </c>
      <c r="F37" s="797">
        <v>34.46</v>
      </c>
      <c r="G37" s="797">
        <v>23.225789976407356</v>
      </c>
      <c r="H37" s="797">
        <v>699.72389963052137</v>
      </c>
      <c r="I37" s="797">
        <v>0</v>
      </c>
      <c r="J37" s="797">
        <v>7.8110870369999992</v>
      </c>
      <c r="K37" s="797">
        <v>0</v>
      </c>
      <c r="L37" s="797">
        <v>0</v>
      </c>
      <c r="M37" s="797">
        <v>0</v>
      </c>
      <c r="N37" s="797">
        <v>7.8110870369999992</v>
      </c>
      <c r="O37" s="797">
        <v>707.53498666752125</v>
      </c>
      <c r="P37" s="776">
        <v>0</v>
      </c>
      <c r="Q37" s="770"/>
      <c r="R37" s="770"/>
      <c r="S37" s="770"/>
    </row>
    <row r="38" spans="1:19" s="321" customFormat="1" ht="17.25" customHeight="1">
      <c r="A38" s="747"/>
      <c r="B38" s="748" t="s">
        <v>419</v>
      </c>
      <c r="C38" s="797">
        <v>0</v>
      </c>
      <c r="D38" s="797">
        <v>0</v>
      </c>
      <c r="E38" s="797">
        <v>648.66808112451326</v>
      </c>
      <c r="F38" s="797">
        <v>34.46</v>
      </c>
      <c r="G38" s="797">
        <v>18.390392090082425</v>
      </c>
      <c r="H38" s="797">
        <v>701.56847321459577</v>
      </c>
      <c r="I38" s="797">
        <v>0</v>
      </c>
      <c r="J38" s="797">
        <v>14.939828532</v>
      </c>
      <c r="K38" s="797">
        <v>0</v>
      </c>
      <c r="L38" s="797">
        <v>0</v>
      </c>
      <c r="M38" s="797">
        <v>-2.3375999999998954E-5</v>
      </c>
      <c r="N38" s="797">
        <v>14.939805156</v>
      </c>
      <c r="O38" s="797">
        <v>716.45827837059574</v>
      </c>
      <c r="P38" s="776">
        <v>0</v>
      </c>
      <c r="Q38" s="770"/>
      <c r="R38" s="770"/>
      <c r="S38" s="770"/>
    </row>
    <row r="39" spans="1:19" s="321" customFormat="1" ht="17.25" customHeight="1">
      <c r="A39" s="747"/>
      <c r="B39" s="748" t="s">
        <v>420</v>
      </c>
      <c r="C39" s="797">
        <v>0</v>
      </c>
      <c r="D39" s="797">
        <v>0</v>
      </c>
      <c r="E39" s="797">
        <v>655.6459175638746</v>
      </c>
      <c r="F39" s="797">
        <v>34.96</v>
      </c>
      <c r="G39" s="797">
        <v>11.309029259781088</v>
      </c>
      <c r="H39" s="797">
        <v>701.89094682365578</v>
      </c>
      <c r="I39" s="797">
        <v>0</v>
      </c>
      <c r="J39" s="797">
        <v>16.328052535999998</v>
      </c>
      <c r="K39" s="797">
        <v>0</v>
      </c>
      <c r="L39" s="797">
        <v>0</v>
      </c>
      <c r="M39" s="797">
        <v>-6.7163039999996961E-5</v>
      </c>
      <c r="N39" s="797">
        <v>16.327985372960001</v>
      </c>
      <c r="O39" s="797">
        <v>718.2189321966157</v>
      </c>
      <c r="P39" s="776">
        <v>0</v>
      </c>
      <c r="Q39" s="770"/>
      <c r="R39" s="770"/>
      <c r="S39" s="770"/>
    </row>
    <row r="40" spans="1:19" s="321" customFormat="1" ht="17.25" customHeight="1">
      <c r="A40" s="747"/>
      <c r="B40" s="748" t="s">
        <v>421</v>
      </c>
      <c r="C40" s="797">
        <v>0</v>
      </c>
      <c r="D40" s="797">
        <v>0</v>
      </c>
      <c r="E40" s="797">
        <v>663.88069516920052</v>
      </c>
      <c r="F40" s="797">
        <v>34.96</v>
      </c>
      <c r="G40" s="797">
        <v>1.2162649540000001</v>
      </c>
      <c r="H40" s="797">
        <v>700.0569601232005</v>
      </c>
      <c r="I40" s="797">
        <v>0</v>
      </c>
      <c r="J40" s="797">
        <v>16.908231820000001</v>
      </c>
      <c r="K40" s="797">
        <v>0</v>
      </c>
      <c r="L40" s="797">
        <v>0</v>
      </c>
      <c r="M40" s="797">
        <v>0</v>
      </c>
      <c r="N40" s="797">
        <v>16.908231820000001</v>
      </c>
      <c r="O40" s="797">
        <v>716.96519194320047</v>
      </c>
      <c r="P40" s="776">
        <v>0</v>
      </c>
      <c r="Q40" s="770"/>
      <c r="R40" s="770"/>
      <c r="S40" s="770"/>
    </row>
    <row r="41" spans="1:19" s="321" customFormat="1" ht="17.25" customHeight="1">
      <c r="A41" s="747"/>
      <c r="B41" s="748" t="s">
        <v>422</v>
      </c>
      <c r="C41" s="797">
        <v>0</v>
      </c>
      <c r="D41" s="797">
        <v>0</v>
      </c>
      <c r="E41" s="797">
        <v>607.80476406136961</v>
      </c>
      <c r="F41" s="797">
        <v>34.96</v>
      </c>
      <c r="G41" s="797">
        <v>41.127007126400351</v>
      </c>
      <c r="H41" s="797">
        <v>683.94177118776997</v>
      </c>
      <c r="I41" s="797">
        <v>0</v>
      </c>
      <c r="J41" s="797">
        <v>17.160431850999998</v>
      </c>
      <c r="K41" s="797">
        <v>0</v>
      </c>
      <c r="L41" s="797">
        <v>0</v>
      </c>
      <c r="M41" s="797">
        <v>0</v>
      </c>
      <c r="N41" s="797">
        <v>17.160431850999998</v>
      </c>
      <c r="O41" s="797">
        <v>701.10220303876997</v>
      </c>
      <c r="P41" s="776">
        <v>0</v>
      </c>
      <c r="Q41" s="770"/>
      <c r="R41" s="770"/>
      <c r="S41" s="770"/>
    </row>
    <row r="42" spans="1:19" s="321" customFormat="1" ht="17.25" customHeight="1">
      <c r="A42" s="747"/>
      <c r="B42" s="748" t="s">
        <v>423</v>
      </c>
      <c r="C42" s="797">
        <v>0</v>
      </c>
      <c r="D42" s="797">
        <v>0</v>
      </c>
      <c r="E42" s="797">
        <v>614.94625167952313</v>
      </c>
      <c r="F42" s="797">
        <v>35.46</v>
      </c>
      <c r="G42" s="797">
        <v>40.659289700999999</v>
      </c>
      <c r="H42" s="797">
        <v>691.05754138052305</v>
      </c>
      <c r="I42" s="797">
        <v>0</v>
      </c>
      <c r="J42" s="797">
        <v>17.238442399</v>
      </c>
      <c r="K42" s="797">
        <v>0</v>
      </c>
      <c r="L42" s="797">
        <v>0</v>
      </c>
      <c r="M42" s="797">
        <v>0</v>
      </c>
      <c r="N42" s="797">
        <v>17.238442399</v>
      </c>
      <c r="O42" s="797">
        <v>708.26598377952303</v>
      </c>
      <c r="P42" s="776">
        <v>0</v>
      </c>
      <c r="Q42" s="770"/>
      <c r="R42" s="770"/>
      <c r="S42" s="770"/>
    </row>
    <row r="43" spans="1:19" s="321" customFormat="1" ht="17.25" customHeight="1">
      <c r="A43" s="747"/>
      <c r="B43" s="748" t="s">
        <v>412</v>
      </c>
      <c r="C43" s="797">
        <v>0</v>
      </c>
      <c r="D43" s="797">
        <v>1.2</v>
      </c>
      <c r="E43" s="797">
        <v>624.23723256221831</v>
      </c>
      <c r="F43" s="797">
        <v>35.46</v>
      </c>
      <c r="G43" s="797">
        <v>33.923688595000002</v>
      </c>
      <c r="H43" s="797">
        <v>694.82092115721821</v>
      </c>
      <c r="I43" s="797">
        <v>0</v>
      </c>
      <c r="J43" s="797">
        <v>17.238442399</v>
      </c>
      <c r="K43" s="797">
        <v>0</v>
      </c>
      <c r="L43" s="797">
        <v>0</v>
      </c>
      <c r="M43" s="797">
        <v>0</v>
      </c>
      <c r="N43" s="797">
        <v>17.238442399</v>
      </c>
      <c r="O43" s="797">
        <v>712.03936355621806</v>
      </c>
      <c r="P43" s="776">
        <v>0</v>
      </c>
      <c r="Q43" s="770"/>
      <c r="R43" s="770"/>
      <c r="S43" s="770"/>
    </row>
    <row r="44" spans="1:19" ht="19.5" customHeight="1">
      <c r="A44" s="380" t="s">
        <v>1069</v>
      </c>
      <c r="B44" s="1259"/>
      <c r="C44" s="1259"/>
      <c r="D44" s="1259"/>
      <c r="E44" s="1259"/>
      <c r="F44" s="220"/>
      <c r="G44" s="220"/>
      <c r="H44" s="1563"/>
      <c r="I44" s="220"/>
      <c r="J44" s="220"/>
      <c r="K44" s="220"/>
      <c r="L44" s="220"/>
      <c r="M44" s="220"/>
      <c r="N44" s="220"/>
      <c r="O44" s="726"/>
      <c r="P44" s="1476" t="s">
        <v>1070</v>
      </c>
    </row>
    <row r="45" spans="1:19">
      <c r="A45" s="381" t="s">
        <v>1071</v>
      </c>
      <c r="F45" s="25"/>
      <c r="O45" s="1477"/>
      <c r="P45" s="1477" t="s">
        <v>1072</v>
      </c>
    </row>
    <row r="46" spans="1:19">
      <c r="A46" s="381" t="s">
        <v>1073</v>
      </c>
      <c r="O46" s="1477"/>
      <c r="P46" s="1477" t="s">
        <v>1074</v>
      </c>
    </row>
    <row r="47" spans="1:19">
      <c r="A47" s="25" t="s">
        <v>1075</v>
      </c>
      <c r="P47" s="736" t="s">
        <v>1076</v>
      </c>
    </row>
    <row r="49" spans="1:16">
      <c r="A49" s="382" t="s">
        <v>1077</v>
      </c>
      <c r="B49" s="1262"/>
      <c r="C49" s="1262"/>
      <c r="D49" s="1262"/>
      <c r="E49" s="1262"/>
      <c r="F49" s="1262"/>
      <c r="G49" s="1262"/>
      <c r="H49" s="1262"/>
      <c r="I49" s="1262"/>
      <c r="J49" s="1262"/>
      <c r="K49" s="1262"/>
      <c r="L49" s="1262"/>
      <c r="M49" s="1262"/>
      <c r="N49" s="1262"/>
      <c r="O49" s="1262"/>
      <c r="P49" s="1262"/>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abSelected="1" topLeftCell="A65" zoomScale="90" zoomScaleNormal="90" workbookViewId="0">
      <selection activeCell="N29" sqref="N29"/>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743" customFormat="1" ht="20.25" customHeight="1">
      <c r="A1" s="1741" t="s">
        <v>228</v>
      </c>
      <c r="B1" s="1742"/>
      <c r="C1" s="1742"/>
      <c r="D1" s="1742"/>
      <c r="E1" s="1742"/>
      <c r="F1" s="1742"/>
      <c r="G1" s="1742"/>
    </row>
    <row r="2" spans="1:7" s="1743" customFormat="1" ht="18">
      <c r="A2" s="1744" t="s">
        <v>229</v>
      </c>
      <c r="B2" s="1742"/>
      <c r="C2" s="1742"/>
      <c r="D2" s="1742"/>
      <c r="E2" s="1742"/>
      <c r="F2" s="1742"/>
      <c r="G2" s="1742"/>
    </row>
    <row r="4" spans="1:7" s="1743" customFormat="1" ht="18" customHeight="1">
      <c r="A4" s="1880" t="s">
        <v>230</v>
      </c>
      <c r="B4" s="1745">
        <v>2024</v>
      </c>
      <c r="C4" s="1745"/>
      <c r="D4" s="1745">
        <v>2025</v>
      </c>
      <c r="E4" s="1745"/>
      <c r="F4" s="1745"/>
      <c r="G4" s="1883" t="s">
        <v>231</v>
      </c>
    </row>
    <row r="5" spans="1:7" s="1747" customFormat="1" ht="14.85" customHeight="1">
      <c r="A5" s="1881"/>
      <c r="B5" s="1746" t="s">
        <v>232</v>
      </c>
      <c r="C5" s="1746" t="s">
        <v>232</v>
      </c>
      <c r="D5" s="1746" t="s">
        <v>232</v>
      </c>
      <c r="E5" s="1746" t="s">
        <v>232</v>
      </c>
      <c r="F5" s="1746" t="s">
        <v>232</v>
      </c>
      <c r="G5" s="1884"/>
    </row>
    <row r="6" spans="1:7" s="1747" customFormat="1" ht="14.85" customHeight="1">
      <c r="A6" s="1881"/>
      <c r="B6" s="1748" t="s">
        <v>233</v>
      </c>
      <c r="C6" s="1748" t="s">
        <v>234</v>
      </c>
      <c r="D6" s="1748" t="s">
        <v>235</v>
      </c>
      <c r="E6" s="1748" t="s">
        <v>236</v>
      </c>
      <c r="F6" s="1748" t="s">
        <v>233</v>
      </c>
      <c r="G6" s="1884"/>
    </row>
    <row r="7" spans="1:7" s="1743" customFormat="1" ht="14.85" customHeight="1">
      <c r="A7" s="1882"/>
      <c r="B7" s="1749" t="s">
        <v>237</v>
      </c>
      <c r="C7" s="1749" t="s">
        <v>238</v>
      </c>
      <c r="D7" s="1749" t="s">
        <v>239</v>
      </c>
      <c r="E7" s="1749" t="s">
        <v>240</v>
      </c>
      <c r="F7" s="1749" t="s">
        <v>237</v>
      </c>
      <c r="G7" s="1885"/>
    </row>
    <row r="8" spans="1:7" ht="20.25" customHeight="1">
      <c r="A8" s="1750" t="s">
        <v>241</v>
      </c>
      <c r="B8" s="1751"/>
      <c r="C8" s="1751"/>
      <c r="D8" s="1751"/>
      <c r="E8" s="1751"/>
      <c r="F8" s="1751"/>
      <c r="G8" s="1752" t="s">
        <v>242</v>
      </c>
    </row>
    <row r="9" spans="1:7" ht="14.25" customHeight="1">
      <c r="A9" s="1753" t="s">
        <v>243</v>
      </c>
      <c r="B9" s="665">
        <v>7103.7</v>
      </c>
      <c r="C9" s="665">
        <f>'1'!$H$33</f>
        <v>6439.9999999999991</v>
      </c>
      <c r="D9" s="665">
        <f>'1'!$H$36</f>
        <v>7158.5000000000009</v>
      </c>
      <c r="E9" s="665">
        <f>'1'!$H$39</f>
        <v>6820.5</v>
      </c>
      <c r="F9" s="665">
        <f>'1'!$H$42</f>
        <v>6135.7</v>
      </c>
      <c r="G9" s="1754" t="s">
        <v>244</v>
      </c>
    </row>
    <row r="10" spans="1:7" ht="20.25" customHeight="1">
      <c r="A10" s="1755" t="s">
        <v>245</v>
      </c>
      <c r="B10" s="769"/>
      <c r="C10" s="769"/>
      <c r="D10" s="769"/>
      <c r="E10" s="769"/>
      <c r="F10" s="769"/>
      <c r="G10" s="1756" t="s">
        <v>246</v>
      </c>
    </row>
    <row r="11" spans="1:7" ht="14.25" customHeight="1">
      <c r="A11" s="1757" t="s">
        <v>247</v>
      </c>
      <c r="B11" s="665">
        <v>2771</v>
      </c>
      <c r="C11" s="665">
        <f>'3'!$H$33</f>
        <v>2807.8</v>
      </c>
      <c r="D11" s="665">
        <f>'3'!$H$36</f>
        <v>2949.6000000000004</v>
      </c>
      <c r="E11" s="665">
        <f>'3'!$H$39</f>
        <v>2917.1000000000004</v>
      </c>
      <c r="F11" s="665">
        <f>'3'!$H$42</f>
        <v>2798</v>
      </c>
      <c r="G11" s="1754" t="s">
        <v>248</v>
      </c>
    </row>
    <row r="12" spans="1:7" ht="14.25" customHeight="1">
      <c r="A12" s="1753" t="s">
        <v>249</v>
      </c>
      <c r="B12" s="665">
        <v>2.0400648107232153</v>
      </c>
      <c r="C12" s="665">
        <f>(C11-B11)/B11%</f>
        <v>1.3280404186214427</v>
      </c>
      <c r="D12" s="665">
        <f>(D11-C11)/C11%</f>
        <v>5.0502172519410271</v>
      </c>
      <c r="E12" s="665">
        <f>(E11-D11)/D11%</f>
        <v>-1.1018443178736099</v>
      </c>
      <c r="F12" s="665">
        <f>(F11-E11)/E11%</f>
        <v>-4.0828219807343027</v>
      </c>
      <c r="G12" s="1758" t="s">
        <v>1771</v>
      </c>
    </row>
    <row r="13" spans="1:7" ht="14.25" customHeight="1">
      <c r="A13" s="1757" t="s">
        <v>250</v>
      </c>
      <c r="B13" s="665">
        <v>14240.6</v>
      </c>
      <c r="C13" s="665">
        <f>'3'!$I$33</f>
        <v>13905.8</v>
      </c>
      <c r="D13" s="665">
        <f>'3'!$I$36</f>
        <v>14060.1</v>
      </c>
      <c r="E13" s="665">
        <f>'3'!$I$39</f>
        <v>14083</v>
      </c>
      <c r="F13" s="665">
        <f>'3'!$I$42</f>
        <v>14037.1</v>
      </c>
      <c r="G13" s="1754" t="s">
        <v>251</v>
      </c>
    </row>
    <row r="14" spans="1:7" ht="14.25" customHeight="1">
      <c r="A14" s="1753" t="s">
        <v>249</v>
      </c>
      <c r="B14" s="665">
        <v>1.9640133750528004</v>
      </c>
      <c r="C14" s="665">
        <f>(C13-B13)/B13%</f>
        <v>-2.351024535483063</v>
      </c>
      <c r="D14" s="665">
        <f>(D13-C13)/C13%</f>
        <v>1.1096089401544758</v>
      </c>
      <c r="E14" s="665">
        <f>(E13-D13)/D13%</f>
        <v>0.16287224130695824</v>
      </c>
      <c r="F14" s="665">
        <f>(F13-E13)/E13%</f>
        <v>-0.32592487396151126</v>
      </c>
      <c r="G14" s="1759" t="s">
        <v>1771</v>
      </c>
    </row>
    <row r="15" spans="1:7" ht="14.25" customHeight="1">
      <c r="A15" s="1753" t="s">
        <v>252</v>
      </c>
      <c r="B15" s="665">
        <v>80.394957461342614</v>
      </c>
      <c r="C15" s="665">
        <f>C13/17713.3*100</f>
        <v>78.504852286135275</v>
      </c>
      <c r="D15" s="665">
        <f>D13/17713.3*100</f>
        <v>79.3759491455573</v>
      </c>
      <c r="E15" s="665">
        <f>E13/17713.3*100</f>
        <v>79.50523053298933</v>
      </c>
      <c r="F15" s="665">
        <f>F13/17713.3*100</f>
        <v>79.246103210581893</v>
      </c>
      <c r="G15" s="1760" t="s">
        <v>253</v>
      </c>
    </row>
    <row r="16" spans="1:7" ht="14.25" customHeight="1">
      <c r="A16" s="1757" t="s">
        <v>254</v>
      </c>
      <c r="B16" s="665">
        <v>16626.240013787232</v>
      </c>
      <c r="C16" s="665">
        <f>'3'!$J$33</f>
        <v>16220.441938154301</v>
      </c>
      <c r="D16" s="665">
        <f>'3'!$J$36</f>
        <v>16519.485029977339</v>
      </c>
      <c r="E16" s="665">
        <f>'3'!$J$39</f>
        <v>16466.599999999999</v>
      </c>
      <c r="F16" s="665">
        <f>'3'!$J$42</f>
        <v>16237.1</v>
      </c>
      <c r="G16" s="1754" t="s">
        <v>255</v>
      </c>
    </row>
    <row r="17" spans="1:7" ht="14.25" customHeight="1">
      <c r="A17" s="1753" t="s">
        <v>249</v>
      </c>
      <c r="B17" s="665">
        <v>3.809230968023575</v>
      </c>
      <c r="C17" s="665">
        <f>(C16-B16)/B16%</f>
        <v>-2.4407086346427369</v>
      </c>
      <c r="D17" s="665">
        <f>(D16-C16)/C16%</f>
        <v>1.8436186446906719</v>
      </c>
      <c r="E17" s="665">
        <f>(E16-D16)/D16%</f>
        <v>-0.32013727959056637</v>
      </c>
      <c r="F17" s="665">
        <f>(F16-E16)/E16%</f>
        <v>-1.3937303389892157</v>
      </c>
      <c r="G17" s="1759" t="s">
        <v>1771</v>
      </c>
    </row>
    <row r="18" spans="1:7" ht="20.25" customHeight="1">
      <c r="A18" s="1755" t="s">
        <v>256</v>
      </c>
      <c r="B18" s="769"/>
      <c r="C18" s="769"/>
      <c r="D18" s="769"/>
      <c r="E18" s="769"/>
      <c r="F18" s="769"/>
      <c r="G18" s="1756" t="s">
        <v>257</v>
      </c>
    </row>
    <row r="19" spans="1:7" ht="14.25" customHeight="1">
      <c r="A19" s="1757" t="s">
        <v>258</v>
      </c>
      <c r="B19" s="665">
        <v>249728.14680851065</v>
      </c>
      <c r="C19" s="665">
        <f>'13'!$I$33</f>
        <v>247827.62127659575</v>
      </c>
      <c r="D19" s="665">
        <f>'13'!$I$36</f>
        <v>250118.185106383</v>
      </c>
      <c r="E19" s="665">
        <f>'13'!$I$39</f>
        <v>252348.04680851064</v>
      </c>
      <c r="F19" s="665">
        <f>'13'!$I$42</f>
        <v>256418.91276595744</v>
      </c>
      <c r="G19" s="1754" t="s">
        <v>259</v>
      </c>
    </row>
    <row r="20" spans="1:7" ht="14.25" customHeight="1">
      <c r="A20" s="1753" t="s">
        <v>252</v>
      </c>
      <c r="B20" s="665">
        <v>530.09808321943763</v>
      </c>
      <c r="C20" s="665">
        <f>C19/47109.8*100</f>
        <v>526.06383656181026</v>
      </c>
      <c r="D20" s="665">
        <f>D19/47109.8*100</f>
        <v>530.92601774234436</v>
      </c>
      <c r="E20" s="665">
        <f>E19/47109.8*100</f>
        <v>535.65934648100949</v>
      </c>
      <c r="F20" s="665">
        <f>F19/47109.8*100</f>
        <v>544.30057602867646</v>
      </c>
      <c r="G20" s="1760" t="s">
        <v>253</v>
      </c>
    </row>
    <row r="21" spans="1:7" ht="14.25" customHeight="1">
      <c r="A21" s="1757" t="s">
        <v>260</v>
      </c>
      <c r="B21" s="665">
        <v>110457.4151393019</v>
      </c>
      <c r="C21" s="665">
        <f>'14'!$L$33/0.376-0.03</f>
        <v>110929.54148741181</v>
      </c>
      <c r="D21" s="665">
        <f>'14'!$L$36/0.376+0.1</f>
        <v>112880.58926389161</v>
      </c>
      <c r="E21" s="665">
        <f>'14'!$L$39/0.376+0.04</f>
        <v>115832.35730620612</v>
      </c>
      <c r="F21" s="665">
        <f>ROUND('14'!$L$42,1)/0.376</f>
        <v>117182.71276595743</v>
      </c>
      <c r="G21" s="1754" t="s">
        <v>261</v>
      </c>
    </row>
    <row r="22" spans="1:7" ht="14.25" customHeight="1">
      <c r="A22" s="1753" t="s">
        <v>252</v>
      </c>
      <c r="B22" s="665">
        <v>234.46801968868874</v>
      </c>
      <c r="C22" s="665">
        <f>C21/47109.8*100</f>
        <v>235.47020256382285</v>
      </c>
      <c r="D22" s="665">
        <f>D21/47109.8*100</f>
        <v>239.61169281952291</v>
      </c>
      <c r="E22" s="665">
        <f>E21/47109.8*100</f>
        <v>245.87741256852311</v>
      </c>
      <c r="F22" s="665">
        <f>F21/47109.8*100</f>
        <v>248.7438128923439</v>
      </c>
      <c r="G22" s="1760" t="s">
        <v>253</v>
      </c>
    </row>
    <row r="23" spans="1:7" ht="14.25" customHeight="1">
      <c r="A23" s="1757" t="s">
        <v>262</v>
      </c>
      <c r="B23" s="665">
        <v>139270.712369188</v>
      </c>
      <c r="C23" s="665">
        <f>'28'!$N$33</f>
        <v>136898.13899261274</v>
      </c>
      <c r="D23" s="665">
        <f>'28'!$N$36</f>
        <v>137237.55627338018</v>
      </c>
      <c r="E23" s="665">
        <f>'28'!$N$39</f>
        <v>136515.61440102605</v>
      </c>
      <c r="F23" s="665">
        <f>'28'!$N$42</f>
        <v>139236.24253638773</v>
      </c>
      <c r="G23" s="1754" t="s">
        <v>263</v>
      </c>
    </row>
    <row r="24" spans="1:7" ht="14.25" customHeight="1">
      <c r="A24" s="1753" t="s">
        <v>252</v>
      </c>
      <c r="B24" s="665">
        <v>295.63002256258358</v>
      </c>
      <c r="C24" s="665">
        <f>C23/47109.8*100</f>
        <v>290.59375966914047</v>
      </c>
      <c r="D24" s="665">
        <f>D23/47109.8*100</f>
        <v>291.31424092944604</v>
      </c>
      <c r="E24" s="665">
        <f>E23/47109.8*100</f>
        <v>289.78177449495865</v>
      </c>
      <c r="F24" s="665">
        <f>F23/47109.8*100</f>
        <v>295.55685342834767</v>
      </c>
      <c r="G24" s="1760" t="s">
        <v>253</v>
      </c>
    </row>
    <row r="25" spans="1:7" ht="14.25" customHeight="1">
      <c r="A25" s="1757" t="s">
        <v>264</v>
      </c>
      <c r="B25" s="665">
        <v>62310.517464727287</v>
      </c>
      <c r="C25" s="665">
        <f>'32'!$O$33</f>
        <v>63354.368029157165</v>
      </c>
      <c r="D25" s="665">
        <f>'32'!$O$36</f>
        <v>61516.068367383152</v>
      </c>
      <c r="E25" s="665">
        <f>'32'!$O$39</f>
        <v>64470.311352506018</v>
      </c>
      <c r="F25" s="665">
        <f>'32'!$O$42</f>
        <v>66539.563279820111</v>
      </c>
      <c r="G25" s="1754" t="s">
        <v>265</v>
      </c>
    </row>
    <row r="26" spans="1:7" ht="14.25" customHeight="1">
      <c r="A26" s="1753" t="s">
        <v>252</v>
      </c>
      <c r="B26" s="665">
        <v>132.2665718485905</v>
      </c>
      <c r="C26" s="665">
        <f>C25/47109.8*100</f>
        <v>134.48235405193222</v>
      </c>
      <c r="D26" s="665">
        <f>D25/47109.8*100</f>
        <v>130.58019428522971</v>
      </c>
      <c r="E26" s="665">
        <f>E25/47109.8*100</f>
        <v>136.85116759677607</v>
      </c>
      <c r="F26" s="665">
        <f>F25/47109.8*100</f>
        <v>141.24356987255328</v>
      </c>
      <c r="G26" s="1760" t="s">
        <v>253</v>
      </c>
    </row>
    <row r="27" spans="1:7" ht="14.25" customHeight="1">
      <c r="A27" s="1757" t="s">
        <v>266</v>
      </c>
      <c r="B27" s="665">
        <v>93477.235957446814</v>
      </c>
      <c r="C27" s="665">
        <f>'13'!$G$33</f>
        <v>89898.948936170214</v>
      </c>
      <c r="D27" s="665">
        <f>'13'!$G$36</f>
        <v>94345.45319148936</v>
      </c>
      <c r="E27" s="665">
        <f>'13'!$G$39</f>
        <v>96226.619148936166</v>
      </c>
      <c r="F27" s="665">
        <f>'13'!$G$42</f>
        <v>96391.734042553187</v>
      </c>
      <c r="G27" s="1754" t="s">
        <v>267</v>
      </c>
    </row>
    <row r="28" spans="1:7" ht="14.25" customHeight="1">
      <c r="A28" s="1753" t="s">
        <v>252</v>
      </c>
      <c r="B28" s="665">
        <v>198.42418341289246</v>
      </c>
      <c r="C28" s="665">
        <f>C27/47109.8*100</f>
        <v>190.82855146099158</v>
      </c>
      <c r="D28" s="665">
        <f>D27/47109.8*100</f>
        <v>200.26714864314718</v>
      </c>
      <c r="E28" s="665">
        <f>E27/47109.8*100</f>
        <v>204.26030072073362</v>
      </c>
      <c r="F28" s="665">
        <f>F27/47109.8*100</f>
        <v>204.61079020193927</v>
      </c>
      <c r="G28" s="1760" t="s">
        <v>253</v>
      </c>
    </row>
    <row r="29" spans="1:7" ht="14.25" customHeight="1">
      <c r="A29" s="1761" t="s">
        <v>268</v>
      </c>
      <c r="B29" s="665">
        <v>174554.87872340425</v>
      </c>
      <c r="C29" s="665">
        <f>'13'!$O$33</f>
        <v>174784.4170212766</v>
      </c>
      <c r="D29" s="665">
        <f>'13'!$O$36</f>
        <v>175117.56808510638</v>
      </c>
      <c r="E29" s="665">
        <f>'13'!$O$39</f>
        <v>177026.82765957445</v>
      </c>
      <c r="F29" s="665">
        <f>'13'!$O$42</f>
        <v>181642.96382978722</v>
      </c>
      <c r="G29" s="1754" t="s">
        <v>269</v>
      </c>
    </row>
    <row r="30" spans="1:7" ht="14.25" customHeight="1">
      <c r="A30" s="1762" t="s">
        <v>270</v>
      </c>
      <c r="B30" s="665">
        <v>69.897959422752379</v>
      </c>
      <c r="C30" s="665">
        <f>(C29/C19)*100</f>
        <v>70.526608826303104</v>
      </c>
      <c r="D30" s="665">
        <f>(D29/D19)*100</f>
        <v>70.013928819539245</v>
      </c>
      <c r="E30" s="665">
        <f>(E29/E19)*100</f>
        <v>70.151851737496415</v>
      </c>
      <c r="F30" s="665">
        <f>(F29/F19)*100</f>
        <v>70.838364405506681</v>
      </c>
      <c r="G30" s="1760" t="s">
        <v>271</v>
      </c>
    </row>
    <row r="31" spans="1:7" ht="14.25" customHeight="1">
      <c r="A31" s="1753" t="s">
        <v>252</v>
      </c>
      <c r="B31" s="665">
        <v>370.52774310951065</v>
      </c>
      <c r="C31" s="665">
        <f>C29/47109.8*100</f>
        <v>371.01498418859052</v>
      </c>
      <c r="D31" s="665">
        <f>D29/47109.8*100</f>
        <v>371.72216414653928</v>
      </c>
      <c r="E31" s="665">
        <f>E29/47109.8*100</f>
        <v>375.77495056140003</v>
      </c>
      <c r="F31" s="665">
        <f>F29/47109.8*100</f>
        <v>385.57362550846574</v>
      </c>
      <c r="G31" s="1760" t="s">
        <v>253</v>
      </c>
    </row>
    <row r="32" spans="1:7" ht="14.25" customHeight="1">
      <c r="A32" s="1757" t="s">
        <v>272</v>
      </c>
      <c r="B32" s="665">
        <v>28955.285107157222</v>
      </c>
      <c r="C32" s="665">
        <v>29347.297030995906</v>
      </c>
      <c r="D32" s="665">
        <v>28852.590032885713</v>
      </c>
      <c r="E32" s="665">
        <v>29806.525678710448</v>
      </c>
      <c r="F32" s="665">
        <v>30704.381931481897</v>
      </c>
      <c r="G32" s="1754" t="s">
        <v>273</v>
      </c>
    </row>
    <row r="33" spans="1:7" ht="14.25" customHeight="1">
      <c r="A33" s="1762" t="s">
        <v>274</v>
      </c>
      <c r="B33" s="1763">
        <v>11.594722291900833</v>
      </c>
      <c r="C33" s="1763">
        <f>C32/C19%</f>
        <v>11.8418184703641</v>
      </c>
      <c r="D33" s="1763">
        <f>D32/D19%</f>
        <v>11.535582676890852</v>
      </c>
      <c r="E33" s="1763">
        <f>E32/E19%</f>
        <v>11.811672828729497</v>
      </c>
      <c r="F33" s="1763">
        <f>F32/F19%</f>
        <v>11.974304703298882</v>
      </c>
      <c r="G33" s="1764" t="s">
        <v>275</v>
      </c>
    </row>
    <row r="34" spans="1:7" ht="20.25" customHeight="1">
      <c r="A34" s="1755" t="s">
        <v>276</v>
      </c>
      <c r="B34" s="769"/>
      <c r="C34" s="769"/>
      <c r="D34" s="769"/>
      <c r="E34" s="769"/>
      <c r="F34" s="769"/>
      <c r="G34" s="1756" t="s">
        <v>31</v>
      </c>
    </row>
    <row r="35" spans="1:7" ht="14.25" customHeight="1">
      <c r="A35" s="1757" t="s">
        <v>277</v>
      </c>
      <c r="B35" s="665">
        <v>-4089.3000000000011</v>
      </c>
      <c r="C35" s="665">
        <f>'16'!$J$33</f>
        <v>-4223.7000000000007</v>
      </c>
      <c r="D35" s="665">
        <f>'16'!$J$36</f>
        <v>-4572.7000000000007</v>
      </c>
      <c r="E35" s="665">
        <f>'16'!$J$39</f>
        <v>-5184.1000000000004</v>
      </c>
      <c r="F35" s="665">
        <f>'16'!$J$42</f>
        <v>-5115.7000000000007</v>
      </c>
      <c r="G35" s="1754" t="s">
        <v>278</v>
      </c>
    </row>
    <row r="36" spans="1:7" ht="14.25" customHeight="1">
      <c r="A36" s="1757" t="s">
        <v>279</v>
      </c>
      <c r="B36" s="665">
        <v>16074.5</v>
      </c>
      <c r="C36" s="665">
        <f>ROUND('19'!$K$33,1)+ROUND('19'!$L$33,1)</f>
        <v>15679.8</v>
      </c>
      <c r="D36" s="665">
        <f>ROUND('19'!$K$36,1)+ROUND('19'!$L$36,1)</f>
        <v>15831.5</v>
      </c>
      <c r="E36" s="665">
        <f>ROUND('19'!$K$39,1)+ROUND('19'!$L$39,1)</f>
        <v>15783.5</v>
      </c>
      <c r="F36" s="665">
        <f>ROUND('19'!$K$42,1)+ROUND('19'!$L$42,1)</f>
        <v>15777.2</v>
      </c>
      <c r="G36" s="1754" t="s">
        <v>280</v>
      </c>
    </row>
    <row r="37" spans="1:7" ht="14.25" customHeight="1">
      <c r="A37" s="1753" t="s">
        <v>252</v>
      </c>
      <c r="B37" s="665">
        <v>90.748194859230068</v>
      </c>
      <c r="C37" s="665">
        <f>C36/17713.3*100</f>
        <v>88.519925705543287</v>
      </c>
      <c r="D37" s="665">
        <f>D36/17713.3*100</f>
        <v>89.376344328837661</v>
      </c>
      <c r="E37" s="665">
        <f>E36/17713.3*100</f>
        <v>89.105361508019399</v>
      </c>
      <c r="F37" s="665">
        <f>F36/17713.3*100</f>
        <v>89.069795012787012</v>
      </c>
      <c r="G37" s="1760" t="s">
        <v>253</v>
      </c>
    </row>
    <row r="38" spans="1:7" ht="14.25" customHeight="1">
      <c r="A38" s="1765" t="s">
        <v>281</v>
      </c>
      <c r="B38" s="665">
        <v>12164.677245830258</v>
      </c>
      <c r="C38" s="665">
        <f>'20'!$L$33</f>
        <v>12321.880044577063</v>
      </c>
      <c r="D38" s="665">
        <f>'20'!$L$36</f>
        <v>12607.389288370905</v>
      </c>
      <c r="E38" s="665">
        <f>'20'!$L$39</f>
        <v>12477.506100759178</v>
      </c>
      <c r="F38" s="665">
        <f>'20'!$L$42</f>
        <v>12746.785557590629</v>
      </c>
      <c r="G38" s="1754" t="s">
        <v>282</v>
      </c>
    </row>
    <row r="39" spans="1:7" ht="14.25" customHeight="1">
      <c r="A39" s="1753" t="s">
        <v>252</v>
      </c>
      <c r="B39" s="665">
        <v>68.675386550390144</v>
      </c>
      <c r="C39" s="665">
        <f>C38/17713.3*100</f>
        <v>69.56287108882627</v>
      </c>
      <c r="D39" s="665">
        <f>D38/17713.3*100</f>
        <v>71.174706510762562</v>
      </c>
      <c r="E39" s="665">
        <f>E38/17713.3*100</f>
        <v>70.441454165848143</v>
      </c>
      <c r="F39" s="665">
        <f>F38/17713.3*100</f>
        <v>71.961664724193852</v>
      </c>
      <c r="G39" s="1760" t="s">
        <v>253</v>
      </c>
    </row>
    <row r="40" spans="1:7" s="1743" customFormat="1" ht="20.25" customHeight="1">
      <c r="A40" s="1766" t="s">
        <v>283</v>
      </c>
      <c r="B40" s="1767"/>
      <c r="C40" s="1767"/>
      <c r="D40" s="1767"/>
      <c r="E40" s="1767"/>
      <c r="F40" s="1767"/>
      <c r="G40" s="1768" t="s">
        <v>284</v>
      </c>
    </row>
    <row r="41" spans="1:7" ht="14.25" customHeight="1">
      <c r="A41" s="1769"/>
      <c r="B41" s="1090"/>
      <c r="C41" s="1090"/>
      <c r="D41" s="1090"/>
      <c r="E41" s="1090"/>
      <c r="F41" s="1090"/>
      <c r="G41" s="1770"/>
    </row>
    <row r="42" spans="1:7" ht="14.25" customHeight="1">
      <c r="A42" s="1769"/>
      <c r="B42" s="792"/>
      <c r="C42" s="792"/>
      <c r="D42" s="792"/>
      <c r="E42" s="792"/>
      <c r="F42" s="792"/>
      <c r="G42" s="1770"/>
    </row>
    <row r="43" spans="1:7" ht="14.25" customHeight="1">
      <c r="A43" s="1769"/>
      <c r="G43" s="1770"/>
    </row>
    <row r="44" spans="1:7" ht="14.25" customHeight="1">
      <c r="A44" s="1769"/>
      <c r="G44" s="1770"/>
    </row>
    <row r="45" spans="1:7" s="1743" customFormat="1" ht="20.25" customHeight="1">
      <c r="A45" s="1741" t="s">
        <v>228</v>
      </c>
      <c r="B45" s="1742"/>
      <c r="C45" s="1742"/>
      <c r="D45" s="1742"/>
      <c r="E45" s="1742"/>
      <c r="F45" s="1742"/>
      <c r="G45" s="1742"/>
    </row>
    <row r="46" spans="1:7" s="1743" customFormat="1" ht="18">
      <c r="A46" s="1744" t="s">
        <v>229</v>
      </c>
      <c r="B46" s="1742"/>
      <c r="C46" s="1742"/>
      <c r="D46" s="1742"/>
      <c r="E46" s="1742"/>
      <c r="F46" s="1742"/>
      <c r="G46" s="1742"/>
    </row>
    <row r="48" spans="1:7" s="1743" customFormat="1" ht="18" customHeight="1">
      <c r="A48" s="1880" t="s">
        <v>230</v>
      </c>
      <c r="B48" s="1745">
        <v>2024</v>
      </c>
      <c r="C48" s="1745"/>
      <c r="D48" s="1745">
        <v>2025</v>
      </c>
      <c r="E48" s="1745"/>
      <c r="F48" s="1745"/>
      <c r="G48" s="1883" t="s">
        <v>231</v>
      </c>
    </row>
    <row r="49" spans="1:7" s="1747" customFormat="1" ht="14.85" customHeight="1">
      <c r="A49" s="1881"/>
      <c r="B49" s="1746" t="s">
        <v>232</v>
      </c>
      <c r="C49" s="1746" t="s">
        <v>232</v>
      </c>
      <c r="D49" s="1746" t="s">
        <v>232</v>
      </c>
      <c r="E49" s="1746" t="s">
        <v>232</v>
      </c>
      <c r="F49" s="1746" t="s">
        <v>232</v>
      </c>
      <c r="G49" s="1884"/>
    </row>
    <row r="50" spans="1:7" s="1747" customFormat="1" ht="14.85" customHeight="1">
      <c r="A50" s="1881"/>
      <c r="B50" s="1748" t="s">
        <v>233</v>
      </c>
      <c r="C50" s="1748" t="str">
        <f t="shared" ref="C50:D50" si="0">C6</f>
        <v>الرابع</v>
      </c>
      <c r="D50" s="1748" t="str">
        <f t="shared" si="0"/>
        <v>الأول</v>
      </c>
      <c r="E50" s="1748" t="str">
        <f t="shared" ref="E50:F50" si="1">E6</f>
        <v>الثاني</v>
      </c>
      <c r="F50" s="1748" t="str">
        <f t="shared" si="1"/>
        <v>الثالث</v>
      </c>
      <c r="G50" s="1884"/>
    </row>
    <row r="51" spans="1:7" s="1743" customFormat="1" ht="14.85" customHeight="1">
      <c r="A51" s="1882"/>
      <c r="B51" s="1749" t="s">
        <v>237</v>
      </c>
      <c r="C51" s="1749" t="str">
        <f t="shared" ref="C51:D51" si="2">C7</f>
        <v>Q4</v>
      </c>
      <c r="D51" s="1749" t="str">
        <f t="shared" si="2"/>
        <v>Q1</v>
      </c>
      <c r="E51" s="1749" t="str">
        <f t="shared" ref="E51:F51" si="3">E7</f>
        <v>Q2</v>
      </c>
      <c r="F51" s="1749" t="str">
        <f t="shared" si="3"/>
        <v>Q3</v>
      </c>
      <c r="G51" s="1885"/>
    </row>
    <row r="52" spans="1:7" ht="20.25" customHeight="1">
      <c r="A52" s="1755" t="s">
        <v>285</v>
      </c>
      <c r="B52" s="1771"/>
      <c r="C52" s="1771"/>
      <c r="D52" s="1771"/>
      <c r="E52" s="1771"/>
      <c r="F52" s="1771"/>
      <c r="G52" s="1756" t="s">
        <v>286</v>
      </c>
    </row>
    <row r="53" spans="1:7" ht="14.25" customHeight="1">
      <c r="A53" s="1757" t="s">
        <v>287</v>
      </c>
      <c r="B53" s="1772">
        <v>5.1826455096659263</v>
      </c>
      <c r="C53" s="1772">
        <f>'7'!$R$33</f>
        <v>5.1575504663992779</v>
      </c>
      <c r="D53" s="1772">
        <f>'7'!$R$36</f>
        <v>4.8894369612421249</v>
      </c>
      <c r="E53" s="1772">
        <f>'7'!$R$39</f>
        <v>4.938767689781181</v>
      </c>
      <c r="F53" s="1772">
        <f>'7'!$R$42</f>
        <v>4.8709867170648486</v>
      </c>
      <c r="G53" s="1754" t="s">
        <v>288</v>
      </c>
    </row>
    <row r="54" spans="1:7" ht="14.25" customHeight="1">
      <c r="A54" s="1757" t="s">
        <v>289</v>
      </c>
      <c r="B54" s="1772">
        <v>6.5410420754638405</v>
      </c>
      <c r="C54" s="1772">
        <f>'7'!$K$33</f>
        <v>6.5559913750279195</v>
      </c>
      <c r="D54" s="1772">
        <f>'7'!$K$36</f>
        <v>7.8072850788277925</v>
      </c>
      <c r="E54" s="1772">
        <f>'7'!$K$39</f>
        <v>6.597520196513238</v>
      </c>
      <c r="F54" s="1772">
        <f>'7'!$K$42</f>
        <v>6.0520034513959535</v>
      </c>
      <c r="G54" s="1754" t="s">
        <v>290</v>
      </c>
    </row>
    <row r="55" spans="1:7" ht="14.25" customHeight="1">
      <c r="A55" s="1757" t="s">
        <v>291</v>
      </c>
      <c r="B55" s="1772">
        <v>2.4355558612611565</v>
      </c>
      <c r="C55" s="1772">
        <f>'7'!$F$33</f>
        <v>2.2005299387286597</v>
      </c>
      <c r="D55" s="1772">
        <f>'7'!$F$36</f>
        <v>2.0886229140775878</v>
      </c>
      <c r="E55" s="1772">
        <f>'7'!$F$39</f>
        <v>2.1509768907584985</v>
      </c>
      <c r="F55" s="1772">
        <f>'7'!$F$42</f>
        <v>2.0101091771880517</v>
      </c>
      <c r="G55" s="1754" t="s">
        <v>292</v>
      </c>
    </row>
    <row r="56" spans="1:7" ht="20.25" customHeight="1">
      <c r="A56" s="1755" t="s">
        <v>293</v>
      </c>
      <c r="B56" s="769"/>
      <c r="C56" s="769"/>
      <c r="D56" s="769"/>
      <c r="E56" s="769"/>
      <c r="F56" s="769"/>
      <c r="G56" s="1773" t="s">
        <v>1772</v>
      </c>
    </row>
    <row r="57" spans="1:7" ht="14.25" customHeight="1">
      <c r="A57" s="1753" t="s">
        <v>294</v>
      </c>
      <c r="B57" s="1772">
        <v>5.12</v>
      </c>
      <c r="C57" s="1772">
        <v>4.5199999999999996</v>
      </c>
      <c r="D57" s="1772">
        <v>4.3</v>
      </c>
      <c r="E57" s="1772">
        <v>4.29</v>
      </c>
      <c r="F57" s="1772">
        <v>4.22</v>
      </c>
      <c r="G57" s="1760" t="s">
        <v>295</v>
      </c>
    </row>
    <row r="58" spans="1:7" ht="14.25" customHeight="1">
      <c r="A58" s="1753" t="s">
        <v>296</v>
      </c>
      <c r="B58" s="1772">
        <v>4.82</v>
      </c>
      <c r="C58" s="1772">
        <v>4.3780000000000001</v>
      </c>
      <c r="D58" s="1772">
        <v>4.2550670000000004</v>
      </c>
      <c r="E58" s="1772">
        <v>4.21</v>
      </c>
      <c r="F58" s="1772">
        <v>4.0406000000000004</v>
      </c>
      <c r="G58" s="1760" t="s">
        <v>297</v>
      </c>
    </row>
    <row r="59" spans="1:7" ht="14.25" customHeight="1">
      <c r="A59" s="1757" t="s">
        <v>298</v>
      </c>
      <c r="B59" s="1772">
        <v>6.83</v>
      </c>
      <c r="C59" s="1772">
        <v>6.25</v>
      </c>
      <c r="D59" s="1772">
        <v>6</v>
      </c>
      <c r="E59" s="1772">
        <v>6</v>
      </c>
      <c r="F59" s="1772">
        <v>5.9160000000000004</v>
      </c>
      <c r="G59" s="1754" t="s">
        <v>299</v>
      </c>
    </row>
    <row r="60" spans="1:7" ht="20.25" customHeight="1">
      <c r="A60" s="1755" t="s">
        <v>300</v>
      </c>
      <c r="B60" s="1774"/>
      <c r="C60" s="1774"/>
      <c r="D60" s="1774"/>
      <c r="E60" s="1774"/>
      <c r="F60" s="1774"/>
      <c r="G60" s="1773" t="s">
        <v>1773</v>
      </c>
    </row>
    <row r="61" spans="1:7" ht="14.25" customHeight="1">
      <c r="A61" s="1753" t="s">
        <v>294</v>
      </c>
      <c r="B61" s="1772">
        <v>6.23</v>
      </c>
      <c r="C61" s="1772">
        <v>5.85</v>
      </c>
      <c r="D61" s="1772">
        <v>5.38</v>
      </c>
      <c r="E61" s="1772">
        <v>5.25</v>
      </c>
      <c r="F61" s="1772">
        <v>5.26</v>
      </c>
      <c r="G61" s="1760" t="s">
        <v>295</v>
      </c>
    </row>
    <row r="62" spans="1:7" ht="14.25" customHeight="1">
      <c r="A62" s="1753" t="s">
        <v>296</v>
      </c>
      <c r="B62" s="1772">
        <v>5.99</v>
      </c>
      <c r="C62" s="1772">
        <v>5.68</v>
      </c>
      <c r="D62" s="1772">
        <v>5.3566669999999998</v>
      </c>
      <c r="E62" s="1772">
        <v>5.38</v>
      </c>
      <c r="F62" s="1772">
        <v>5.2670000000000003</v>
      </c>
      <c r="G62" s="1760" t="s">
        <v>297</v>
      </c>
    </row>
    <row r="63" spans="1:7" ht="14.25" customHeight="1">
      <c r="A63" s="1753" t="s">
        <v>301</v>
      </c>
      <c r="B63" s="1772">
        <v>5.74</v>
      </c>
      <c r="C63" s="1772">
        <v>5.41</v>
      </c>
      <c r="D63" s="1772">
        <v>5.1666670000000003</v>
      </c>
      <c r="E63" s="1772">
        <v>5.1433330000000002</v>
      </c>
      <c r="F63" s="1772">
        <v>5.13</v>
      </c>
      <c r="G63" s="1760" t="s">
        <v>302</v>
      </c>
    </row>
    <row r="64" spans="1:7" ht="14.25" customHeight="1">
      <c r="A64" s="1757" t="s">
        <v>303</v>
      </c>
      <c r="B64" s="1772">
        <v>6.1130000000000004</v>
      </c>
      <c r="C64" s="1772">
        <v>5.7930000000000001</v>
      </c>
      <c r="D64" s="1772">
        <v>5.4269999999999996</v>
      </c>
      <c r="E64" s="1772">
        <v>5.2530000000000001</v>
      </c>
      <c r="F64" s="1772">
        <v>5.3029999999999999</v>
      </c>
      <c r="G64" s="1754" t="s">
        <v>304</v>
      </c>
    </row>
    <row r="65" spans="1:7" ht="14.25" customHeight="1">
      <c r="A65" s="1757" t="s">
        <v>305</v>
      </c>
      <c r="B65" s="1772">
        <v>6.093</v>
      </c>
      <c r="C65" s="1772">
        <v>5.673</v>
      </c>
      <c r="D65" s="1772">
        <v>5.4569999999999999</v>
      </c>
      <c r="E65" s="1772">
        <v>5.2930000000000001</v>
      </c>
      <c r="F65" s="1772">
        <v>5.3233329999999999</v>
      </c>
      <c r="G65" s="1754" t="s">
        <v>306</v>
      </c>
    </row>
    <row r="66" spans="1:7" ht="25.5">
      <c r="A66" s="1775" t="s">
        <v>307</v>
      </c>
      <c r="B66" s="1772">
        <v>6</v>
      </c>
      <c r="C66" s="1772">
        <v>5.875</v>
      </c>
      <c r="D66" s="1772">
        <v>5.875</v>
      </c>
      <c r="E66" s="1772">
        <v>6.25</v>
      </c>
      <c r="F66" s="1772">
        <v>5.875</v>
      </c>
      <c r="G66" s="1754" t="s">
        <v>308</v>
      </c>
    </row>
    <row r="67" spans="1:7" ht="20.25" customHeight="1">
      <c r="A67" s="1755" t="s">
        <v>309</v>
      </c>
      <c r="B67" s="1774"/>
      <c r="C67" s="1774"/>
      <c r="D67" s="1774"/>
      <c r="E67" s="1774"/>
      <c r="F67" s="1774"/>
      <c r="G67" s="1773" t="s">
        <v>1774</v>
      </c>
    </row>
    <row r="68" spans="1:7" ht="25.5">
      <c r="A68" s="1775" t="s">
        <v>310</v>
      </c>
      <c r="B68" s="1772">
        <v>5.875</v>
      </c>
      <c r="C68" s="1772">
        <v>5.5</v>
      </c>
      <c r="D68" s="1772">
        <v>5.625</v>
      </c>
      <c r="E68" s="1772">
        <v>6.4580000000000002</v>
      </c>
      <c r="F68" s="1772">
        <v>5.875</v>
      </c>
      <c r="G68" s="1754" t="s">
        <v>311</v>
      </c>
    </row>
    <row r="69" spans="1:7" ht="20.25" customHeight="1">
      <c r="A69" s="1755" t="s">
        <v>312</v>
      </c>
      <c r="B69" s="1776"/>
      <c r="C69" s="1776"/>
      <c r="D69" s="1776"/>
      <c r="E69" s="1776"/>
      <c r="F69" s="1776"/>
      <c r="G69" s="1756" t="s">
        <v>313</v>
      </c>
    </row>
    <row r="70" spans="1:7" ht="14.25" customHeight="1">
      <c r="A70" s="1757" t="s">
        <v>97</v>
      </c>
      <c r="B70" s="1777">
        <v>14687</v>
      </c>
      <c r="C70" s="1777">
        <v>14787</v>
      </c>
      <c r="D70" s="1777">
        <v>14892</v>
      </c>
      <c r="E70" s="1777">
        <v>14947</v>
      </c>
      <c r="F70" s="1777">
        <v>14971</v>
      </c>
      <c r="G70" s="1754" t="s">
        <v>98</v>
      </c>
    </row>
    <row r="71" spans="1:7" ht="14.25" customHeight="1">
      <c r="A71" s="1761" t="s">
        <v>314</v>
      </c>
      <c r="B71" s="1778">
        <v>69.3</v>
      </c>
      <c r="C71" s="1778">
        <v>69.434856175972925</v>
      </c>
      <c r="D71" s="1778">
        <v>69.599999999999994</v>
      </c>
      <c r="E71" s="1778">
        <v>69.5</v>
      </c>
      <c r="F71" s="1778">
        <v>69.7</v>
      </c>
      <c r="G71" s="1754" t="s">
        <v>315</v>
      </c>
    </row>
    <row r="72" spans="1:7" ht="20.25" customHeight="1">
      <c r="A72" s="1755" t="s">
        <v>316</v>
      </c>
      <c r="B72" s="1776"/>
      <c r="C72" s="1776"/>
      <c r="D72" s="1776"/>
      <c r="E72" s="1776"/>
      <c r="F72" s="1776"/>
      <c r="G72" s="1756" t="s">
        <v>317</v>
      </c>
    </row>
    <row r="73" spans="1:7" ht="14.25" customHeight="1">
      <c r="A73" s="1757" t="s">
        <v>318</v>
      </c>
      <c r="B73" s="1779">
        <v>367</v>
      </c>
      <c r="C73" s="1779">
        <v>367</v>
      </c>
      <c r="D73" s="1779">
        <v>368</v>
      </c>
      <c r="E73" s="1779">
        <v>369</v>
      </c>
      <c r="F73" s="1779">
        <v>375</v>
      </c>
      <c r="G73" s="1754" t="s">
        <v>319</v>
      </c>
    </row>
    <row r="74" spans="1:7" ht="14.25" customHeight="1">
      <c r="A74" s="1757" t="s">
        <v>320</v>
      </c>
      <c r="B74" s="1779">
        <v>2</v>
      </c>
      <c r="C74" s="1779">
        <v>2</v>
      </c>
      <c r="D74" s="1779">
        <v>6</v>
      </c>
      <c r="E74" s="1779">
        <v>1</v>
      </c>
      <c r="F74" s="1779">
        <v>6</v>
      </c>
      <c r="G74" s="1754" t="s">
        <v>321</v>
      </c>
    </row>
    <row r="75" spans="1:7" ht="20.25" customHeight="1">
      <c r="A75" s="1755" t="s">
        <v>115</v>
      </c>
      <c r="B75" s="1776"/>
      <c r="C75" s="1776"/>
      <c r="D75" s="1776"/>
      <c r="E75" s="1776"/>
      <c r="F75" s="1776"/>
      <c r="G75" s="1756" t="s">
        <v>116</v>
      </c>
    </row>
    <row r="76" spans="1:7" ht="14.25" customHeight="1">
      <c r="A76" s="1757" t="s">
        <v>322</v>
      </c>
      <c r="B76" s="1777">
        <v>1723</v>
      </c>
      <c r="C76" s="1777">
        <v>1741</v>
      </c>
      <c r="D76" s="1777">
        <v>1737</v>
      </c>
      <c r="E76" s="1777">
        <v>1733</v>
      </c>
      <c r="F76" s="1777">
        <v>1750</v>
      </c>
      <c r="G76" s="1754" t="s">
        <v>323</v>
      </c>
    </row>
    <row r="77" spans="1:7" ht="14.25" customHeight="1">
      <c r="A77" s="1757" t="s">
        <v>324</v>
      </c>
      <c r="B77" s="1779">
        <v>29</v>
      </c>
      <c r="C77" s="1779">
        <v>32</v>
      </c>
      <c r="D77" s="1779">
        <v>16</v>
      </c>
      <c r="E77" s="1779">
        <v>17</v>
      </c>
      <c r="F77" s="1779">
        <v>32</v>
      </c>
      <c r="G77" s="1754" t="s">
        <v>325</v>
      </c>
    </row>
    <row r="78" spans="1:7" ht="14.25" customHeight="1">
      <c r="A78" s="1761" t="s">
        <v>326</v>
      </c>
      <c r="B78" s="665">
        <v>11232.12</v>
      </c>
      <c r="C78" s="665">
        <f>'59'!$E$31/1000</f>
        <v>11169.114</v>
      </c>
      <c r="D78" s="665">
        <f>'59'!$E$35/1000</f>
        <v>11269.263999999999</v>
      </c>
      <c r="E78" s="665">
        <f>'59'!$E$39/1000</f>
        <v>10914.909</v>
      </c>
      <c r="F78" s="665">
        <f>'59'!$E$43/1000</f>
        <v>11138.686</v>
      </c>
      <c r="G78" s="1780" t="s">
        <v>327</v>
      </c>
    </row>
    <row r="79" spans="1:7" ht="20.25" customHeight="1">
      <c r="A79" s="1755" t="s">
        <v>328</v>
      </c>
      <c r="B79" s="1781"/>
      <c r="C79" s="1781"/>
      <c r="D79" s="1781"/>
      <c r="E79" s="1781"/>
      <c r="F79" s="1781"/>
      <c r="G79" s="1782" t="s">
        <v>329</v>
      </c>
    </row>
    <row r="80" spans="1:7" ht="14.25" customHeight="1">
      <c r="A80" s="1757" t="s">
        <v>26</v>
      </c>
      <c r="B80" s="665">
        <v>15952.2</v>
      </c>
      <c r="C80" s="665">
        <f>'12'!$Q$33</f>
        <v>16610.2</v>
      </c>
      <c r="D80" s="665">
        <f>'12'!$Q$36</f>
        <v>16090.6</v>
      </c>
      <c r="E80" s="665">
        <f>'12'!$Q$39</f>
        <v>17330.599999999999</v>
      </c>
      <c r="F80" s="665">
        <f>'12'!$Q$42</f>
        <v>18544.8</v>
      </c>
      <c r="G80" s="1754" t="s">
        <v>27</v>
      </c>
    </row>
    <row r="81" spans="1:7" ht="14.25" customHeight="1">
      <c r="A81" s="1753" t="s">
        <v>330</v>
      </c>
      <c r="B81" s="1778">
        <v>90.057753213686894</v>
      </c>
      <c r="C81" s="1778">
        <f>C80/17713.3*100</f>
        <v>93.772476049070491</v>
      </c>
      <c r="D81" s="1778">
        <f>D80/17713.3*100</f>
        <v>90.839087013712856</v>
      </c>
      <c r="E81" s="1778">
        <f>E80/17713.3*100</f>
        <v>97.839476551517777</v>
      </c>
      <c r="F81" s="1778">
        <f>F80/17713.3*100</f>
        <v>104.69421282313289</v>
      </c>
      <c r="G81" s="1760" t="s">
        <v>331</v>
      </c>
    </row>
    <row r="82" spans="1:7" ht="14.25" customHeight="1">
      <c r="A82" s="1753" t="s">
        <v>332</v>
      </c>
      <c r="B82" s="665">
        <v>10087</v>
      </c>
      <c r="C82" s="665">
        <f>'12'!$E$33</f>
        <v>10463</v>
      </c>
      <c r="D82" s="665">
        <f>'12'!$E$36</f>
        <v>10513</v>
      </c>
      <c r="E82" s="665">
        <f>'12'!$E$39</f>
        <v>11095</v>
      </c>
      <c r="F82" s="665">
        <f>'12'!$E$42</f>
        <v>11375</v>
      </c>
      <c r="G82" s="1760" t="s">
        <v>333</v>
      </c>
    </row>
    <row r="83" spans="1:7" ht="14.25" customHeight="1">
      <c r="A83" s="1753" t="s">
        <v>334</v>
      </c>
      <c r="B83" s="665">
        <v>2110</v>
      </c>
      <c r="C83" s="665">
        <f>'12'!$H$33</f>
        <v>2110</v>
      </c>
      <c r="D83" s="665">
        <f>'12'!$H$36</f>
        <v>2110</v>
      </c>
      <c r="E83" s="665">
        <f>'12'!$H$39</f>
        <v>2110</v>
      </c>
      <c r="F83" s="665">
        <f>'12'!$H$42</f>
        <v>2110</v>
      </c>
      <c r="G83" s="1760" t="s">
        <v>335</v>
      </c>
    </row>
    <row r="84" spans="1:7" ht="14.25" customHeight="1">
      <c r="A84" s="1753" t="s">
        <v>336</v>
      </c>
      <c r="B84" s="1778">
        <v>129</v>
      </c>
      <c r="C84" s="1778">
        <f>'12'!$O$33</f>
        <v>129</v>
      </c>
      <c r="D84" s="1778">
        <f>'12'!$O$36</f>
        <v>129</v>
      </c>
      <c r="E84" s="1778">
        <f>'12'!$O$39</f>
        <v>129</v>
      </c>
      <c r="F84" s="1778">
        <f>'12'!$O$42</f>
        <v>150</v>
      </c>
      <c r="G84" s="1760" t="s">
        <v>337</v>
      </c>
    </row>
    <row r="85" spans="1:7" ht="14.25" customHeight="1">
      <c r="A85" s="1753" t="s">
        <v>338</v>
      </c>
      <c r="B85" s="665">
        <v>3626.2</v>
      </c>
      <c r="C85" s="665">
        <f>'12'!$L$33</f>
        <v>3908.2</v>
      </c>
      <c r="D85" s="665">
        <f>'12'!$L$36</f>
        <v>3338.6</v>
      </c>
      <c r="E85" s="665">
        <f>'12'!$L$39</f>
        <v>3996.6</v>
      </c>
      <c r="F85" s="665">
        <f>'12'!$L$42</f>
        <v>4909.8</v>
      </c>
      <c r="G85" s="1760" t="s">
        <v>339</v>
      </c>
    </row>
    <row r="86" spans="1:7" s="1743" customFormat="1" ht="20.25" customHeight="1">
      <c r="A86" s="1766" t="s">
        <v>340</v>
      </c>
      <c r="B86" s="1767"/>
      <c r="C86" s="1767"/>
      <c r="D86" s="1767"/>
      <c r="E86" s="1767"/>
      <c r="F86" s="1767"/>
      <c r="G86" s="1768" t="s">
        <v>341</v>
      </c>
    </row>
    <row r="87" spans="1:7" s="1743" customFormat="1" ht="20.25" customHeight="1">
      <c r="A87" s="1783"/>
      <c r="B87" s="1742"/>
      <c r="C87" s="1742"/>
      <c r="D87" s="1742"/>
      <c r="E87" s="1742"/>
      <c r="F87" s="1742"/>
      <c r="G87" s="1784"/>
    </row>
    <row r="88" spans="1:7" s="1743" customFormat="1" ht="20.25" customHeight="1">
      <c r="A88" s="1783"/>
      <c r="B88" s="1742"/>
      <c r="C88" s="1742"/>
      <c r="D88" s="1742"/>
      <c r="E88" s="1742"/>
      <c r="F88" s="1742"/>
      <c r="G88" s="1784"/>
    </row>
    <row r="89" spans="1:7" s="1743" customFormat="1" ht="20.25" customHeight="1">
      <c r="A89" s="1741" t="s">
        <v>228</v>
      </c>
      <c r="B89" s="1742"/>
      <c r="C89" s="1742"/>
      <c r="D89" s="1742"/>
      <c r="E89" s="1742"/>
      <c r="F89" s="1742"/>
      <c r="G89" s="1742"/>
    </row>
    <row r="90" spans="1:7" s="1743" customFormat="1" ht="18">
      <c r="A90" s="1744" t="s">
        <v>229</v>
      </c>
      <c r="B90" s="1742"/>
      <c r="C90" s="1742"/>
      <c r="D90" s="1742"/>
      <c r="E90" s="1742"/>
      <c r="F90" s="1742"/>
      <c r="G90" s="1742"/>
    </row>
    <row r="92" spans="1:7" s="1743" customFormat="1" ht="18" customHeight="1">
      <c r="A92" s="1880" t="s">
        <v>230</v>
      </c>
      <c r="B92" s="1745">
        <v>2024</v>
      </c>
      <c r="C92" s="1745"/>
      <c r="D92" s="1745">
        <v>2025</v>
      </c>
      <c r="E92" s="1745"/>
      <c r="F92" s="1745"/>
      <c r="G92" s="1883" t="s">
        <v>231</v>
      </c>
    </row>
    <row r="93" spans="1:7" s="1747" customFormat="1" ht="14.85" customHeight="1">
      <c r="A93" s="1881"/>
      <c r="B93" s="1746" t="s">
        <v>232</v>
      </c>
      <c r="C93" s="1746" t="s">
        <v>232</v>
      </c>
      <c r="D93" s="1746" t="s">
        <v>232</v>
      </c>
      <c r="E93" s="1746" t="s">
        <v>232</v>
      </c>
      <c r="F93" s="1746" t="s">
        <v>232</v>
      </c>
      <c r="G93" s="1884"/>
    </row>
    <row r="94" spans="1:7" s="1747" customFormat="1" ht="14.85" customHeight="1">
      <c r="A94" s="1881"/>
      <c r="B94" s="1748" t="s">
        <v>233</v>
      </c>
      <c r="C94" s="1748" t="str">
        <f t="shared" ref="C94:D94" si="4">C6</f>
        <v>الرابع</v>
      </c>
      <c r="D94" s="1748" t="str">
        <f t="shared" si="4"/>
        <v>الأول</v>
      </c>
      <c r="E94" s="1748" t="str">
        <f t="shared" ref="E94:F94" si="5">E6</f>
        <v>الثاني</v>
      </c>
      <c r="F94" s="1748" t="str">
        <f t="shared" si="5"/>
        <v>الثالث</v>
      </c>
      <c r="G94" s="1884"/>
    </row>
    <row r="95" spans="1:7" s="1743" customFormat="1" ht="14.85" customHeight="1">
      <c r="A95" s="1882"/>
      <c r="B95" s="1749" t="s">
        <v>237</v>
      </c>
      <c r="C95" s="1749" t="str">
        <f t="shared" ref="C95:D95" si="6">C7</f>
        <v>Q4</v>
      </c>
      <c r="D95" s="1749" t="str">
        <f t="shared" si="6"/>
        <v>Q1</v>
      </c>
      <c r="E95" s="1749" t="str">
        <f t="shared" ref="E95:F95" si="7">E7</f>
        <v>Q2</v>
      </c>
      <c r="F95" s="1749" t="str">
        <f t="shared" si="7"/>
        <v>Q3</v>
      </c>
      <c r="G95" s="1885"/>
    </row>
    <row r="96" spans="1:7" ht="20.25" customHeight="1">
      <c r="A96" s="1755" t="s">
        <v>342</v>
      </c>
      <c r="B96" s="1785"/>
      <c r="C96" s="1785"/>
      <c r="D96" s="1785"/>
      <c r="E96" s="1785"/>
      <c r="F96" s="1785"/>
      <c r="G96" s="1756" t="s">
        <v>343</v>
      </c>
    </row>
    <row r="97" spans="1:7" ht="14.25" customHeight="1">
      <c r="A97" s="1757" t="s">
        <v>164</v>
      </c>
      <c r="B97" s="1786">
        <v>0.376</v>
      </c>
      <c r="C97" s="1786">
        <f>'6'!$H$33</f>
        <v>0.376</v>
      </c>
      <c r="D97" s="1786">
        <f>'6'!$H$36</f>
        <v>0.376</v>
      </c>
      <c r="E97" s="1786">
        <f>'6'!$H$39</f>
        <v>0.376</v>
      </c>
      <c r="F97" s="1786">
        <f>'6'!$H$42</f>
        <v>0.376</v>
      </c>
      <c r="G97" s="1754" t="s">
        <v>344</v>
      </c>
    </row>
    <row r="98" spans="1:7" ht="14.25" customHeight="1">
      <c r="A98" s="1757" t="s">
        <v>345</v>
      </c>
      <c r="B98" s="1786">
        <v>0.503328</v>
      </c>
      <c r="C98" s="1786">
        <f>'6'!$I$33</f>
        <v>0.47188799999999997</v>
      </c>
      <c r="D98" s="1786">
        <f>'6'!$I$36</f>
        <v>0.48476900000000001</v>
      </c>
      <c r="E98" s="1786">
        <f>'6'!$I$39</f>
        <v>0.51598299999999997</v>
      </c>
      <c r="F98" s="1786">
        <f>'6'!$I$42</f>
        <v>0.50524599999999997</v>
      </c>
      <c r="G98" s="1754" t="s">
        <v>346</v>
      </c>
    </row>
    <row r="99" spans="1:7" ht="14.25" customHeight="1">
      <c r="A99" s="1757" t="s">
        <v>347</v>
      </c>
      <c r="B99" s="1786">
        <v>0.42008299999999998</v>
      </c>
      <c r="C99" s="1786">
        <f>'6'!$J$33</f>
        <v>0.39125599999999999</v>
      </c>
      <c r="D99" s="1786">
        <f>'6'!$J$36</f>
        <v>0.40451300000000001</v>
      </c>
      <c r="E99" s="1786">
        <f>'6'!$J$39</f>
        <v>0.44108700000000001</v>
      </c>
      <c r="F99" s="1786">
        <f>'6'!$J$42</f>
        <v>0.441162</v>
      </c>
      <c r="G99" s="1754" t="s">
        <v>348</v>
      </c>
    </row>
    <row r="100" spans="1:7" ht="14.25" customHeight="1">
      <c r="A100" s="1757" t="s">
        <v>349</v>
      </c>
      <c r="B100" s="1786">
        <v>2.6340000000000001E-3</v>
      </c>
      <c r="C100" s="1786">
        <f>'6'!$K$33</f>
        <v>2.3999999999999998E-3</v>
      </c>
      <c r="D100" s="1786">
        <f>'6'!$K$36</f>
        <v>2.5000000000000001E-3</v>
      </c>
      <c r="E100" s="1786">
        <f>'6'!$K$39</f>
        <v>2.6029999999999998E-3</v>
      </c>
      <c r="F100" s="1786">
        <f>'6'!$K$42</f>
        <v>2.5300000000000001E-3</v>
      </c>
      <c r="G100" s="1754" t="s">
        <v>350</v>
      </c>
    </row>
    <row r="101" spans="1:7" ht="20.25" customHeight="1">
      <c r="A101" s="1755" t="s">
        <v>105</v>
      </c>
      <c r="B101" s="1776"/>
      <c r="C101" s="1776"/>
      <c r="D101" s="1776"/>
      <c r="E101" s="1776"/>
      <c r="F101" s="1776"/>
      <c r="G101" s="1756" t="s">
        <v>106</v>
      </c>
    </row>
    <row r="102" spans="1:7" ht="14.25" customHeight="1">
      <c r="A102" s="1757" t="s">
        <v>351</v>
      </c>
      <c r="B102" s="665">
        <v>2012.77</v>
      </c>
      <c r="C102" s="665">
        <f>'55'!$H$33</f>
        <v>1985.91</v>
      </c>
      <c r="D102" s="665">
        <f>'55'!$H$36</f>
        <v>1951.37</v>
      </c>
      <c r="E102" s="665">
        <f>'55'!$H$39</f>
        <v>1943.81</v>
      </c>
      <c r="F102" s="665">
        <f>'55'!$H$42</f>
        <v>1948.17</v>
      </c>
      <c r="G102" s="1754" t="s">
        <v>352</v>
      </c>
    </row>
    <row r="103" spans="1:7" ht="14.25" customHeight="1">
      <c r="A103" s="1757" t="s">
        <v>353</v>
      </c>
      <c r="B103" s="665">
        <v>7797.73</v>
      </c>
      <c r="C103" s="665">
        <f>'55'!$I$33</f>
        <v>7693.68</v>
      </c>
      <c r="D103" s="665">
        <f>'55'!$I$36</f>
        <v>7558.81</v>
      </c>
      <c r="E103" s="665">
        <f>'55'!$I$39</f>
        <v>7556.17</v>
      </c>
      <c r="F103" s="665">
        <f>'55'!$I$42</f>
        <v>7573.13</v>
      </c>
      <c r="G103" s="1754" t="s">
        <v>354</v>
      </c>
    </row>
    <row r="104" spans="1:7" ht="14.25" customHeight="1">
      <c r="A104" s="1753" t="s">
        <v>249</v>
      </c>
      <c r="B104" s="665">
        <v>-2.5949756853751333</v>
      </c>
      <c r="C104" s="665">
        <f>(C103-B103)/B103%</f>
        <v>-1.3343626927323629</v>
      </c>
      <c r="D104" s="665">
        <f>(D103-C103)/C103%</f>
        <v>-1.7529972652878711</v>
      </c>
      <c r="E104" s="665">
        <f>(E103-D103)/D103%</f>
        <v>-3.4926132552615126E-2</v>
      </c>
      <c r="F104" s="665">
        <f>(F103-E103)/E103%</f>
        <v>0.22445233497922937</v>
      </c>
      <c r="G104" s="1759" t="s">
        <v>1771</v>
      </c>
    </row>
    <row r="105" spans="1:7" ht="14.25" customHeight="1">
      <c r="A105" s="1757" t="s">
        <v>355</v>
      </c>
      <c r="B105" s="665">
        <v>20738.643617021276</v>
      </c>
      <c r="C105" s="665">
        <f>C103/0.376</f>
        <v>20461.91489361702</v>
      </c>
      <c r="D105" s="665">
        <f>D103/0.376</f>
        <v>20103.218085106382</v>
      </c>
      <c r="E105" s="665">
        <f>E103/0.376</f>
        <v>20096.196808510638</v>
      </c>
      <c r="F105" s="665">
        <f>F103/0.376</f>
        <v>20141.303191489362</v>
      </c>
      <c r="G105" s="1754" t="s">
        <v>356</v>
      </c>
    </row>
    <row r="106" spans="1:7" ht="20.25" customHeight="1">
      <c r="A106" s="1755" t="s">
        <v>357</v>
      </c>
      <c r="B106" s="1776"/>
      <c r="C106" s="1776"/>
      <c r="D106" s="1776"/>
      <c r="E106" s="1776"/>
      <c r="F106" s="1776"/>
      <c r="G106" s="1756" t="s">
        <v>358</v>
      </c>
    </row>
    <row r="107" spans="1:7" ht="14.25" customHeight="1">
      <c r="A107" s="1757" t="s">
        <v>359</v>
      </c>
      <c r="B107" s="665">
        <v>4359.0889202569415</v>
      </c>
      <c r="C107" s="665">
        <v>4670.0047880504317</v>
      </c>
      <c r="D107" s="665">
        <v>4427</v>
      </c>
      <c r="E107" s="665">
        <v>4487.5</v>
      </c>
      <c r="F107" s="665"/>
      <c r="G107" s="1754" t="s">
        <v>360</v>
      </c>
    </row>
    <row r="108" spans="1:7" ht="14.25" hidden="1" customHeight="1">
      <c r="A108" s="1787" t="s">
        <v>361</v>
      </c>
      <c r="B108" s="1788"/>
      <c r="C108" s="1788"/>
      <c r="D108" s="1788"/>
      <c r="E108" s="1788"/>
      <c r="F108" s="1788"/>
      <c r="G108" s="1780" t="s">
        <v>362</v>
      </c>
    </row>
    <row r="109" spans="1:7" ht="20.25" customHeight="1">
      <c r="A109" s="1789" t="s">
        <v>363</v>
      </c>
      <c r="B109" s="380"/>
      <c r="C109" s="380"/>
      <c r="D109" s="380"/>
      <c r="E109" s="380"/>
      <c r="F109" s="380"/>
      <c r="G109" s="1790" t="s">
        <v>364</v>
      </c>
    </row>
    <row r="110" spans="1:7">
      <c r="A110" s="1791"/>
      <c r="G110" s="1792"/>
    </row>
    <row r="111" spans="1:7">
      <c r="G111" s="1793"/>
    </row>
    <row r="121" spans="2:6">
      <c r="B121" s="1090"/>
      <c r="C121" s="1090"/>
      <c r="D121" s="1090"/>
      <c r="E121" s="1090"/>
      <c r="F121" s="1090"/>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tabSelected="1" zoomScale="85" zoomScaleNormal="85" workbookViewId="0">
      <pane ySplit="12" topLeftCell="A27" activePane="bottomLeft" state="frozen"/>
      <selection activeCell="N29" sqref="N29"/>
      <selection pane="bottomLeft" activeCell="N29" sqref="N29"/>
    </sheetView>
  </sheetViews>
  <sheetFormatPr defaultColWidth="8.85546875" defaultRowHeight="12.75"/>
  <cols>
    <col min="1" max="2" width="9.7109375" customWidth="1"/>
    <col min="3" max="3" width="10.28515625" customWidth="1"/>
    <col min="4" max="4" width="12.7109375" customWidth="1"/>
    <col min="5" max="5" width="14" customWidth="1"/>
    <col min="6" max="6" width="14.7109375" customWidth="1"/>
    <col min="7" max="7" width="8.85546875" customWidth="1"/>
    <col min="8" max="8" width="12" customWidth="1"/>
    <col min="9" max="9" width="10.42578125" customWidth="1"/>
    <col min="10" max="10" width="12.7109375" customWidth="1"/>
    <col min="11" max="11" width="14" customWidth="1"/>
    <col min="12" max="12" width="12.7109375" customWidth="1"/>
    <col min="13" max="13" width="9" customWidth="1"/>
    <col min="14" max="14" width="10.7109375" customWidth="1"/>
    <col min="15" max="15" width="12.7109375" customWidth="1"/>
    <col min="16" max="16" width="10.7109375" customWidth="1"/>
  </cols>
  <sheetData>
    <row r="1" spans="1:19" s="8" customFormat="1" ht="18" customHeight="1">
      <c r="A1" s="1465" t="s">
        <v>1744</v>
      </c>
      <c r="B1" s="10"/>
      <c r="C1" s="10"/>
      <c r="D1" s="10"/>
      <c r="E1" s="10"/>
      <c r="F1" s="10"/>
      <c r="G1" s="10"/>
      <c r="H1" s="10"/>
      <c r="I1" s="10"/>
      <c r="J1" s="10"/>
      <c r="K1" s="10"/>
      <c r="L1" s="10"/>
      <c r="M1" s="10"/>
      <c r="N1" s="10"/>
      <c r="O1" s="10"/>
      <c r="P1" s="10"/>
    </row>
    <row r="2" spans="1:19" s="8" customFormat="1" ht="18" customHeight="1">
      <c r="A2" s="1463" t="s">
        <v>1048</v>
      </c>
      <c r="B2" s="1464"/>
      <c r="C2" s="1464"/>
      <c r="D2" s="1464"/>
      <c r="E2" s="1464"/>
      <c r="F2" s="1464"/>
      <c r="G2" s="1464"/>
      <c r="H2" s="1464"/>
      <c r="I2" s="1464"/>
      <c r="J2" s="1464"/>
      <c r="K2" s="1464"/>
      <c r="L2" s="1464"/>
      <c r="M2" s="1464"/>
      <c r="N2" s="1464"/>
      <c r="O2" s="1464"/>
      <c r="P2" s="1464"/>
    </row>
    <row r="3" spans="1:19" s="8" customFormat="1" ht="18" customHeight="1">
      <c r="A3" s="1465" t="s">
        <v>1049</v>
      </c>
      <c r="B3" s="1464"/>
      <c r="C3" s="1464"/>
      <c r="D3" s="1464"/>
      <c r="E3" s="1464"/>
      <c r="F3" s="1464"/>
      <c r="G3" s="1464"/>
      <c r="H3" s="1464"/>
      <c r="I3" s="1464"/>
      <c r="J3" s="1464"/>
      <c r="K3" s="1464"/>
      <c r="L3" s="1464"/>
      <c r="M3" s="1464"/>
      <c r="N3" s="1464"/>
      <c r="O3" s="1464"/>
      <c r="P3" s="1464"/>
    </row>
    <row r="4" spans="1:19" s="8" customFormat="1" ht="18" customHeight="1">
      <c r="A4" s="16" t="s">
        <v>1078</v>
      </c>
      <c r="B4" s="10"/>
      <c r="C4" s="10"/>
      <c r="D4" s="10"/>
      <c r="E4" s="10"/>
      <c r="F4" s="10"/>
      <c r="G4" s="10"/>
      <c r="H4" s="10"/>
      <c r="I4" s="10"/>
      <c r="J4" s="10"/>
      <c r="K4" s="10"/>
      <c r="L4" s="10"/>
      <c r="M4" s="10"/>
      <c r="N4" s="10"/>
      <c r="O4" s="10"/>
      <c r="P4" s="10"/>
    </row>
    <row r="5" spans="1:19" s="25" customFormat="1" ht="20.25" customHeight="1">
      <c r="A5" s="1466" t="s">
        <v>1079</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851</v>
      </c>
      <c r="D7" s="40"/>
      <c r="E7" s="123"/>
      <c r="F7" s="123"/>
      <c r="G7" s="123"/>
      <c r="H7" s="1467" t="s">
        <v>852</v>
      </c>
      <c r="I7" s="1468" t="s">
        <v>1080</v>
      </c>
      <c r="J7" s="122"/>
      <c r="K7" s="123"/>
      <c r="L7" s="123"/>
      <c r="M7" s="123"/>
      <c r="N7" s="1467" t="s">
        <v>1081</v>
      </c>
      <c r="O7" s="1469"/>
      <c r="P7" s="1469"/>
    </row>
    <row r="8" spans="1:19" s="39" customFormat="1" ht="16.5" customHeight="1">
      <c r="A8" s="370" t="s">
        <v>379</v>
      </c>
      <c r="B8" s="81"/>
      <c r="D8" s="270" t="s">
        <v>500</v>
      </c>
      <c r="E8" s="270"/>
      <c r="F8" s="270" t="s">
        <v>386</v>
      </c>
      <c r="G8" s="371"/>
      <c r="I8" s="270"/>
      <c r="J8" s="270"/>
      <c r="K8" s="371" t="s">
        <v>1056</v>
      </c>
      <c r="L8" s="270" t="s">
        <v>386</v>
      </c>
      <c r="M8" s="372"/>
      <c r="O8" s="63" t="s">
        <v>854</v>
      </c>
      <c r="P8" s="270" t="s">
        <v>1057</v>
      </c>
    </row>
    <row r="9" spans="1:19" s="39" customFormat="1" ht="16.5" customHeight="1">
      <c r="A9" s="62" t="s">
        <v>387</v>
      </c>
      <c r="B9" s="74"/>
      <c r="C9" s="270" t="s">
        <v>432</v>
      </c>
      <c r="D9" s="271" t="s">
        <v>815</v>
      </c>
      <c r="E9" s="271" t="s">
        <v>391</v>
      </c>
      <c r="F9" s="271" t="s">
        <v>1082</v>
      </c>
      <c r="G9" s="95" t="s">
        <v>816</v>
      </c>
      <c r="H9" s="270" t="s">
        <v>1083</v>
      </c>
      <c r="I9" s="270" t="s">
        <v>432</v>
      </c>
      <c r="J9" s="79" t="s">
        <v>871</v>
      </c>
      <c r="K9" s="270" t="s">
        <v>1058</v>
      </c>
      <c r="L9" s="271" t="s">
        <v>1082</v>
      </c>
      <c r="M9" s="372" t="s">
        <v>392</v>
      </c>
      <c r="N9" s="270" t="s">
        <v>382</v>
      </c>
      <c r="O9" s="270" t="s">
        <v>374</v>
      </c>
      <c r="P9" s="63" t="s">
        <v>1059</v>
      </c>
    </row>
    <row r="10" spans="1:19" s="39" customFormat="1" ht="16.5" customHeight="1">
      <c r="A10" s="82"/>
      <c r="B10" s="74"/>
      <c r="C10" s="374"/>
      <c r="D10" s="107" t="s">
        <v>818</v>
      </c>
      <c r="E10" s="107" t="s">
        <v>467</v>
      </c>
      <c r="F10" s="107" t="s">
        <v>404</v>
      </c>
      <c r="G10" s="383"/>
      <c r="H10" s="228"/>
      <c r="I10" s="374"/>
      <c r="J10" s="107"/>
      <c r="K10" s="228" t="s">
        <v>1062</v>
      </c>
      <c r="L10" s="107" t="s">
        <v>404</v>
      </c>
      <c r="M10" s="375"/>
      <c r="N10" s="228"/>
      <c r="O10" s="374" t="s">
        <v>393</v>
      </c>
      <c r="P10" s="374" t="s">
        <v>1063</v>
      </c>
    </row>
    <row r="11" spans="1:19" s="39" customFormat="1" ht="16.5" customHeight="1">
      <c r="A11" s="82"/>
      <c r="B11" s="74"/>
      <c r="C11" s="374" t="s">
        <v>406</v>
      </c>
      <c r="D11" s="107" t="s">
        <v>819</v>
      </c>
      <c r="E11" s="107" t="s">
        <v>506</v>
      </c>
      <c r="F11" s="107" t="s">
        <v>411</v>
      </c>
      <c r="G11" s="107" t="s">
        <v>400</v>
      </c>
      <c r="H11" s="228" t="s">
        <v>393</v>
      </c>
      <c r="I11" s="228" t="s">
        <v>406</v>
      </c>
      <c r="J11" s="107" t="s">
        <v>819</v>
      </c>
      <c r="K11" s="63" t="s">
        <v>1067</v>
      </c>
      <c r="L11" s="107" t="s">
        <v>411</v>
      </c>
      <c r="M11" s="375" t="s">
        <v>400</v>
      </c>
      <c r="N11" s="228" t="s">
        <v>393</v>
      </c>
      <c r="O11" s="228" t="s">
        <v>373</v>
      </c>
      <c r="P11" s="228" t="s">
        <v>796</v>
      </c>
    </row>
    <row r="12" spans="1:19" s="39" customFormat="1" ht="16.5" customHeight="1">
      <c r="A12" s="87"/>
      <c r="B12" s="98"/>
      <c r="C12" s="378" t="s">
        <v>842</v>
      </c>
      <c r="D12" s="139"/>
      <c r="E12" s="379"/>
      <c r="F12" s="384"/>
      <c r="G12" s="139"/>
      <c r="H12" s="138"/>
      <c r="I12" s="138"/>
      <c r="J12" s="139"/>
      <c r="K12" s="130"/>
      <c r="L12" s="117"/>
      <c r="M12" s="139"/>
      <c r="N12" s="138"/>
      <c r="O12" s="138" t="s">
        <v>841</v>
      </c>
      <c r="P12" s="138" t="s">
        <v>1068</v>
      </c>
    </row>
    <row r="13" spans="1:19" s="39" customFormat="1" ht="21" customHeight="1">
      <c r="A13" s="405">
        <v>2015</v>
      </c>
      <c r="B13" s="60"/>
      <c r="C13" s="763">
        <v>228.88728796164293</v>
      </c>
      <c r="D13" s="737">
        <v>286.19799999999998</v>
      </c>
      <c r="E13" s="740">
        <v>221.94642088394656</v>
      </c>
      <c r="F13" s="774">
        <v>89.432658631645495</v>
      </c>
      <c r="G13" s="738">
        <v>45.787290614025068</v>
      </c>
      <c r="H13" s="724">
        <v>872.24165809126009</v>
      </c>
      <c r="I13" s="724">
        <v>448.92700000000002</v>
      </c>
      <c r="J13" s="775">
        <v>140.71299999999997</v>
      </c>
      <c r="K13" s="1198">
        <v>0</v>
      </c>
      <c r="L13" s="768">
        <v>5.3580000000000005</v>
      </c>
      <c r="M13" s="630">
        <v>4.3899999999999997</v>
      </c>
      <c r="N13" s="739">
        <v>599.35799999999995</v>
      </c>
      <c r="O13" s="741">
        <v>1471.6096580912599</v>
      </c>
      <c r="P13" s="776">
        <v>0</v>
      </c>
      <c r="Q13" s="321"/>
      <c r="R13" s="321"/>
      <c r="S13" s="321"/>
    </row>
    <row r="14" spans="1:19" s="39" customFormat="1" ht="15.75">
      <c r="A14" s="405">
        <v>2016</v>
      </c>
      <c r="B14" s="60"/>
      <c r="C14" s="763">
        <v>621.64555634643716</v>
      </c>
      <c r="D14" s="737">
        <v>210.86665821162947</v>
      </c>
      <c r="E14" s="740">
        <v>242.18564280398834</v>
      </c>
      <c r="F14" s="774">
        <v>135.67346461222417</v>
      </c>
      <c r="G14" s="738">
        <v>60.5276914151952</v>
      </c>
      <c r="H14" s="724">
        <v>1270.9190133894742</v>
      </c>
      <c r="I14" s="724">
        <v>229.96600000000001</v>
      </c>
      <c r="J14" s="775">
        <v>29.878</v>
      </c>
      <c r="K14" s="1198">
        <v>0</v>
      </c>
      <c r="L14" s="768">
        <v>8.2897783469999986</v>
      </c>
      <c r="M14" s="630">
        <v>1.04</v>
      </c>
      <c r="N14" s="739">
        <v>269.173778347</v>
      </c>
      <c r="O14" s="741">
        <v>1540.0927917364743</v>
      </c>
      <c r="P14" s="776">
        <v>8.9</v>
      </c>
      <c r="Q14" s="321"/>
      <c r="R14" s="321"/>
      <c r="S14" s="321"/>
    </row>
    <row r="15" spans="1:19" s="39" customFormat="1" ht="14.25" customHeight="1">
      <c r="A15" s="405">
        <v>2017</v>
      </c>
      <c r="B15" s="60"/>
      <c r="C15" s="763">
        <v>502.50407615285201</v>
      </c>
      <c r="D15" s="737">
        <v>65.549000000000007</v>
      </c>
      <c r="E15" s="740">
        <v>258.07765769511997</v>
      </c>
      <c r="F15" s="774">
        <v>79.718753881003835</v>
      </c>
      <c r="G15" s="738">
        <v>28.957433020996149</v>
      </c>
      <c r="H15" s="724">
        <v>934.80692074997205</v>
      </c>
      <c r="I15" s="724">
        <v>329.57100000000003</v>
      </c>
      <c r="J15" s="775">
        <v>25.216000000000001</v>
      </c>
      <c r="K15" s="1198">
        <v>4.0000000000000001E-3</v>
      </c>
      <c r="L15" s="768">
        <v>2.96</v>
      </c>
      <c r="M15" s="630">
        <v>1.71</v>
      </c>
      <c r="N15" s="739">
        <v>359.46100000000001</v>
      </c>
      <c r="O15" s="741">
        <v>1294.2679207499718</v>
      </c>
      <c r="P15" s="776">
        <v>0</v>
      </c>
      <c r="Q15" s="321"/>
      <c r="R15" s="321"/>
      <c r="S15" s="321"/>
    </row>
    <row r="16" spans="1:19" s="306" customFormat="1" ht="14.25" customHeight="1">
      <c r="A16" s="405">
        <v>2018</v>
      </c>
      <c r="B16" s="1117"/>
      <c r="C16" s="1118">
        <v>519.93153725181548</v>
      </c>
      <c r="D16" s="1192">
        <v>53.591862137000007</v>
      </c>
      <c r="E16" s="1119">
        <v>222.623177791442</v>
      </c>
      <c r="F16" s="1120">
        <v>96.1531377137063</v>
      </c>
      <c r="G16" s="1121">
        <v>14.426666385293691</v>
      </c>
      <c r="H16" s="1118">
        <v>906.72638127925745</v>
      </c>
      <c r="I16" s="1118">
        <v>398.91481880213291</v>
      </c>
      <c r="J16" s="1122">
        <v>42.621000000000002</v>
      </c>
      <c r="K16" s="1123">
        <v>4.0000000000000001E-3</v>
      </c>
      <c r="L16" s="1122">
        <v>4.5670000000000002</v>
      </c>
      <c r="M16" s="1124">
        <v>5.2221811978670498</v>
      </c>
      <c r="N16" s="1125">
        <v>451.32900000000001</v>
      </c>
      <c r="O16" s="1126">
        <v>1358.0353812792571</v>
      </c>
      <c r="P16" s="776">
        <v>0</v>
      </c>
      <c r="Q16" s="321"/>
      <c r="R16" s="321"/>
      <c r="S16" s="321"/>
    </row>
    <row r="17" spans="1:19" s="306" customFormat="1" ht="14.25" customHeight="1">
      <c r="A17" s="405">
        <v>2019</v>
      </c>
      <c r="B17" s="1117"/>
      <c r="C17" s="1118">
        <v>378.85739584516273</v>
      </c>
      <c r="D17" s="1192">
        <v>92.72399999999999</v>
      </c>
      <c r="E17" s="1119">
        <v>211.31852858888487</v>
      </c>
      <c r="F17" s="1120">
        <v>129.88868868643104</v>
      </c>
      <c r="G17" s="1121">
        <v>32.53535316127536</v>
      </c>
      <c r="H17" s="1118">
        <v>845.31396628175412</v>
      </c>
      <c r="I17" s="1118">
        <v>418.69491924500005</v>
      </c>
      <c r="J17" s="1122">
        <v>141.69500000000002</v>
      </c>
      <c r="K17" s="1123">
        <v>0</v>
      </c>
      <c r="L17" s="1122">
        <v>3.871</v>
      </c>
      <c r="M17" s="1124">
        <v>5.4079056029999997</v>
      </c>
      <c r="N17" s="1125">
        <v>569.66882484799987</v>
      </c>
      <c r="O17" s="1126">
        <v>1414.9827911297541</v>
      </c>
      <c r="P17" s="776">
        <v>0</v>
      </c>
      <c r="Q17" s="321"/>
      <c r="R17" s="321"/>
      <c r="S17" s="321"/>
    </row>
    <row r="18" spans="1:19" s="306" customFormat="1" ht="14.25" customHeight="1">
      <c r="A18" s="405">
        <v>2020</v>
      </c>
      <c r="B18" s="1117"/>
      <c r="C18" s="1118">
        <v>228.1280877787494</v>
      </c>
      <c r="D18" s="1192">
        <v>148.49605688999998</v>
      </c>
      <c r="E18" s="1119">
        <v>8.4</v>
      </c>
      <c r="F18" s="1120">
        <v>339.05228947759099</v>
      </c>
      <c r="G18" s="1121">
        <v>13.332620790098257</v>
      </c>
      <c r="H18" s="1118">
        <v>737.40905493643868</v>
      </c>
      <c r="I18" s="1118">
        <v>354.89112462628555</v>
      </c>
      <c r="J18" s="1122">
        <v>342.63294310999999</v>
      </c>
      <c r="K18" s="1123">
        <v>0</v>
      </c>
      <c r="L18" s="1122">
        <v>2.82</v>
      </c>
      <c r="M18" s="1124">
        <v>3.66</v>
      </c>
      <c r="N18" s="1125">
        <v>703.98406773628562</v>
      </c>
      <c r="O18" s="1126">
        <v>1441.3931226727243</v>
      </c>
      <c r="P18" s="776">
        <v>0</v>
      </c>
      <c r="Q18" s="321"/>
      <c r="R18" s="321"/>
      <c r="S18" s="321"/>
    </row>
    <row r="19" spans="1:19" s="306" customFormat="1" ht="14.25" customHeight="1">
      <c r="A19" s="405">
        <v>2021</v>
      </c>
      <c r="B19" s="1117"/>
      <c r="C19" s="1118">
        <v>277.99867975620919</v>
      </c>
      <c r="D19" s="1192">
        <v>117.62103641215771</v>
      </c>
      <c r="E19" s="1119">
        <v>6.3933975969999999</v>
      </c>
      <c r="F19" s="1120">
        <v>324.36147645317482</v>
      </c>
      <c r="G19" s="1121">
        <v>10.613990665393281</v>
      </c>
      <c r="H19" s="1118">
        <v>736.95858088393493</v>
      </c>
      <c r="I19" s="1118">
        <v>416.810991153656</v>
      </c>
      <c r="J19" s="1122">
        <v>236.86749219067937</v>
      </c>
      <c r="K19" s="1123">
        <v>0</v>
      </c>
      <c r="L19" s="1122">
        <v>6.3109999999999999</v>
      </c>
      <c r="M19" s="1124">
        <v>0.90318670012999969</v>
      </c>
      <c r="N19" s="1125">
        <v>660.89267004446538</v>
      </c>
      <c r="O19" s="1126">
        <v>1397.8512509284005</v>
      </c>
      <c r="P19" s="776">
        <v>0</v>
      </c>
      <c r="Q19" s="321"/>
      <c r="R19" s="321"/>
      <c r="S19" s="321"/>
    </row>
    <row r="20" spans="1:19" s="306" customFormat="1" ht="14.25" customHeight="1">
      <c r="A20" s="405">
        <v>2022</v>
      </c>
      <c r="B20" s="1117"/>
      <c r="C20" s="1118">
        <v>228.4913319768329</v>
      </c>
      <c r="D20" s="1169">
        <v>133.21857988603119</v>
      </c>
      <c r="E20" s="1119">
        <v>8.2460211609999998</v>
      </c>
      <c r="F20" s="1120">
        <v>357.9819663373674</v>
      </c>
      <c r="G20" s="1121">
        <v>30.954315245116842</v>
      </c>
      <c r="H20" s="1118">
        <v>758.89221460634826</v>
      </c>
      <c r="I20" s="1118">
        <v>832.00806159510489</v>
      </c>
      <c r="J20" s="1122">
        <v>351.82746053888661</v>
      </c>
      <c r="K20" s="1123">
        <v>0</v>
      </c>
      <c r="L20" s="1122">
        <v>9.5890000000000004</v>
      </c>
      <c r="M20" s="1124">
        <v>17.822329622760012</v>
      </c>
      <c r="N20" s="1125">
        <v>1211.2468517567513</v>
      </c>
      <c r="O20" s="1126">
        <v>1970.1390663630996</v>
      </c>
      <c r="P20" s="776">
        <v>0</v>
      </c>
      <c r="Q20" s="321"/>
      <c r="R20" s="321"/>
      <c r="S20" s="321"/>
    </row>
    <row r="21" spans="1:19" s="306" customFormat="1" ht="14.25" customHeight="1">
      <c r="A21" s="405">
        <v>2023</v>
      </c>
      <c r="B21" s="1117"/>
      <c r="C21" s="1118">
        <v>1577.348384469715</v>
      </c>
      <c r="D21" s="1192">
        <v>2085.1103111051216</v>
      </c>
      <c r="E21" s="1119">
        <v>124.01586736534</v>
      </c>
      <c r="F21" s="1120">
        <v>892.65165115634807</v>
      </c>
      <c r="G21" s="1121">
        <v>89.052429943505132</v>
      </c>
      <c r="H21" s="1118">
        <v>4768.1786440400301</v>
      </c>
      <c r="I21" s="1118">
        <v>1334.4313168326421</v>
      </c>
      <c r="J21" s="1122">
        <v>957.14572534161687</v>
      </c>
      <c r="K21" s="1123">
        <v>0</v>
      </c>
      <c r="L21" s="1122">
        <v>1347.8860116270198</v>
      </c>
      <c r="M21" s="1124">
        <v>91.985524963642305</v>
      </c>
      <c r="N21" s="1125">
        <v>3731.4485787649201</v>
      </c>
      <c r="O21" s="1126">
        <v>8499.6272228049511</v>
      </c>
      <c r="P21" s="776">
        <v>0</v>
      </c>
      <c r="Q21" s="321"/>
      <c r="R21" s="321"/>
      <c r="S21" s="321"/>
    </row>
    <row r="22" spans="1:19" s="306" customFormat="1" ht="14.25" customHeight="1">
      <c r="A22" s="713">
        <v>2024</v>
      </c>
      <c r="B22" s="1017"/>
      <c r="C22" s="1018">
        <f t="shared" ref="C22:P22" si="0">C27</f>
        <v>226.53072441698077</v>
      </c>
      <c r="D22" s="1019">
        <f t="shared" si="0"/>
        <v>59.887828264590297</v>
      </c>
      <c r="E22" s="1020">
        <f t="shared" si="0"/>
        <v>96.943428811029989</v>
      </c>
      <c r="F22" s="1021">
        <f t="shared" si="0"/>
        <v>217.67840153944951</v>
      </c>
      <c r="G22" s="1022">
        <f t="shared" si="0"/>
        <v>0.76622926499999999</v>
      </c>
      <c r="H22" s="1018">
        <f t="shared" si="0"/>
        <v>601.77661229705063</v>
      </c>
      <c r="I22" s="1018">
        <f t="shared" si="0"/>
        <v>63.241424999914308</v>
      </c>
      <c r="J22" s="1023">
        <f t="shared" si="0"/>
        <v>0.96561100831000701</v>
      </c>
      <c r="K22" s="1024">
        <f t="shared" si="0"/>
        <v>0</v>
      </c>
      <c r="L22" s="1023">
        <f t="shared" si="0"/>
        <v>3.71</v>
      </c>
      <c r="M22" s="1025">
        <f t="shared" si="0"/>
        <v>0</v>
      </c>
      <c r="N22" s="1026">
        <f t="shared" si="0"/>
        <v>67.917036008224315</v>
      </c>
      <c r="O22" s="1027">
        <f t="shared" si="0"/>
        <v>669.69364830527491</v>
      </c>
      <c r="P22" s="1028">
        <f t="shared" si="0"/>
        <v>0</v>
      </c>
      <c r="Q22" s="770"/>
      <c r="R22" s="770"/>
      <c r="S22" s="770"/>
    </row>
    <row r="23" spans="1:19" s="306" customFormat="1" ht="21" customHeight="1">
      <c r="A23" s="405">
        <v>2023</v>
      </c>
      <c r="B23" s="748" t="s">
        <v>238</v>
      </c>
      <c r="C23" s="763">
        <v>1577.348384469715</v>
      </c>
      <c r="D23" s="737">
        <v>2085.1103111051216</v>
      </c>
      <c r="E23" s="1548">
        <v>124.01586736534</v>
      </c>
      <c r="F23" s="1134">
        <v>892.65165115634807</v>
      </c>
      <c r="G23" s="1549">
        <v>89.052429943505132</v>
      </c>
      <c r="H23" s="763">
        <v>4768.1786440400301</v>
      </c>
      <c r="I23" s="763">
        <v>1334.4313168326421</v>
      </c>
      <c r="J23" s="775">
        <v>957.14572534161687</v>
      </c>
      <c r="K23" s="1550">
        <v>0</v>
      </c>
      <c r="L23" s="775">
        <v>1347.8860116270198</v>
      </c>
      <c r="M23" s="749">
        <v>91.985524963642305</v>
      </c>
      <c r="N23" s="1551">
        <v>3731.4485787649201</v>
      </c>
      <c r="O23" s="741">
        <v>8499.6272228049511</v>
      </c>
      <c r="P23" s="776">
        <v>0</v>
      </c>
      <c r="Q23" s="321"/>
      <c r="R23" s="321"/>
      <c r="S23" s="321"/>
    </row>
    <row r="24" spans="1:19" s="306" customFormat="1" ht="21" customHeight="1">
      <c r="A24" s="405">
        <v>2024</v>
      </c>
      <c r="B24" s="748" t="s">
        <v>239</v>
      </c>
      <c r="C24" s="763">
        <v>145.36862129256599</v>
      </c>
      <c r="D24" s="737">
        <v>49.493308282580003</v>
      </c>
      <c r="E24" s="1548">
        <v>63.443607684999996</v>
      </c>
      <c r="F24" s="1134">
        <v>276.69169169444945</v>
      </c>
      <c r="G24" s="1549">
        <v>9.9998420000000005E-2</v>
      </c>
      <c r="H24" s="763">
        <v>535.11722737459536</v>
      </c>
      <c r="I24" s="763">
        <v>0.374</v>
      </c>
      <c r="J24" s="775">
        <v>2.6265506732499997</v>
      </c>
      <c r="K24" s="1550">
        <v>0</v>
      </c>
      <c r="L24" s="775">
        <v>14.555</v>
      </c>
      <c r="M24" s="749">
        <v>0</v>
      </c>
      <c r="N24" s="1551">
        <v>17.55555067325</v>
      </c>
      <c r="O24" s="741">
        <v>552.67277804784544</v>
      </c>
      <c r="P24" s="776">
        <v>0</v>
      </c>
      <c r="Q24" s="321"/>
      <c r="R24" s="321"/>
      <c r="S24" s="321"/>
    </row>
    <row r="25" spans="1:19" s="306" customFormat="1" ht="15" customHeight="1">
      <c r="A25" s="405"/>
      <c r="B25" s="748" t="s">
        <v>240</v>
      </c>
      <c r="C25" s="763">
        <v>135.64840469074755</v>
      </c>
      <c r="D25" s="737">
        <v>58.310438000000005</v>
      </c>
      <c r="E25" s="1548">
        <v>42.102060999999999</v>
      </c>
      <c r="F25" s="1134">
        <v>251.28838334939712</v>
      </c>
      <c r="G25" s="1549">
        <v>0.10734068400000002</v>
      </c>
      <c r="H25" s="763">
        <v>487.43662772414478</v>
      </c>
      <c r="I25" s="763">
        <v>63.087414202319977</v>
      </c>
      <c r="J25" s="775">
        <v>1.3962403492100053</v>
      </c>
      <c r="K25" s="1550">
        <v>0</v>
      </c>
      <c r="L25" s="775">
        <v>15.481999999999999</v>
      </c>
      <c r="M25" s="749">
        <v>0</v>
      </c>
      <c r="N25" s="1551">
        <v>79.965654551529965</v>
      </c>
      <c r="O25" s="741">
        <v>567.42228227567466</v>
      </c>
      <c r="P25" s="776">
        <v>0</v>
      </c>
      <c r="Q25" s="321"/>
      <c r="R25" s="321"/>
      <c r="S25" s="321"/>
    </row>
    <row r="26" spans="1:19" s="306" customFormat="1" ht="15" customHeight="1">
      <c r="A26" s="405"/>
      <c r="B26" s="748" t="s">
        <v>237</v>
      </c>
      <c r="C26" s="763">
        <v>170.43236786383912</v>
      </c>
      <c r="D26" s="737">
        <v>57.727215808250065</v>
      </c>
      <c r="E26" s="1548">
        <v>100.44834223101</v>
      </c>
      <c r="F26" s="1134">
        <v>253.21181926896062</v>
      </c>
      <c r="G26" s="1549">
        <v>0.65</v>
      </c>
      <c r="H26" s="763">
        <v>582.44179765905983</v>
      </c>
      <c r="I26" s="763">
        <v>62.810804690347886</v>
      </c>
      <c r="J26" s="775">
        <v>1.6912774212199981</v>
      </c>
      <c r="K26" s="1550">
        <v>0</v>
      </c>
      <c r="L26" s="775">
        <v>3.1789999999999998</v>
      </c>
      <c r="M26" s="749">
        <v>0</v>
      </c>
      <c r="N26" s="1551">
        <v>67.681082111567889</v>
      </c>
      <c r="O26" s="741">
        <v>650.1428797706277</v>
      </c>
      <c r="P26" s="776">
        <v>0</v>
      </c>
      <c r="Q26" s="321"/>
      <c r="R26" s="321"/>
      <c r="S26" s="321"/>
    </row>
    <row r="27" spans="1:19" s="306" customFormat="1" ht="15" customHeight="1">
      <c r="A27" s="405"/>
      <c r="B27" s="748" t="s">
        <v>238</v>
      </c>
      <c r="C27" s="763">
        <v>226.53072441698077</v>
      </c>
      <c r="D27" s="737">
        <v>59.887828264590297</v>
      </c>
      <c r="E27" s="1548">
        <v>96.943428811029989</v>
      </c>
      <c r="F27" s="1134">
        <v>217.67840153944951</v>
      </c>
      <c r="G27" s="1549">
        <v>0.76622926499999999</v>
      </c>
      <c r="H27" s="763">
        <v>601.77661229705063</v>
      </c>
      <c r="I27" s="763">
        <v>63.241424999914308</v>
      </c>
      <c r="J27" s="775">
        <v>0.96561100831000701</v>
      </c>
      <c r="K27" s="1550">
        <v>0</v>
      </c>
      <c r="L27" s="775">
        <v>3.71</v>
      </c>
      <c r="M27" s="749">
        <v>0</v>
      </c>
      <c r="N27" s="1551">
        <v>67.917036008224315</v>
      </c>
      <c r="O27" s="741">
        <v>669.69364830527491</v>
      </c>
      <c r="P27" s="776">
        <v>0</v>
      </c>
      <c r="Q27" s="770"/>
      <c r="R27" s="770"/>
      <c r="S27" s="770"/>
    </row>
    <row r="28" spans="1:19" s="306" customFormat="1" ht="21" customHeight="1">
      <c r="A28" s="405">
        <v>2025</v>
      </c>
      <c r="B28" s="748" t="s">
        <v>239</v>
      </c>
      <c r="C28" s="763">
        <f t="shared" ref="C28:P28" si="1">C36</f>
        <v>242.56343979939672</v>
      </c>
      <c r="D28" s="737">
        <f t="shared" si="1"/>
        <v>77.584598385309988</v>
      </c>
      <c r="E28" s="1548">
        <f t="shared" si="1"/>
        <v>82.715979246019998</v>
      </c>
      <c r="F28" s="1134">
        <f t="shared" si="1"/>
        <v>210.23763790402148</v>
      </c>
      <c r="G28" s="1549">
        <f t="shared" si="1"/>
        <v>2.1042899000000146E-2</v>
      </c>
      <c r="H28" s="763">
        <f t="shared" si="1"/>
        <v>613.10269823374813</v>
      </c>
      <c r="I28" s="763">
        <f t="shared" si="1"/>
        <v>63.737479881056991</v>
      </c>
      <c r="J28" s="775">
        <f t="shared" si="1"/>
        <v>6.9960518101599956</v>
      </c>
      <c r="K28" s="1550">
        <f t="shared" si="1"/>
        <v>0</v>
      </c>
      <c r="L28" s="775">
        <f t="shared" si="1"/>
        <v>4.6639999999999997</v>
      </c>
      <c r="M28" s="749">
        <f t="shared" si="1"/>
        <v>0</v>
      </c>
      <c r="N28" s="1551">
        <f t="shared" si="1"/>
        <v>75.397531691216983</v>
      </c>
      <c r="O28" s="741">
        <f t="shared" si="1"/>
        <v>688.50022992496508</v>
      </c>
      <c r="P28" s="776">
        <f t="shared" si="1"/>
        <v>0</v>
      </c>
      <c r="Q28" s="770"/>
      <c r="R28" s="770"/>
      <c r="S28" s="770"/>
    </row>
    <row r="29" spans="1:19" s="306" customFormat="1" ht="15" customHeight="1">
      <c r="A29" s="405"/>
      <c r="B29" s="748" t="s">
        <v>240</v>
      </c>
      <c r="C29" s="763">
        <f t="shared" ref="C29:P29" si="2">C39</f>
        <v>255.9304422378201</v>
      </c>
      <c r="D29" s="737">
        <f t="shared" si="2"/>
        <v>71.305379247909997</v>
      </c>
      <c r="E29" s="1548">
        <f t="shared" si="2"/>
        <v>85.194113346020004</v>
      </c>
      <c r="F29" s="1134">
        <f t="shared" si="2"/>
        <v>199.32538172825048</v>
      </c>
      <c r="G29" s="1549">
        <f t="shared" si="2"/>
        <v>2.7840763900000001</v>
      </c>
      <c r="H29" s="763">
        <f t="shared" si="2"/>
        <v>614.53939295000066</v>
      </c>
      <c r="I29" s="763">
        <f t="shared" si="2"/>
        <v>63.945835993284746</v>
      </c>
      <c r="J29" s="775">
        <f t="shared" si="2"/>
        <v>9.0766998049899996</v>
      </c>
      <c r="K29" s="1550">
        <f t="shared" si="2"/>
        <v>9.9328369600000035E-3</v>
      </c>
      <c r="L29" s="775">
        <f t="shared" si="2"/>
        <v>6.476</v>
      </c>
      <c r="M29" s="749">
        <f t="shared" si="2"/>
        <v>0</v>
      </c>
      <c r="N29" s="1551">
        <f t="shared" si="2"/>
        <v>79.458468635234752</v>
      </c>
      <c r="O29" s="741">
        <f t="shared" si="2"/>
        <v>693.98786158523535</v>
      </c>
      <c r="P29" s="776">
        <f t="shared" si="2"/>
        <v>0</v>
      </c>
      <c r="Q29" s="770"/>
      <c r="R29" s="770"/>
      <c r="S29" s="770"/>
    </row>
    <row r="30" spans="1:19" s="306" customFormat="1" ht="15" customHeight="1">
      <c r="A30" s="713"/>
      <c r="B30" s="999" t="s">
        <v>237</v>
      </c>
      <c r="C30" s="1552">
        <f t="shared" ref="C30:P30" si="3">C42</f>
        <v>241.25601742059885</v>
      </c>
      <c r="D30" s="1553">
        <f t="shared" si="3"/>
        <v>65.330107880170004</v>
      </c>
      <c r="E30" s="1554">
        <f t="shared" si="3"/>
        <v>79.209641501990006</v>
      </c>
      <c r="F30" s="1043">
        <f t="shared" si="3"/>
        <v>195.3907474413777</v>
      </c>
      <c r="G30" s="1555">
        <f t="shared" si="3"/>
        <v>3.8680000000000003</v>
      </c>
      <c r="H30" s="1552">
        <f t="shared" si="3"/>
        <v>585.05451424413661</v>
      </c>
      <c r="I30" s="1552">
        <f t="shared" si="3"/>
        <v>97.739575032402996</v>
      </c>
      <c r="J30" s="1556">
        <f t="shared" si="3"/>
        <v>9.2366431841299974</v>
      </c>
      <c r="K30" s="1557">
        <f t="shared" si="3"/>
        <v>9.9593745599999908E-3</v>
      </c>
      <c r="L30" s="1556">
        <f t="shared" si="3"/>
        <v>7.3369999999999997</v>
      </c>
      <c r="M30" s="1000">
        <f t="shared" si="3"/>
        <v>0</v>
      </c>
      <c r="N30" s="1558">
        <f t="shared" si="3"/>
        <v>114.243177591093</v>
      </c>
      <c r="O30" s="1559">
        <f t="shared" si="3"/>
        <v>699.31769183522965</v>
      </c>
      <c r="P30" s="1028">
        <f t="shared" si="3"/>
        <v>0</v>
      </c>
      <c r="Q30" s="770"/>
      <c r="R30" s="770"/>
      <c r="S30" s="770"/>
    </row>
    <row r="31" spans="1:19" s="321" customFormat="1" ht="21" customHeight="1">
      <c r="A31" s="747">
        <v>2024</v>
      </c>
      <c r="B31" s="748" t="s">
        <v>412</v>
      </c>
      <c r="C31" s="763">
        <v>184.29324447924779</v>
      </c>
      <c r="D31" s="737">
        <v>57.417107098430009</v>
      </c>
      <c r="E31" s="740">
        <v>100.45834231301001</v>
      </c>
      <c r="F31" s="774">
        <v>247.79359548328691</v>
      </c>
      <c r="G31" s="738">
        <v>1.2309999999999999</v>
      </c>
      <c r="H31" s="724">
        <v>591.18328937397462</v>
      </c>
      <c r="I31" s="724">
        <v>63.172924091132643</v>
      </c>
      <c r="J31" s="775">
        <v>1.3957785441999981</v>
      </c>
      <c r="K31" s="1198">
        <v>0</v>
      </c>
      <c r="L31" s="768">
        <v>3.4340000000000002</v>
      </c>
      <c r="M31" s="630">
        <v>0</v>
      </c>
      <c r="N31" s="739">
        <v>68.002702635332625</v>
      </c>
      <c r="O31" s="741">
        <v>659.18599200930737</v>
      </c>
      <c r="P31" s="776">
        <v>0</v>
      </c>
      <c r="Q31" s="770"/>
      <c r="R31" s="770"/>
      <c r="S31" s="770"/>
    </row>
    <row r="32" spans="1:19" s="321" customFormat="1" ht="16.5" customHeight="1">
      <c r="A32" s="747"/>
      <c r="B32" s="748" t="s">
        <v>413</v>
      </c>
      <c r="C32" s="763">
        <v>198.44098751939822</v>
      </c>
      <c r="D32" s="737">
        <v>61.689235950510003</v>
      </c>
      <c r="E32" s="740">
        <v>119.87118430502001</v>
      </c>
      <c r="F32" s="774">
        <v>242.5602484499488</v>
      </c>
      <c r="G32" s="738">
        <v>1.0357430270000001</v>
      </c>
      <c r="H32" s="724">
        <v>623.59739925187705</v>
      </c>
      <c r="I32" s="724">
        <v>63.858684801569503</v>
      </c>
      <c r="J32" s="775">
        <v>1.1394582712699981</v>
      </c>
      <c r="K32" s="1198">
        <v>0</v>
      </c>
      <c r="L32" s="630">
        <v>3.601</v>
      </c>
      <c r="M32" s="630">
        <v>0</v>
      </c>
      <c r="N32" s="739">
        <v>68.589143072839491</v>
      </c>
      <c r="O32" s="741">
        <v>692.18654232471658</v>
      </c>
      <c r="P32" s="776">
        <v>0</v>
      </c>
      <c r="Q32" s="770"/>
      <c r="R32" s="770"/>
      <c r="S32" s="770"/>
    </row>
    <row r="33" spans="1:19" s="321" customFormat="1" ht="16.5" customHeight="1">
      <c r="A33" s="747"/>
      <c r="B33" s="748" t="s">
        <v>414</v>
      </c>
      <c r="C33" s="763">
        <v>226.53072441698077</v>
      </c>
      <c r="D33" s="737">
        <v>59.887828264590297</v>
      </c>
      <c r="E33" s="740">
        <v>96.943428811029989</v>
      </c>
      <c r="F33" s="774">
        <v>217.67840153944951</v>
      </c>
      <c r="G33" s="738">
        <v>0.76622926499999999</v>
      </c>
      <c r="H33" s="724">
        <v>601.77661229705063</v>
      </c>
      <c r="I33" s="724">
        <v>63.241424999914308</v>
      </c>
      <c r="J33" s="775">
        <v>0.96561100831000701</v>
      </c>
      <c r="K33" s="1198">
        <v>0</v>
      </c>
      <c r="L33" s="630">
        <v>3.71</v>
      </c>
      <c r="M33" s="630">
        <v>0</v>
      </c>
      <c r="N33" s="739">
        <v>67.917036008224315</v>
      </c>
      <c r="O33" s="741">
        <v>669.69364830527491</v>
      </c>
      <c r="P33" s="776">
        <v>0</v>
      </c>
      <c r="Q33" s="770"/>
      <c r="R33" s="770"/>
      <c r="S33" s="770"/>
    </row>
    <row r="34" spans="1:19" s="321" customFormat="1" ht="21" customHeight="1">
      <c r="A34" s="747">
        <v>2025</v>
      </c>
      <c r="B34" s="748" t="s">
        <v>415</v>
      </c>
      <c r="C34" s="763">
        <v>223.92823159747795</v>
      </c>
      <c r="D34" s="737">
        <v>193.09317799175366</v>
      </c>
      <c r="E34" s="740">
        <v>92.817272056029992</v>
      </c>
      <c r="F34" s="774">
        <v>110.05405998252441</v>
      </c>
      <c r="G34" s="738">
        <v>1.528162206</v>
      </c>
      <c r="H34" s="724">
        <v>621.42090383378593</v>
      </c>
      <c r="I34" s="724">
        <v>63.495599476289996</v>
      </c>
      <c r="J34" s="775">
        <v>0.93265536321999298</v>
      </c>
      <c r="K34" s="1198">
        <v>0</v>
      </c>
      <c r="L34" s="768">
        <v>4.085</v>
      </c>
      <c r="M34" s="630">
        <v>0</v>
      </c>
      <c r="N34" s="739">
        <v>68.513254839509983</v>
      </c>
      <c r="O34" s="741">
        <v>689.934158673296</v>
      </c>
      <c r="P34" s="776">
        <v>0</v>
      </c>
      <c r="Q34" s="770"/>
      <c r="R34" s="770"/>
      <c r="S34" s="770"/>
    </row>
    <row r="35" spans="1:19" s="321" customFormat="1" ht="16.5" customHeight="1">
      <c r="A35" s="747"/>
      <c r="B35" s="748" t="s">
        <v>416</v>
      </c>
      <c r="C35" s="763">
        <v>236.12057093706895</v>
      </c>
      <c r="D35" s="737">
        <v>80.585270059989767</v>
      </c>
      <c r="E35" s="740">
        <v>89.715979246019998</v>
      </c>
      <c r="F35" s="774">
        <v>220.69994626874407</v>
      </c>
      <c r="G35" s="738">
        <v>0.8167913</v>
      </c>
      <c r="H35" s="724">
        <v>627.93855781182288</v>
      </c>
      <c r="I35" s="724">
        <v>63.507305451620738</v>
      </c>
      <c r="J35" s="775">
        <v>7.0308712023000002</v>
      </c>
      <c r="K35" s="1198">
        <v>0</v>
      </c>
      <c r="L35" s="768">
        <v>4.375</v>
      </c>
      <c r="M35" s="630">
        <v>0</v>
      </c>
      <c r="N35" s="739">
        <v>74.913176653920729</v>
      </c>
      <c r="O35" s="741">
        <v>702.84173446574346</v>
      </c>
      <c r="P35" s="776">
        <v>0</v>
      </c>
      <c r="Q35" s="770"/>
      <c r="R35" s="770"/>
      <c r="S35" s="770"/>
    </row>
    <row r="36" spans="1:19" s="321" customFormat="1" ht="16.5" customHeight="1">
      <c r="A36" s="747"/>
      <c r="B36" s="748" t="s">
        <v>417</v>
      </c>
      <c r="C36" s="763">
        <v>242.56343979939672</v>
      </c>
      <c r="D36" s="737">
        <v>77.584598385309988</v>
      </c>
      <c r="E36" s="740">
        <v>82.715979246019998</v>
      </c>
      <c r="F36" s="774">
        <v>210.23763790402148</v>
      </c>
      <c r="G36" s="738">
        <v>2.1042899000000146E-2</v>
      </c>
      <c r="H36" s="724">
        <v>613.10269823374813</v>
      </c>
      <c r="I36" s="724">
        <v>63.737479881056991</v>
      </c>
      <c r="J36" s="775">
        <v>6.9960518101599956</v>
      </c>
      <c r="K36" s="1198">
        <v>0</v>
      </c>
      <c r="L36" s="768">
        <v>4.6639999999999997</v>
      </c>
      <c r="M36" s="630">
        <v>0</v>
      </c>
      <c r="N36" s="739">
        <v>75.397531691216983</v>
      </c>
      <c r="O36" s="741">
        <v>688.50022992496508</v>
      </c>
      <c r="P36" s="776">
        <v>0</v>
      </c>
      <c r="Q36" s="770"/>
      <c r="R36" s="770"/>
      <c r="S36" s="770"/>
    </row>
    <row r="37" spans="1:19" s="321" customFormat="1" ht="16.5" customHeight="1">
      <c r="A37" s="747"/>
      <c r="B37" s="748" t="s">
        <v>418</v>
      </c>
      <c r="C37" s="763">
        <v>256.35313215697244</v>
      </c>
      <c r="D37" s="737">
        <v>67.74207099118</v>
      </c>
      <c r="E37" s="740">
        <v>82.721908999009997</v>
      </c>
      <c r="F37" s="774">
        <v>204.27989086753092</v>
      </c>
      <c r="G37" s="738">
        <v>3.4399040439999999</v>
      </c>
      <c r="H37" s="724">
        <v>614.54690705869348</v>
      </c>
      <c r="I37" s="724">
        <v>63.094355166778016</v>
      </c>
      <c r="J37" s="775">
        <v>7.50939230999</v>
      </c>
      <c r="K37" s="1198">
        <v>0</v>
      </c>
      <c r="L37" s="768">
        <v>5.5759999999999996</v>
      </c>
      <c r="M37" s="630">
        <v>0</v>
      </c>
      <c r="N37" s="739">
        <v>76.179747476768</v>
      </c>
      <c r="O37" s="741">
        <v>690.72665453546142</v>
      </c>
      <c r="P37" s="776">
        <v>0</v>
      </c>
      <c r="Q37" s="770"/>
      <c r="R37" s="770"/>
      <c r="S37" s="770"/>
    </row>
    <row r="38" spans="1:19" s="321" customFormat="1" ht="16.5" customHeight="1">
      <c r="A38" s="747"/>
      <c r="B38" s="748" t="s">
        <v>419</v>
      </c>
      <c r="C38" s="763">
        <v>259.90012465459142</v>
      </c>
      <c r="D38" s="737">
        <v>77.300013886110065</v>
      </c>
      <c r="E38" s="740">
        <v>85.194143685</v>
      </c>
      <c r="F38" s="774">
        <v>207.39942251624609</v>
      </c>
      <c r="G38" s="738">
        <v>2.94803112</v>
      </c>
      <c r="H38" s="724">
        <v>632.74173586194752</v>
      </c>
      <c r="I38" s="724">
        <v>63.41286183824495</v>
      </c>
      <c r="J38" s="775">
        <v>8.9300362330000009</v>
      </c>
      <c r="K38" s="1198">
        <v>9.9766239999999964E-3</v>
      </c>
      <c r="L38" s="768">
        <v>5.5750000000000002</v>
      </c>
      <c r="M38" s="630">
        <v>0</v>
      </c>
      <c r="N38" s="739">
        <v>77.86787469524495</v>
      </c>
      <c r="O38" s="741">
        <v>710.60961055719258</v>
      </c>
      <c r="P38" s="776">
        <v>0</v>
      </c>
      <c r="Q38" s="770"/>
      <c r="R38" s="770"/>
      <c r="S38" s="770"/>
    </row>
    <row r="39" spans="1:19" s="321" customFormat="1" ht="16.5" customHeight="1">
      <c r="A39" s="747"/>
      <c r="B39" s="748" t="s">
        <v>420</v>
      </c>
      <c r="C39" s="763">
        <v>255.9304422378201</v>
      </c>
      <c r="D39" s="737">
        <v>71.305379247909997</v>
      </c>
      <c r="E39" s="740">
        <v>85.194113346020004</v>
      </c>
      <c r="F39" s="774">
        <v>199.32538172825048</v>
      </c>
      <c r="G39" s="738">
        <v>2.7840763900000001</v>
      </c>
      <c r="H39" s="724">
        <v>614.53939295000066</v>
      </c>
      <c r="I39" s="724">
        <v>63.945835993284746</v>
      </c>
      <c r="J39" s="775">
        <v>9.0766998049899996</v>
      </c>
      <c r="K39" s="1198">
        <v>9.9328369600000035E-3</v>
      </c>
      <c r="L39" s="768">
        <v>6.476</v>
      </c>
      <c r="M39" s="630">
        <v>0</v>
      </c>
      <c r="N39" s="739">
        <v>79.458468635234752</v>
      </c>
      <c r="O39" s="741">
        <v>693.98786158523535</v>
      </c>
      <c r="P39" s="776">
        <v>0</v>
      </c>
      <c r="Q39" s="770"/>
      <c r="R39" s="770"/>
      <c r="S39" s="770"/>
    </row>
    <row r="40" spans="1:19" s="321" customFormat="1" ht="16.5" customHeight="1">
      <c r="A40" s="747"/>
      <c r="B40" s="748" t="s">
        <v>421</v>
      </c>
      <c r="C40" s="763">
        <v>235.18607048798202</v>
      </c>
      <c r="D40" s="737">
        <v>68.768972431910001</v>
      </c>
      <c r="E40" s="740">
        <v>71.022872788000001</v>
      </c>
      <c r="F40" s="774">
        <v>204.02452605374731</v>
      </c>
      <c r="G40" s="738">
        <v>20.638999999999999</v>
      </c>
      <c r="H40" s="724">
        <v>599.64144176163927</v>
      </c>
      <c r="I40" s="724">
        <v>90.401397686532079</v>
      </c>
      <c r="J40" s="775">
        <v>9.3631194869599987</v>
      </c>
      <c r="K40" s="1198">
        <v>0</v>
      </c>
      <c r="L40" s="768">
        <v>6.6269999999999998</v>
      </c>
      <c r="M40" s="630">
        <v>0</v>
      </c>
      <c r="N40" s="739">
        <v>106.36151717349208</v>
      </c>
      <c r="O40" s="741">
        <v>706.00295893513135</v>
      </c>
      <c r="P40" s="776">
        <v>0</v>
      </c>
      <c r="Q40" s="770"/>
      <c r="R40" s="770"/>
      <c r="S40" s="770"/>
    </row>
    <row r="41" spans="1:19" s="321" customFormat="1" ht="16.5" customHeight="1">
      <c r="A41" s="747"/>
      <c r="B41" s="748" t="s">
        <v>422</v>
      </c>
      <c r="C41" s="763">
        <v>239.78223697608698</v>
      </c>
      <c r="D41" s="737">
        <v>70.866530191809758</v>
      </c>
      <c r="E41" s="740">
        <v>71.022872836999994</v>
      </c>
      <c r="F41" s="774">
        <v>205.60416498431439</v>
      </c>
      <c r="G41" s="738">
        <v>3.2356512400000002</v>
      </c>
      <c r="H41" s="724">
        <v>590.51145622921103</v>
      </c>
      <c r="I41" s="724">
        <v>90.592092972588574</v>
      </c>
      <c r="J41" s="775">
        <v>9.2421017081399945</v>
      </c>
      <c r="K41" s="1198">
        <v>0</v>
      </c>
      <c r="L41" s="768">
        <v>7.06</v>
      </c>
      <c r="M41" s="630">
        <v>0</v>
      </c>
      <c r="N41" s="739">
        <v>106.90419468072858</v>
      </c>
      <c r="O41" s="741">
        <v>697.41565090993981</v>
      </c>
      <c r="P41" s="776">
        <v>0</v>
      </c>
      <c r="Q41" s="770"/>
      <c r="R41" s="770"/>
      <c r="S41" s="770"/>
    </row>
    <row r="42" spans="1:19" s="321" customFormat="1" ht="16.5" customHeight="1">
      <c r="A42" s="747"/>
      <c r="B42" s="748" t="s">
        <v>423</v>
      </c>
      <c r="C42" s="763">
        <v>241.25601742059885</v>
      </c>
      <c r="D42" s="737">
        <v>65.330107880170004</v>
      </c>
      <c r="E42" s="740">
        <v>79.209641501990006</v>
      </c>
      <c r="F42" s="774">
        <v>195.3907474413777</v>
      </c>
      <c r="G42" s="738">
        <v>3.8680000000000003</v>
      </c>
      <c r="H42" s="724">
        <v>585.05451424413661</v>
      </c>
      <c r="I42" s="724">
        <v>97.739575032402996</v>
      </c>
      <c r="J42" s="775">
        <v>9.2366431841299974</v>
      </c>
      <c r="K42" s="1198">
        <v>9.9593745599999908E-3</v>
      </c>
      <c r="L42" s="768">
        <v>7.3369999999999997</v>
      </c>
      <c r="M42" s="630">
        <v>0</v>
      </c>
      <c r="N42" s="739">
        <v>114.243177591093</v>
      </c>
      <c r="O42" s="741">
        <v>699.31769183522965</v>
      </c>
      <c r="P42" s="776">
        <v>0</v>
      </c>
      <c r="Q42" s="770"/>
      <c r="R42" s="770"/>
      <c r="S42" s="770"/>
    </row>
    <row r="43" spans="1:19" s="321" customFormat="1" ht="16.5" customHeight="1">
      <c r="A43" s="747"/>
      <c r="B43" s="748" t="s">
        <v>412</v>
      </c>
      <c r="C43" s="763">
        <v>255.1914692546402</v>
      </c>
      <c r="D43" s="737">
        <v>70.268063485720006</v>
      </c>
      <c r="E43" s="740">
        <v>74.142714417990007</v>
      </c>
      <c r="F43" s="774">
        <v>185.97453111499703</v>
      </c>
      <c r="G43" s="738">
        <v>2.4790000000000001</v>
      </c>
      <c r="H43" s="724">
        <v>588.07577827334717</v>
      </c>
      <c r="I43" s="724">
        <v>101.03196824150777</v>
      </c>
      <c r="J43" s="775">
        <v>9.161128183140006</v>
      </c>
      <c r="K43" s="1198">
        <v>0</v>
      </c>
      <c r="L43" s="768">
        <v>7.532</v>
      </c>
      <c r="M43" s="630">
        <v>0</v>
      </c>
      <c r="N43" s="739">
        <v>117.72509642464777</v>
      </c>
      <c r="O43" s="741">
        <v>705.80087469799503</v>
      </c>
      <c r="P43" s="776">
        <v>0</v>
      </c>
      <c r="Q43" s="770"/>
      <c r="R43" s="770"/>
      <c r="S43" s="770"/>
    </row>
    <row r="44" spans="1:19" ht="19.5" customHeight="1">
      <c r="A44" s="380" t="s">
        <v>1069</v>
      </c>
      <c r="B44" s="1259"/>
      <c r="C44" s="1259"/>
      <c r="D44" s="1259"/>
      <c r="E44" s="1259"/>
      <c r="F44" s="1259"/>
      <c r="G44" s="1259"/>
      <c r="H44" s="1259"/>
      <c r="I44" s="220"/>
      <c r="J44" s="1259"/>
      <c r="K44" s="1259"/>
      <c r="L44" s="1259"/>
      <c r="M44" s="1259"/>
      <c r="N44" s="220"/>
      <c r="O44" s="726"/>
      <c r="P44" s="1476" t="s">
        <v>1070</v>
      </c>
    </row>
    <row r="45" spans="1:19">
      <c r="A45" s="381" t="s">
        <v>1071</v>
      </c>
      <c r="O45" s="1477"/>
      <c r="P45" s="1477" t="s">
        <v>1072</v>
      </c>
    </row>
    <row r="46" spans="1:19">
      <c r="A46" s="381" t="s">
        <v>1073</v>
      </c>
      <c r="O46" s="1477"/>
      <c r="P46" s="1477" t="s">
        <v>1074</v>
      </c>
    </row>
    <row r="47" spans="1:19">
      <c r="A47" s="25" t="s">
        <v>1075</v>
      </c>
      <c r="P47" s="736" t="s">
        <v>1076</v>
      </c>
    </row>
    <row r="48" spans="1:19">
      <c r="A48" s="25"/>
      <c r="P48" s="736"/>
    </row>
    <row r="49" spans="1:16">
      <c r="A49" s="382" t="s">
        <v>1084</v>
      </c>
      <c r="B49" s="1262"/>
      <c r="C49" s="1262"/>
      <c r="D49" s="1262"/>
      <c r="E49" s="1262"/>
      <c r="F49" s="1262"/>
      <c r="G49" s="1262"/>
      <c r="H49" s="1262"/>
      <c r="I49" s="1262"/>
      <c r="J49" s="1262"/>
      <c r="K49" s="1262"/>
      <c r="L49" s="1262"/>
      <c r="M49" s="1262"/>
      <c r="N49" s="1262"/>
      <c r="O49" s="1262"/>
      <c r="P49" s="1262"/>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tabSelected="1" zoomScale="90" zoomScaleNormal="90" workbookViewId="0">
      <pane ySplit="12" topLeftCell="A28" activePane="bottomLeft" state="frozen"/>
      <selection activeCell="N29" sqref="N29"/>
      <selection pane="bottomLeft" activeCell="N29" sqref="N29"/>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1743</v>
      </c>
      <c r="B1" s="1458"/>
      <c r="C1" s="382"/>
      <c r="D1" s="382"/>
      <c r="E1" s="382"/>
      <c r="F1" s="382"/>
      <c r="G1" s="382"/>
      <c r="H1" s="382"/>
      <c r="I1" s="382"/>
      <c r="J1" s="382"/>
      <c r="K1" s="382"/>
      <c r="L1" s="382"/>
      <c r="M1" s="382"/>
      <c r="N1" s="382"/>
      <c r="O1" s="382"/>
    </row>
    <row r="2" spans="1:18" ht="18">
      <c r="A2" s="1425" t="s">
        <v>1085</v>
      </c>
      <c r="B2" s="1458"/>
      <c r="C2" s="382"/>
      <c r="D2" s="382"/>
      <c r="E2" s="382"/>
      <c r="F2" s="382"/>
      <c r="G2" s="382"/>
      <c r="H2" s="382"/>
      <c r="I2" s="382"/>
      <c r="J2" s="382"/>
      <c r="K2" s="382"/>
      <c r="L2" s="382"/>
      <c r="M2" s="382"/>
      <c r="N2" s="382"/>
      <c r="O2" s="382"/>
    </row>
    <row r="3" spans="1:18" ht="18">
      <c r="A3" s="277" t="s">
        <v>1086</v>
      </c>
      <c r="B3" s="1458"/>
      <c r="C3" s="382"/>
      <c r="D3" s="382"/>
      <c r="E3" s="382"/>
      <c r="F3" s="382"/>
      <c r="G3" s="382"/>
      <c r="H3" s="382"/>
      <c r="I3" s="382"/>
      <c r="J3" s="382"/>
      <c r="K3" s="382"/>
      <c r="L3" s="382"/>
      <c r="M3" s="382"/>
      <c r="N3" s="382"/>
      <c r="O3" s="382"/>
    </row>
    <row r="4" spans="1:18" ht="18">
      <c r="A4" s="1425" t="s">
        <v>372</v>
      </c>
      <c r="B4" s="1458"/>
      <c r="C4" s="382"/>
      <c r="D4" s="382"/>
      <c r="E4" s="382"/>
      <c r="F4" s="382"/>
      <c r="G4" s="382"/>
      <c r="H4" s="382"/>
      <c r="I4" s="382"/>
      <c r="J4" s="382"/>
      <c r="K4" s="382"/>
      <c r="L4" s="382"/>
      <c r="M4" s="382"/>
      <c r="N4" s="382"/>
      <c r="O4" s="382"/>
    </row>
    <row r="5" spans="1:18" ht="18">
      <c r="A5" s="16" t="s">
        <v>371</v>
      </c>
      <c r="B5" s="1458"/>
      <c r="C5" s="382"/>
      <c r="D5" s="382"/>
      <c r="E5" s="382"/>
      <c r="F5" s="382"/>
      <c r="G5" s="382"/>
      <c r="H5" s="382"/>
      <c r="I5" s="382"/>
      <c r="J5" s="382"/>
      <c r="K5" s="382"/>
      <c r="L5" s="382"/>
      <c r="M5" s="382"/>
      <c r="N5" s="382"/>
      <c r="O5" s="382"/>
    </row>
    <row r="6" spans="1:18" s="148" customFormat="1" ht="15">
      <c r="A6" s="1210" t="s">
        <v>812</v>
      </c>
      <c r="B6" s="387"/>
      <c r="O6" s="1363" t="s">
        <v>813</v>
      </c>
    </row>
    <row r="7" spans="1:18" s="161" customFormat="1" ht="18" customHeight="1">
      <c r="A7" s="1489"/>
      <c r="B7" s="159"/>
      <c r="C7" s="1531" t="s">
        <v>493</v>
      </c>
      <c r="D7" s="174"/>
      <c r="E7" s="160"/>
      <c r="F7" s="160"/>
      <c r="G7" s="1491" t="s">
        <v>491</v>
      </c>
      <c r="H7" s="1492" t="s">
        <v>838</v>
      </c>
      <c r="I7" s="160"/>
      <c r="J7" s="160"/>
      <c r="K7" s="160"/>
      <c r="L7" s="160"/>
      <c r="M7" s="1493" t="s">
        <v>1087</v>
      </c>
      <c r="N7" s="1494"/>
      <c r="O7" s="1495" t="s">
        <v>1088</v>
      </c>
    </row>
    <row r="8" spans="1:18" s="1497" customFormat="1" ht="18" customHeight="1">
      <c r="A8" s="1496"/>
      <c r="C8" s="1498"/>
      <c r="D8" s="1499" t="s">
        <v>500</v>
      </c>
      <c r="E8" s="1499"/>
      <c r="F8" s="1500"/>
      <c r="G8" s="614"/>
      <c r="H8" s="1496"/>
      <c r="I8" s="1501"/>
      <c r="J8" s="1501"/>
      <c r="K8" s="1499" t="s">
        <v>1056</v>
      </c>
      <c r="L8" s="1502"/>
      <c r="M8" s="1503"/>
      <c r="N8" s="1532" t="s">
        <v>854</v>
      </c>
      <c r="O8" s="1495" t="s">
        <v>830</v>
      </c>
    </row>
    <row r="9" spans="1:18" s="1497" customFormat="1" ht="18" customHeight="1">
      <c r="A9" s="24" t="s">
        <v>379</v>
      </c>
      <c r="B9" s="74"/>
      <c r="C9" s="1498" t="s">
        <v>432</v>
      </c>
      <c r="D9" s="1505" t="s">
        <v>815</v>
      </c>
      <c r="E9" s="1499" t="s">
        <v>391</v>
      </c>
      <c r="F9" s="1499" t="s">
        <v>392</v>
      </c>
      <c r="G9" s="372" t="s">
        <v>1083</v>
      </c>
      <c r="H9" s="1498" t="s">
        <v>432</v>
      </c>
      <c r="I9" s="1499" t="s">
        <v>871</v>
      </c>
      <c r="J9" s="1499" t="s">
        <v>837</v>
      </c>
      <c r="K9" s="1499" t="s">
        <v>1058</v>
      </c>
      <c r="L9" s="372" t="s">
        <v>392</v>
      </c>
      <c r="M9" s="372" t="s">
        <v>382</v>
      </c>
      <c r="N9" s="1504" t="s">
        <v>372</v>
      </c>
      <c r="O9" s="1506" t="s">
        <v>833</v>
      </c>
    </row>
    <row r="10" spans="1:18" s="1497" customFormat="1" ht="18" customHeight="1">
      <c r="A10" s="613" t="s">
        <v>387</v>
      </c>
      <c r="B10" s="1507"/>
      <c r="C10" s="1533"/>
      <c r="D10" s="375" t="s">
        <v>818</v>
      </c>
      <c r="E10" s="375" t="s">
        <v>467</v>
      </c>
      <c r="F10" s="375"/>
      <c r="G10" s="375"/>
      <c r="H10" s="1508"/>
      <c r="I10" s="1507"/>
      <c r="J10" s="1509"/>
      <c r="K10" s="375" t="s">
        <v>1062</v>
      </c>
      <c r="L10" s="375"/>
      <c r="M10" s="375"/>
      <c r="N10" s="1510" t="s">
        <v>393</v>
      </c>
      <c r="O10" s="1506" t="s">
        <v>1089</v>
      </c>
    </row>
    <row r="11" spans="1:18" s="1497" customFormat="1" ht="18" customHeight="1">
      <c r="A11" s="613"/>
      <c r="B11" s="1507"/>
      <c r="C11" s="1508" t="s">
        <v>406</v>
      </c>
      <c r="D11" s="375" t="s">
        <v>819</v>
      </c>
      <c r="E11" s="375" t="s">
        <v>506</v>
      </c>
      <c r="F11" s="375" t="s">
        <v>400</v>
      </c>
      <c r="G11" s="375" t="s">
        <v>393</v>
      </c>
      <c r="H11" s="1508" t="s">
        <v>406</v>
      </c>
      <c r="I11" s="375" t="s">
        <v>819</v>
      </c>
      <c r="J11" s="375" t="s">
        <v>844</v>
      </c>
      <c r="K11" s="375" t="s">
        <v>1067</v>
      </c>
      <c r="L11" s="375" t="s">
        <v>400</v>
      </c>
      <c r="M11" s="375" t="s">
        <v>393</v>
      </c>
      <c r="N11" s="1510" t="s">
        <v>371</v>
      </c>
      <c r="O11" s="1506" t="s">
        <v>6</v>
      </c>
    </row>
    <row r="12" spans="1:18" s="1497" customFormat="1" ht="18" customHeight="1">
      <c r="A12" s="1511"/>
      <c r="B12" s="1512"/>
      <c r="C12" s="1513" t="s">
        <v>841</v>
      </c>
      <c r="D12" s="1514" t="s">
        <v>842</v>
      </c>
      <c r="E12" s="1514" t="s">
        <v>842</v>
      </c>
      <c r="F12" s="1514"/>
      <c r="G12" s="1514"/>
      <c r="H12" s="1513"/>
      <c r="I12" s="1514"/>
      <c r="J12" s="1514"/>
      <c r="K12" s="1514"/>
      <c r="L12" s="1514"/>
      <c r="M12" s="1514"/>
      <c r="N12" s="1534"/>
      <c r="O12" s="1535" t="s">
        <v>845</v>
      </c>
      <c r="P12" s="1536"/>
    </row>
    <row r="13" spans="1:18" s="306" customFormat="1" ht="20.25" customHeight="1">
      <c r="A13" s="405">
        <v>2015</v>
      </c>
      <c r="B13" s="497"/>
      <c r="C13" s="1522">
        <v>4155.8973642631308</v>
      </c>
      <c r="D13" s="1537">
        <v>2244.3217847826231</v>
      </c>
      <c r="E13" s="1538">
        <v>557.85029289997999</v>
      </c>
      <c r="F13" s="1522">
        <v>1684.3095387649748</v>
      </c>
      <c r="G13" s="1521">
        <v>8642.3789807107096</v>
      </c>
      <c r="H13" s="1521">
        <v>14400.353670004304</v>
      </c>
      <c r="I13" s="1537">
        <v>32826.834645538707</v>
      </c>
      <c r="J13" s="1539">
        <v>18610.408909573038</v>
      </c>
      <c r="K13" s="1539">
        <v>23066.831585622436</v>
      </c>
      <c r="L13" s="1540">
        <v>11266.986718537128</v>
      </c>
      <c r="M13" s="1541">
        <v>100171.43140135561</v>
      </c>
      <c r="N13" s="1542">
        <v>108813.81038206631</v>
      </c>
      <c r="O13" s="1543">
        <v>40392.093354963959</v>
      </c>
      <c r="P13" s="778"/>
      <c r="Q13" s="779"/>
      <c r="R13" s="779"/>
    </row>
    <row r="14" spans="1:18" s="408" customFormat="1" ht="14.25" customHeight="1">
      <c r="A14" s="356">
        <v>2016</v>
      </c>
      <c r="B14" s="551"/>
      <c r="C14" s="662">
        <v>4746.2148481857475</v>
      </c>
      <c r="D14" s="744">
        <v>2113.2403939080345</v>
      </c>
      <c r="E14" s="743">
        <v>1060.8250702971472</v>
      </c>
      <c r="F14" s="662">
        <v>1699.8801214784103</v>
      </c>
      <c r="G14" s="646">
        <v>9620.0904338693381</v>
      </c>
      <c r="H14" s="646">
        <v>13303.914467336699</v>
      </c>
      <c r="I14" s="744">
        <v>31391.640382418533</v>
      </c>
      <c r="J14" s="674">
        <v>18279.321972054538</v>
      </c>
      <c r="K14" s="674">
        <v>22184.522629672894</v>
      </c>
      <c r="L14" s="745">
        <v>8256.4896100395872</v>
      </c>
      <c r="M14" s="765">
        <v>93415.835874722252</v>
      </c>
      <c r="N14" s="760">
        <v>103035.94630859156</v>
      </c>
      <c r="O14" s="777">
        <v>46535.74714493865</v>
      </c>
      <c r="P14" s="778"/>
      <c r="Q14" s="779"/>
      <c r="R14" s="779"/>
    </row>
    <row r="15" spans="1:18" s="408" customFormat="1" ht="14.25" customHeight="1">
      <c r="A15" s="356">
        <v>2017</v>
      </c>
      <c r="B15" s="551"/>
      <c r="C15" s="662">
        <v>4909.6252436315808</v>
      </c>
      <c r="D15" s="744">
        <v>2251.7417224396086</v>
      </c>
      <c r="E15" s="743">
        <v>1284.96091062798</v>
      </c>
      <c r="F15" s="662">
        <v>1397.9398180438468</v>
      </c>
      <c r="G15" s="646">
        <v>9844.2276947430182</v>
      </c>
      <c r="H15" s="646">
        <v>13291.045525877065</v>
      </c>
      <c r="I15" s="744">
        <v>34359.9736177546</v>
      </c>
      <c r="J15" s="674">
        <v>17660.062610313737</v>
      </c>
      <c r="K15" s="674">
        <v>20740.934834519554</v>
      </c>
      <c r="L15" s="745">
        <v>8066.308228883714</v>
      </c>
      <c r="M15" s="765">
        <v>94118.319588158673</v>
      </c>
      <c r="N15" s="760">
        <v>103962.49728290168</v>
      </c>
      <c r="O15" s="777">
        <v>36193.963880562238</v>
      </c>
      <c r="P15" s="778"/>
      <c r="Q15" s="779"/>
      <c r="R15" s="779"/>
    </row>
    <row r="16" spans="1:18" s="321" customFormat="1" ht="14.25" customHeight="1">
      <c r="A16" s="747">
        <v>2018</v>
      </c>
      <c r="B16" s="748"/>
      <c r="C16" s="662">
        <v>5420.2943175968157</v>
      </c>
      <c r="D16" s="744">
        <v>3275.7701589037033</v>
      </c>
      <c r="E16" s="743">
        <v>1832.6447111939806</v>
      </c>
      <c r="F16" s="662">
        <v>1549.2170220757091</v>
      </c>
      <c r="G16" s="646">
        <v>12077.946209770211</v>
      </c>
      <c r="H16" s="646">
        <v>7324.3683677793179</v>
      </c>
      <c r="I16" s="744">
        <v>37132.804795031589</v>
      </c>
      <c r="J16" s="674">
        <v>17785.335737111483</v>
      </c>
      <c r="K16" s="674">
        <v>23146.799525543891</v>
      </c>
      <c r="L16" s="745">
        <v>8562.4797149522747</v>
      </c>
      <c r="M16" s="765">
        <v>93951.841699188546</v>
      </c>
      <c r="N16" s="760">
        <v>106029.74090895876</v>
      </c>
      <c r="O16" s="777">
        <v>31236.408948762768</v>
      </c>
      <c r="P16" s="778"/>
      <c r="Q16" s="779"/>
      <c r="R16" s="779"/>
    </row>
    <row r="17" spans="1:18" s="321" customFormat="1" ht="14.25" customHeight="1">
      <c r="A17" s="747">
        <v>2019</v>
      </c>
      <c r="B17" s="748"/>
      <c r="C17" s="662">
        <v>6010.6811165013451</v>
      </c>
      <c r="D17" s="744">
        <v>4243.2354214858224</v>
      </c>
      <c r="E17" s="743">
        <v>2632.3710868021894</v>
      </c>
      <c r="F17" s="662">
        <v>2579.7651829752485</v>
      </c>
      <c r="G17" s="646">
        <v>15466.065807764608</v>
      </c>
      <c r="H17" s="646">
        <v>8727.4714580277359</v>
      </c>
      <c r="I17" s="744">
        <v>41918.477568865375</v>
      </c>
      <c r="J17" s="674">
        <v>17399.551084633415</v>
      </c>
      <c r="K17" s="674">
        <v>21102.807526597131</v>
      </c>
      <c r="L17" s="745">
        <v>6223.6711662691523</v>
      </c>
      <c r="M17" s="765">
        <v>95372.062573938616</v>
      </c>
      <c r="N17" s="760">
        <v>110838.15838170321</v>
      </c>
      <c r="O17" s="777">
        <v>22654.532529911383</v>
      </c>
      <c r="P17" s="778"/>
      <c r="Q17" s="779"/>
      <c r="R17" s="779"/>
    </row>
    <row r="18" spans="1:18" s="321" customFormat="1" ht="14.25" customHeight="1">
      <c r="A18" s="747">
        <v>2020</v>
      </c>
      <c r="B18" s="748"/>
      <c r="C18" s="662">
        <v>6016.8077566676593</v>
      </c>
      <c r="D18" s="744">
        <v>5272.2612619515094</v>
      </c>
      <c r="E18" s="743">
        <v>2417.0435880272876</v>
      </c>
      <c r="F18" s="662">
        <v>2115.0103790412591</v>
      </c>
      <c r="G18" s="646">
        <v>15821.099381571818</v>
      </c>
      <c r="H18" s="646">
        <v>7108.4601407631117</v>
      </c>
      <c r="I18" s="744">
        <v>42558.178215633314</v>
      </c>
      <c r="J18" s="674">
        <v>17840.455292799801</v>
      </c>
      <c r="K18" s="674">
        <v>23333.27764461566</v>
      </c>
      <c r="L18" s="745">
        <v>6417.1589040640201</v>
      </c>
      <c r="M18" s="765">
        <v>97257.653300501712</v>
      </c>
      <c r="N18" s="760">
        <v>113078.75268207354</v>
      </c>
      <c r="O18" s="777">
        <v>17910.917764677652</v>
      </c>
      <c r="P18" s="778"/>
      <c r="Q18" s="779"/>
      <c r="R18" s="779"/>
    </row>
    <row r="19" spans="1:18" s="321" customFormat="1" ht="14.25" customHeight="1">
      <c r="A19" s="747">
        <v>2021</v>
      </c>
      <c r="B19" s="748"/>
      <c r="C19" s="662">
        <v>7715.4358029330979</v>
      </c>
      <c r="D19" s="744">
        <v>4658.8252680358237</v>
      </c>
      <c r="E19" s="743">
        <v>2995.6509263517369</v>
      </c>
      <c r="F19" s="662">
        <v>1862.3682902639407</v>
      </c>
      <c r="G19" s="646">
        <v>17232.280287584599</v>
      </c>
      <c r="H19" s="646">
        <v>9475.1649271294482</v>
      </c>
      <c r="I19" s="744">
        <v>41373.559931209311</v>
      </c>
      <c r="J19" s="674">
        <v>18324.062489974323</v>
      </c>
      <c r="K19" s="674">
        <v>26048.76247141455</v>
      </c>
      <c r="L19" s="745">
        <v>5648.6510886388469</v>
      </c>
      <c r="M19" s="765">
        <v>100870.38579488648</v>
      </c>
      <c r="N19" s="760">
        <v>118102.66608247109</v>
      </c>
      <c r="O19" s="777">
        <v>19771.152572751202</v>
      </c>
      <c r="P19" s="778"/>
      <c r="Q19" s="779"/>
      <c r="R19" s="779"/>
    </row>
    <row r="20" spans="1:18" s="321" customFormat="1" ht="14.25" customHeight="1">
      <c r="A20" s="747">
        <v>2022</v>
      </c>
      <c r="B20" s="748"/>
      <c r="C20" s="662">
        <v>8329.5350610913702</v>
      </c>
      <c r="D20" s="744">
        <v>4236.5812216210361</v>
      </c>
      <c r="E20" s="743">
        <v>2360.5355732011167</v>
      </c>
      <c r="F20" s="662">
        <v>2992.264217080075</v>
      </c>
      <c r="G20" s="646">
        <v>17918.896072993597</v>
      </c>
      <c r="H20" s="646">
        <v>11476.164838517727</v>
      </c>
      <c r="I20" s="744">
        <v>40413.058258887067</v>
      </c>
      <c r="J20" s="674">
        <v>18697.95525202914</v>
      </c>
      <c r="K20" s="674">
        <v>27348.976651489342</v>
      </c>
      <c r="L20" s="745">
        <v>6517.5942624886275</v>
      </c>
      <c r="M20" s="765">
        <v>104453.89427641191</v>
      </c>
      <c r="N20" s="760">
        <v>122372.79034940488</v>
      </c>
      <c r="O20" s="777">
        <v>21333.636765461961</v>
      </c>
      <c r="P20" s="778"/>
      <c r="Q20" s="779"/>
      <c r="R20" s="779"/>
    </row>
    <row r="21" spans="1:18" s="321" customFormat="1" ht="14.25" customHeight="1">
      <c r="A21" s="747">
        <v>2023</v>
      </c>
      <c r="B21" s="748"/>
      <c r="C21" s="662">
        <v>9028.3279197883876</v>
      </c>
      <c r="D21" s="744">
        <v>4910.3452185124352</v>
      </c>
      <c r="E21" s="743">
        <v>3626.9625969247177</v>
      </c>
      <c r="F21" s="662">
        <v>3036.4568704455642</v>
      </c>
      <c r="G21" s="646">
        <v>20602.092605671103</v>
      </c>
      <c r="H21" s="646">
        <v>16567.89711744224</v>
      </c>
      <c r="I21" s="744">
        <v>39392.398475628332</v>
      </c>
      <c r="J21" s="674">
        <v>22502.594316631552</v>
      </c>
      <c r="K21" s="674">
        <v>28635.147083542506</v>
      </c>
      <c r="L21" s="745">
        <v>3751.6867078935034</v>
      </c>
      <c r="M21" s="765">
        <v>110849.72370113814</v>
      </c>
      <c r="N21" s="760">
        <v>131451.81630680925</v>
      </c>
      <c r="O21" s="777">
        <v>23727.515596664703</v>
      </c>
      <c r="P21" s="778"/>
      <c r="Q21" s="779"/>
      <c r="R21" s="779"/>
    </row>
    <row r="22" spans="1:18" s="321" customFormat="1" ht="14.25" customHeight="1">
      <c r="A22" s="907">
        <v>2024</v>
      </c>
      <c r="B22" s="999"/>
      <c r="C22" s="1007">
        <f t="shared" ref="C22:O22" si="0">C27</f>
        <v>8002.6120563905697</v>
      </c>
      <c r="D22" s="1012">
        <f t="shared" si="0"/>
        <v>4519.1191233347436</v>
      </c>
      <c r="E22" s="979">
        <f t="shared" si="0"/>
        <v>3623.0376929119725</v>
      </c>
      <c r="F22" s="1007">
        <f t="shared" si="0"/>
        <v>2310.0619159484722</v>
      </c>
      <c r="G22" s="1006">
        <f t="shared" si="0"/>
        <v>18454.830788585754</v>
      </c>
      <c r="H22" s="1006">
        <f t="shared" si="0"/>
        <v>16347.792456020787</v>
      </c>
      <c r="I22" s="1012">
        <f t="shared" si="0"/>
        <v>38754.020044443867</v>
      </c>
      <c r="J22" s="971">
        <f t="shared" si="0"/>
        <v>29903.121546682778</v>
      </c>
      <c r="K22" s="971">
        <f t="shared" si="0"/>
        <v>27444.558393767202</v>
      </c>
      <c r="L22" s="1013">
        <f t="shared" si="0"/>
        <v>5993.8257631123452</v>
      </c>
      <c r="M22" s="1014">
        <f t="shared" si="0"/>
        <v>118443.30820402698</v>
      </c>
      <c r="N22" s="1015">
        <f t="shared" si="0"/>
        <v>136898.13899261274</v>
      </c>
      <c r="O22" s="1016">
        <f t="shared" si="0"/>
        <v>22479.046840470521</v>
      </c>
      <c r="P22" s="778"/>
      <c r="Q22" s="779"/>
      <c r="R22" s="779"/>
    </row>
    <row r="23" spans="1:18" s="321" customFormat="1" ht="21" customHeight="1">
      <c r="A23" s="747">
        <v>2023</v>
      </c>
      <c r="B23" s="748" t="s">
        <v>238</v>
      </c>
      <c r="C23" s="662">
        <v>9028.3279197883876</v>
      </c>
      <c r="D23" s="744">
        <v>4910.3452185124352</v>
      </c>
      <c r="E23" s="743">
        <v>3626.9625969247177</v>
      </c>
      <c r="F23" s="662">
        <v>3036.4568704455642</v>
      </c>
      <c r="G23" s="646">
        <v>20602.092605671103</v>
      </c>
      <c r="H23" s="646">
        <v>16567.89711744224</v>
      </c>
      <c r="I23" s="744">
        <v>39392.398475628332</v>
      </c>
      <c r="J23" s="674">
        <v>22502.594316631552</v>
      </c>
      <c r="K23" s="674">
        <v>28635.147083542506</v>
      </c>
      <c r="L23" s="1544">
        <v>3751.6867078935034</v>
      </c>
      <c r="M23" s="765">
        <v>110849.72370113814</v>
      </c>
      <c r="N23" s="760">
        <v>131451.81630680925</v>
      </c>
      <c r="O23" s="777">
        <v>23727.515596664703</v>
      </c>
      <c r="P23" s="778"/>
      <c r="Q23" s="779"/>
      <c r="R23" s="779"/>
    </row>
    <row r="24" spans="1:18" s="321" customFormat="1" ht="21" customHeight="1">
      <c r="A24" s="747">
        <v>2024</v>
      </c>
      <c r="B24" s="748" t="s">
        <v>239</v>
      </c>
      <c r="C24" s="662">
        <v>8799.2162740480944</v>
      </c>
      <c r="D24" s="744">
        <v>4990.0815657575849</v>
      </c>
      <c r="E24" s="743">
        <v>3495.8208293434609</v>
      </c>
      <c r="F24" s="662">
        <v>3159.6235797914323</v>
      </c>
      <c r="G24" s="646">
        <v>20444.742248940573</v>
      </c>
      <c r="H24" s="646">
        <v>16337.020039724914</v>
      </c>
      <c r="I24" s="744">
        <v>38057.318255649865</v>
      </c>
      <c r="J24" s="674">
        <v>23891.472412544372</v>
      </c>
      <c r="K24" s="674">
        <v>28240.902900678007</v>
      </c>
      <c r="L24" s="1544">
        <v>4883.0845492882509</v>
      </c>
      <c r="M24" s="765">
        <v>111409.79815788541</v>
      </c>
      <c r="N24" s="760">
        <v>131854.54040682598</v>
      </c>
      <c r="O24" s="777">
        <v>22370.612154610135</v>
      </c>
      <c r="P24" s="778"/>
      <c r="Q24" s="779"/>
      <c r="R24" s="779"/>
    </row>
    <row r="25" spans="1:18" s="321" customFormat="1" ht="15" customHeight="1">
      <c r="A25" s="747"/>
      <c r="B25" s="748" t="s">
        <v>240</v>
      </c>
      <c r="C25" s="662">
        <v>8588.8259317737866</v>
      </c>
      <c r="D25" s="744">
        <v>5106.1332907207852</v>
      </c>
      <c r="E25" s="743">
        <v>3505.6587789738073</v>
      </c>
      <c r="F25" s="662">
        <v>3358.0647992046588</v>
      </c>
      <c r="G25" s="646">
        <v>20558.672800673037</v>
      </c>
      <c r="H25" s="646">
        <v>17004.856441129232</v>
      </c>
      <c r="I25" s="744">
        <v>37859.080584865136</v>
      </c>
      <c r="J25" s="674">
        <v>27552.34189452654</v>
      </c>
      <c r="K25" s="674">
        <v>26523.91998334559</v>
      </c>
      <c r="L25" s="1544">
        <v>4582.4944605554365</v>
      </c>
      <c r="M25" s="765">
        <v>113522.70336442193</v>
      </c>
      <c r="N25" s="760">
        <v>134081.37616509496</v>
      </c>
      <c r="O25" s="777">
        <v>20664.005589440574</v>
      </c>
      <c r="P25" s="778"/>
      <c r="Q25" s="779"/>
      <c r="R25" s="779"/>
    </row>
    <row r="26" spans="1:18" s="321" customFormat="1" ht="15" customHeight="1">
      <c r="A26" s="747"/>
      <c r="B26" s="748" t="s">
        <v>237</v>
      </c>
      <c r="C26" s="662">
        <v>9131.6996989528361</v>
      </c>
      <c r="D26" s="744">
        <v>5085.2032497204418</v>
      </c>
      <c r="E26" s="743">
        <v>3907.598101088538</v>
      </c>
      <c r="F26" s="662">
        <v>2864.9636186773178</v>
      </c>
      <c r="G26" s="646">
        <v>20989.464668439134</v>
      </c>
      <c r="H26" s="646">
        <v>16708.802178249312</v>
      </c>
      <c r="I26" s="744">
        <v>39246.346082745709</v>
      </c>
      <c r="J26" s="674">
        <v>28648.086956890525</v>
      </c>
      <c r="K26" s="674">
        <v>28641.25279428756</v>
      </c>
      <c r="L26" s="1544">
        <v>5036.7396885757553</v>
      </c>
      <c r="M26" s="765">
        <v>118281.24770074888</v>
      </c>
      <c r="N26" s="760">
        <v>139270.712369188</v>
      </c>
      <c r="O26" s="777">
        <v>21374.804588007199</v>
      </c>
      <c r="P26" s="778"/>
      <c r="Q26" s="779"/>
      <c r="R26" s="779"/>
    </row>
    <row r="27" spans="1:18" s="321" customFormat="1" ht="15" customHeight="1">
      <c r="A27" s="747"/>
      <c r="B27" s="748" t="s">
        <v>238</v>
      </c>
      <c r="C27" s="662">
        <v>8002.6120563905697</v>
      </c>
      <c r="D27" s="744">
        <v>4519.1191233347436</v>
      </c>
      <c r="E27" s="743">
        <v>3623.0376929119725</v>
      </c>
      <c r="F27" s="662">
        <v>2310.0619159484722</v>
      </c>
      <c r="G27" s="646">
        <v>18454.830788585754</v>
      </c>
      <c r="H27" s="646">
        <v>16347.792456020787</v>
      </c>
      <c r="I27" s="744">
        <v>38754.020044443867</v>
      </c>
      <c r="J27" s="674">
        <v>29903.121546682778</v>
      </c>
      <c r="K27" s="674">
        <v>27444.558393767202</v>
      </c>
      <c r="L27" s="1544">
        <v>5993.8257631123452</v>
      </c>
      <c r="M27" s="765">
        <v>118443.30820402698</v>
      </c>
      <c r="N27" s="760">
        <v>136898.13899261274</v>
      </c>
      <c r="O27" s="777">
        <v>22479.046840470521</v>
      </c>
      <c r="P27" s="778"/>
      <c r="Q27" s="779"/>
      <c r="R27" s="779"/>
    </row>
    <row r="28" spans="1:18" s="321" customFormat="1" ht="21" customHeight="1">
      <c r="A28" s="747">
        <v>2025</v>
      </c>
      <c r="B28" s="748" t="s">
        <v>239</v>
      </c>
      <c r="C28" s="662">
        <f t="shared" ref="C28:O28" si="1">C36</f>
        <v>8873.8914206040536</v>
      </c>
      <c r="D28" s="744">
        <f t="shared" si="1"/>
        <v>5229.9873581610073</v>
      </c>
      <c r="E28" s="743">
        <f t="shared" si="1"/>
        <v>3588.3432869505241</v>
      </c>
      <c r="F28" s="662">
        <f t="shared" si="1"/>
        <v>2648.2092627432503</v>
      </c>
      <c r="G28" s="646">
        <f t="shared" si="1"/>
        <v>20340.431328458832</v>
      </c>
      <c r="H28" s="646">
        <f t="shared" si="1"/>
        <v>17216.564824006979</v>
      </c>
      <c r="I28" s="744">
        <f t="shared" si="1"/>
        <v>39203.002646233173</v>
      </c>
      <c r="J28" s="674">
        <f t="shared" si="1"/>
        <v>29021.962016119225</v>
      </c>
      <c r="K28" s="674">
        <f t="shared" si="1"/>
        <v>26935.222471327976</v>
      </c>
      <c r="L28" s="1544">
        <f t="shared" si="1"/>
        <v>4520.3929872339704</v>
      </c>
      <c r="M28" s="765">
        <f t="shared" si="1"/>
        <v>116897.17494492134</v>
      </c>
      <c r="N28" s="760">
        <f t="shared" si="1"/>
        <v>137237.55627338018</v>
      </c>
      <c r="O28" s="777">
        <f t="shared" si="1"/>
        <v>22335.120889017962</v>
      </c>
      <c r="P28" s="778"/>
      <c r="Q28" s="779"/>
      <c r="R28" s="779"/>
    </row>
    <row r="29" spans="1:18" s="321" customFormat="1" ht="15" customHeight="1">
      <c r="A29" s="747"/>
      <c r="B29" s="748" t="s">
        <v>240</v>
      </c>
      <c r="C29" s="662">
        <f t="shared" ref="C29:O29" si="2">C39</f>
        <v>9415.2162114783514</v>
      </c>
      <c r="D29" s="744">
        <f t="shared" si="2"/>
        <v>5167.2097018437189</v>
      </c>
      <c r="E29" s="743">
        <f t="shared" si="2"/>
        <v>3631.0999595116045</v>
      </c>
      <c r="F29" s="662">
        <f t="shared" si="2"/>
        <v>2970.2594857680319</v>
      </c>
      <c r="G29" s="646">
        <f t="shared" si="2"/>
        <v>21183.775358601706</v>
      </c>
      <c r="H29" s="646">
        <f t="shared" si="2"/>
        <v>17353.625206253291</v>
      </c>
      <c r="I29" s="744">
        <f t="shared" si="2"/>
        <v>37983.634096894952</v>
      </c>
      <c r="J29" s="674">
        <f t="shared" si="2"/>
        <v>28284.320661768532</v>
      </c>
      <c r="K29" s="674">
        <f t="shared" si="2"/>
        <v>28404.513620144295</v>
      </c>
      <c r="L29" s="1544">
        <f t="shared" si="2"/>
        <v>3305.7554573632647</v>
      </c>
      <c r="M29" s="765">
        <f t="shared" si="2"/>
        <v>115331.83904242434</v>
      </c>
      <c r="N29" s="760">
        <f t="shared" si="2"/>
        <v>136515.61440102605</v>
      </c>
      <c r="O29" s="777">
        <f t="shared" si="2"/>
        <v>24272.231577560895</v>
      </c>
      <c r="P29" s="778"/>
      <c r="Q29" s="779"/>
      <c r="R29" s="779"/>
    </row>
    <row r="30" spans="1:18" s="321" customFormat="1" ht="15" customHeight="1">
      <c r="A30" s="907"/>
      <c r="B30" s="999" t="s">
        <v>237</v>
      </c>
      <c r="C30" s="1007">
        <f t="shared" ref="C30:O30" si="3">C42</f>
        <v>9049.8115529334882</v>
      </c>
      <c r="D30" s="1012">
        <f t="shared" si="3"/>
        <v>6025.0473908533331</v>
      </c>
      <c r="E30" s="979">
        <f t="shared" si="3"/>
        <v>3184.0584243445792</v>
      </c>
      <c r="F30" s="1007">
        <f t="shared" si="3"/>
        <v>3395.6283133407878</v>
      </c>
      <c r="G30" s="1006">
        <f t="shared" si="3"/>
        <v>21654.545681472191</v>
      </c>
      <c r="H30" s="1006">
        <f t="shared" si="3"/>
        <v>18326.456455561616</v>
      </c>
      <c r="I30" s="1012">
        <f t="shared" si="3"/>
        <v>38660.0490303365</v>
      </c>
      <c r="J30" s="971">
        <f t="shared" si="3"/>
        <v>26809.259298279896</v>
      </c>
      <c r="K30" s="971">
        <f t="shared" si="3"/>
        <v>30623.437138230693</v>
      </c>
      <c r="L30" s="1545">
        <f t="shared" si="3"/>
        <v>3162.494932506811</v>
      </c>
      <c r="M30" s="1014">
        <f t="shared" si="3"/>
        <v>117581.69685491553</v>
      </c>
      <c r="N30" s="1015">
        <f t="shared" si="3"/>
        <v>139236.24253638773</v>
      </c>
      <c r="O30" s="1016">
        <f t="shared" si="3"/>
        <v>26588.657580456889</v>
      </c>
      <c r="P30" s="778"/>
      <c r="Q30" s="779"/>
      <c r="R30" s="779"/>
    </row>
    <row r="31" spans="1:18" s="321" customFormat="1" ht="21" customHeight="1">
      <c r="A31" s="747">
        <v>2024</v>
      </c>
      <c r="B31" s="748" t="s">
        <v>412</v>
      </c>
      <c r="C31" s="662">
        <v>8625.4858314262019</v>
      </c>
      <c r="D31" s="803">
        <v>5291.670720815443</v>
      </c>
      <c r="E31" s="743">
        <v>3630.9932556066829</v>
      </c>
      <c r="F31" s="662">
        <v>2499.1079366493545</v>
      </c>
      <c r="G31" s="646">
        <v>20047.257744497681</v>
      </c>
      <c r="H31" s="646">
        <v>16805.160374960644</v>
      </c>
      <c r="I31" s="744">
        <v>38557.742262025778</v>
      </c>
      <c r="J31" s="674">
        <v>28425.046971195203</v>
      </c>
      <c r="K31" s="674">
        <v>28673.180828740595</v>
      </c>
      <c r="L31" s="745">
        <v>6341.5879849378334</v>
      </c>
      <c r="M31" s="765">
        <v>118802.72842186007</v>
      </c>
      <c r="N31" s="760">
        <v>138849.98616635776</v>
      </c>
      <c r="O31" s="777">
        <v>24786.279086252078</v>
      </c>
      <c r="P31" s="778"/>
      <c r="Q31" s="779"/>
      <c r="R31" s="779"/>
    </row>
    <row r="32" spans="1:18" s="321" customFormat="1" ht="15">
      <c r="A32" s="747"/>
      <c r="B32" s="748" t="s">
        <v>413</v>
      </c>
      <c r="C32" s="662">
        <v>9252.2341825565873</v>
      </c>
      <c r="D32" s="803">
        <v>4991.6722825255174</v>
      </c>
      <c r="E32" s="743">
        <v>3610.2800597778842</v>
      </c>
      <c r="F32" s="662">
        <v>2668.0074170017042</v>
      </c>
      <c r="G32" s="646">
        <v>20522.193941861697</v>
      </c>
      <c r="H32" s="646">
        <v>17746.213016990019</v>
      </c>
      <c r="I32" s="744">
        <v>36748.317067357202</v>
      </c>
      <c r="J32" s="674">
        <v>28389.467057072539</v>
      </c>
      <c r="K32" s="674">
        <v>27121.273918806743</v>
      </c>
      <c r="L32" s="745">
        <v>4822.5049453833271</v>
      </c>
      <c r="M32" s="765">
        <v>114827.77600560983</v>
      </c>
      <c r="N32" s="760">
        <v>135349.96994747155</v>
      </c>
      <c r="O32" s="777">
        <v>21679.387358569213</v>
      </c>
      <c r="P32" s="778"/>
      <c r="Q32" s="779"/>
      <c r="R32" s="779"/>
    </row>
    <row r="33" spans="1:18" s="321" customFormat="1" ht="15">
      <c r="A33" s="747"/>
      <c r="B33" s="748" t="s">
        <v>414</v>
      </c>
      <c r="C33" s="662">
        <v>8002.6120563905697</v>
      </c>
      <c r="D33" s="803">
        <v>4519.1191233347436</v>
      </c>
      <c r="E33" s="743">
        <v>3623.0376929119725</v>
      </c>
      <c r="F33" s="662">
        <v>2310.0619159484722</v>
      </c>
      <c r="G33" s="646">
        <v>18454.830788585754</v>
      </c>
      <c r="H33" s="646">
        <v>16347.792456020787</v>
      </c>
      <c r="I33" s="744">
        <v>38754.020044443867</v>
      </c>
      <c r="J33" s="674">
        <v>29903.121546682778</v>
      </c>
      <c r="K33" s="674">
        <v>27444.558393767202</v>
      </c>
      <c r="L33" s="745">
        <v>5993.8257631123452</v>
      </c>
      <c r="M33" s="765">
        <v>118443.30820402698</v>
      </c>
      <c r="N33" s="760">
        <v>136898.13899261274</v>
      </c>
      <c r="O33" s="777">
        <v>22479.046840470521</v>
      </c>
      <c r="P33" s="778"/>
      <c r="Q33" s="779"/>
      <c r="R33" s="779"/>
    </row>
    <row r="34" spans="1:18" s="321" customFormat="1" ht="21" customHeight="1">
      <c r="A34" s="747">
        <v>2025</v>
      </c>
      <c r="B34" s="748" t="s">
        <v>415</v>
      </c>
      <c r="C34" s="662">
        <v>9167.5049756854387</v>
      </c>
      <c r="D34" s="803">
        <v>4707.6366430234539</v>
      </c>
      <c r="E34" s="743">
        <v>3646.6276374940544</v>
      </c>
      <c r="F34" s="662">
        <v>2522.4804807053033</v>
      </c>
      <c r="G34" s="646">
        <v>20044.249736908248</v>
      </c>
      <c r="H34" s="646">
        <v>16291.870491356452</v>
      </c>
      <c r="I34" s="744">
        <v>38013.644581424785</v>
      </c>
      <c r="J34" s="674">
        <v>24499.613823388379</v>
      </c>
      <c r="K34" s="674">
        <v>31714.064106103389</v>
      </c>
      <c r="L34" s="745">
        <v>5015.181662549905</v>
      </c>
      <c r="M34" s="765">
        <v>115534.38466482292</v>
      </c>
      <c r="N34" s="760">
        <v>135578.63440173116</v>
      </c>
      <c r="O34" s="777">
        <v>23962.154585794789</v>
      </c>
      <c r="P34" s="778"/>
      <c r="Q34" s="779"/>
      <c r="R34" s="779"/>
    </row>
    <row r="35" spans="1:18" s="321" customFormat="1" ht="15" customHeight="1">
      <c r="A35" s="747"/>
      <c r="B35" s="748" t="s">
        <v>416</v>
      </c>
      <c r="C35" s="662">
        <v>9071.1901109739647</v>
      </c>
      <c r="D35" s="803">
        <v>5193.1661824722487</v>
      </c>
      <c r="E35" s="743">
        <v>3556.8360566392071</v>
      </c>
      <c r="F35" s="662">
        <v>2539.796268317692</v>
      </c>
      <c r="G35" s="646">
        <v>20360.988618403113</v>
      </c>
      <c r="H35" s="646">
        <v>16765.407445381708</v>
      </c>
      <c r="I35" s="744">
        <v>38585.161994621922</v>
      </c>
      <c r="J35" s="674">
        <v>21367.638099420481</v>
      </c>
      <c r="K35" s="674">
        <v>30445.463190496896</v>
      </c>
      <c r="L35" s="745">
        <v>4380.011744553407</v>
      </c>
      <c r="M35" s="765">
        <v>111543.68247447441</v>
      </c>
      <c r="N35" s="760">
        <v>131904.67109287751</v>
      </c>
      <c r="O35" s="777">
        <v>23235.493661132619</v>
      </c>
      <c r="P35" s="778"/>
      <c r="Q35" s="779"/>
      <c r="R35" s="779"/>
    </row>
    <row r="36" spans="1:18" s="321" customFormat="1" ht="15" customHeight="1">
      <c r="A36" s="747"/>
      <c r="B36" s="748" t="s">
        <v>417</v>
      </c>
      <c r="C36" s="662">
        <v>8873.8914206040536</v>
      </c>
      <c r="D36" s="803">
        <v>5229.9873581610073</v>
      </c>
      <c r="E36" s="743">
        <v>3588.3432869505241</v>
      </c>
      <c r="F36" s="662">
        <v>2648.2092627432503</v>
      </c>
      <c r="G36" s="646">
        <v>20340.431328458832</v>
      </c>
      <c r="H36" s="646">
        <v>17216.564824006979</v>
      </c>
      <c r="I36" s="744">
        <v>39203.002646233173</v>
      </c>
      <c r="J36" s="674">
        <v>29021.962016119225</v>
      </c>
      <c r="K36" s="674">
        <v>26935.222471327976</v>
      </c>
      <c r="L36" s="745">
        <v>4520.3929872339704</v>
      </c>
      <c r="M36" s="765">
        <v>116897.17494492134</v>
      </c>
      <c r="N36" s="760">
        <v>137237.55627338018</v>
      </c>
      <c r="O36" s="777">
        <v>22335.120889017962</v>
      </c>
      <c r="P36" s="778"/>
      <c r="Q36" s="779"/>
      <c r="R36" s="779"/>
    </row>
    <row r="37" spans="1:18" s="321" customFormat="1" ht="15" customHeight="1">
      <c r="A37" s="747"/>
      <c r="B37" s="748" t="s">
        <v>418</v>
      </c>
      <c r="C37" s="662">
        <v>9306.5876411626341</v>
      </c>
      <c r="D37" s="803">
        <v>4959.8280610535876</v>
      </c>
      <c r="E37" s="743">
        <v>3717.1207379338293</v>
      </c>
      <c r="F37" s="662">
        <v>2669.1539414823424</v>
      </c>
      <c r="G37" s="646">
        <v>20652.690381632394</v>
      </c>
      <c r="H37" s="646">
        <v>16905.637113693294</v>
      </c>
      <c r="I37" s="744">
        <v>39079.638668496031</v>
      </c>
      <c r="J37" s="674">
        <v>20533.496028721096</v>
      </c>
      <c r="K37" s="674">
        <v>29663.262956224775</v>
      </c>
      <c r="L37" s="745">
        <v>4172.9664490699506</v>
      </c>
      <c r="M37" s="765">
        <v>110355.02121620513</v>
      </c>
      <c r="N37" s="760">
        <v>131007.71159783752</v>
      </c>
      <c r="O37" s="777">
        <v>21859.416749761229</v>
      </c>
      <c r="P37" s="778"/>
      <c r="Q37" s="779"/>
      <c r="R37" s="779"/>
    </row>
    <row r="38" spans="1:18" s="321" customFormat="1" ht="15" customHeight="1">
      <c r="A38" s="747"/>
      <c r="B38" s="748" t="s">
        <v>419</v>
      </c>
      <c r="C38" s="662">
        <v>9216.8496070242472</v>
      </c>
      <c r="D38" s="803">
        <v>5547.7272986537355</v>
      </c>
      <c r="E38" s="743">
        <v>3690.8954273903191</v>
      </c>
      <c r="F38" s="662">
        <v>3051.0525359630583</v>
      </c>
      <c r="G38" s="646">
        <v>21506.52486903136</v>
      </c>
      <c r="H38" s="646">
        <v>17106.55817940546</v>
      </c>
      <c r="I38" s="744">
        <v>37632.327460335684</v>
      </c>
      <c r="J38" s="674">
        <v>22921.996986067155</v>
      </c>
      <c r="K38" s="674">
        <v>27283.012373926991</v>
      </c>
      <c r="L38" s="745">
        <v>3536.8920474077772</v>
      </c>
      <c r="M38" s="765">
        <v>108480.76704714305</v>
      </c>
      <c r="N38" s="760">
        <v>129987.29191617441</v>
      </c>
      <c r="O38" s="777">
        <v>23076.574455815004</v>
      </c>
      <c r="P38" s="778"/>
      <c r="Q38" s="779"/>
      <c r="R38" s="779"/>
    </row>
    <row r="39" spans="1:18" s="321" customFormat="1" ht="15" customHeight="1">
      <c r="A39" s="747"/>
      <c r="B39" s="748" t="s">
        <v>420</v>
      </c>
      <c r="C39" s="662">
        <v>9415.2162114783514</v>
      </c>
      <c r="D39" s="803">
        <v>5167.2097018437189</v>
      </c>
      <c r="E39" s="743">
        <v>3631.0999595116045</v>
      </c>
      <c r="F39" s="662">
        <v>2970.2594857680319</v>
      </c>
      <c r="G39" s="646">
        <v>21183.775358601706</v>
      </c>
      <c r="H39" s="646">
        <v>17353.625206253291</v>
      </c>
      <c r="I39" s="744">
        <v>37983.634096894952</v>
      </c>
      <c r="J39" s="674">
        <v>28284.320661768532</v>
      </c>
      <c r="K39" s="674">
        <v>28404.513620144295</v>
      </c>
      <c r="L39" s="745">
        <v>3305.7554573632647</v>
      </c>
      <c r="M39" s="765">
        <v>115331.83904242434</v>
      </c>
      <c r="N39" s="760">
        <v>136515.61440102605</v>
      </c>
      <c r="O39" s="777">
        <v>24272.231577560895</v>
      </c>
      <c r="P39" s="778"/>
      <c r="Q39" s="779"/>
      <c r="R39" s="779"/>
    </row>
    <row r="40" spans="1:18" s="321" customFormat="1" ht="15" customHeight="1">
      <c r="A40" s="747"/>
      <c r="B40" s="748" t="s">
        <v>421</v>
      </c>
      <c r="C40" s="662">
        <v>9761.289898379544</v>
      </c>
      <c r="D40" s="803">
        <v>5635.8578515917479</v>
      </c>
      <c r="E40" s="743">
        <v>3921.0061499108556</v>
      </c>
      <c r="F40" s="662">
        <v>2883.5475067261418</v>
      </c>
      <c r="G40" s="646">
        <v>22201.701406608292</v>
      </c>
      <c r="H40" s="646">
        <v>17323.870696267153</v>
      </c>
      <c r="I40" s="744">
        <v>37630.033890739986</v>
      </c>
      <c r="J40" s="674">
        <v>20936.756907955591</v>
      </c>
      <c r="K40" s="674">
        <v>28538.57736990173</v>
      </c>
      <c r="L40" s="745">
        <v>3139.5418205318056</v>
      </c>
      <c r="M40" s="765">
        <v>107568.79068539626</v>
      </c>
      <c r="N40" s="760">
        <v>129770.49209200454</v>
      </c>
      <c r="O40" s="777">
        <v>26561.349801618082</v>
      </c>
      <c r="P40" s="778"/>
      <c r="Q40" s="779"/>
      <c r="R40" s="779"/>
    </row>
    <row r="41" spans="1:18" s="321" customFormat="1" ht="15" customHeight="1">
      <c r="A41" s="747"/>
      <c r="B41" s="748" t="s">
        <v>422</v>
      </c>
      <c r="C41" s="662">
        <v>9476.9193341828486</v>
      </c>
      <c r="D41" s="803">
        <v>6127.482120943263</v>
      </c>
      <c r="E41" s="743">
        <v>3392.1845544615353</v>
      </c>
      <c r="F41" s="662">
        <v>3107.41664882024</v>
      </c>
      <c r="G41" s="646">
        <v>22104.002658407891</v>
      </c>
      <c r="H41" s="646">
        <v>18486.742167858716</v>
      </c>
      <c r="I41" s="744">
        <v>38033.81186876414</v>
      </c>
      <c r="J41" s="674">
        <v>20325.366531294279</v>
      </c>
      <c r="K41" s="674">
        <v>26893.80955664377</v>
      </c>
      <c r="L41" s="745">
        <v>3255.5652782067823</v>
      </c>
      <c r="M41" s="765">
        <v>106995.30540276767</v>
      </c>
      <c r="N41" s="760">
        <v>129099.30806117557</v>
      </c>
      <c r="O41" s="777">
        <v>24781.917896501389</v>
      </c>
      <c r="P41" s="778"/>
      <c r="Q41" s="779"/>
      <c r="R41" s="779"/>
    </row>
    <row r="42" spans="1:18" s="321" customFormat="1" ht="15" customHeight="1">
      <c r="A42" s="747"/>
      <c r="B42" s="748" t="s">
        <v>423</v>
      </c>
      <c r="C42" s="662">
        <v>9049.8115529334882</v>
      </c>
      <c r="D42" s="803">
        <v>6025.0473908533331</v>
      </c>
      <c r="E42" s="743">
        <v>3184.0584243445792</v>
      </c>
      <c r="F42" s="662">
        <v>3395.6283133407878</v>
      </c>
      <c r="G42" s="646">
        <v>21654.545681472191</v>
      </c>
      <c r="H42" s="646">
        <v>18326.456455561616</v>
      </c>
      <c r="I42" s="744">
        <v>38660.0490303365</v>
      </c>
      <c r="J42" s="674">
        <v>26809.259298279896</v>
      </c>
      <c r="K42" s="674">
        <v>30623.437138230693</v>
      </c>
      <c r="L42" s="745">
        <v>3162.494932506811</v>
      </c>
      <c r="M42" s="765">
        <v>117581.69685491553</v>
      </c>
      <c r="N42" s="760">
        <v>139236.24253638773</v>
      </c>
      <c r="O42" s="777">
        <v>26588.657580456889</v>
      </c>
      <c r="P42" s="778"/>
      <c r="Q42" s="779"/>
      <c r="R42" s="779"/>
    </row>
    <row r="43" spans="1:18" s="321" customFormat="1" ht="15" customHeight="1">
      <c r="A43" s="747"/>
      <c r="B43" s="748" t="s">
        <v>412</v>
      </c>
      <c r="C43" s="662">
        <v>9352.822413002028</v>
      </c>
      <c r="D43" s="803">
        <v>5497.1619171269049</v>
      </c>
      <c r="E43" s="743">
        <v>3510.8987257669683</v>
      </c>
      <c r="F43" s="662">
        <v>2839.931678673373</v>
      </c>
      <c r="G43" s="646">
        <v>21200.79473456927</v>
      </c>
      <c r="H43" s="646">
        <v>17218.578507458511</v>
      </c>
      <c r="I43" s="744">
        <v>37412.58929166352</v>
      </c>
      <c r="J43" s="674">
        <v>26719.836345298274</v>
      </c>
      <c r="K43" s="674">
        <v>28986.466045385765</v>
      </c>
      <c r="L43" s="745">
        <v>3484.7109608898677</v>
      </c>
      <c r="M43" s="765">
        <v>113822.18115069592</v>
      </c>
      <c r="N43" s="760">
        <v>135022.97588526522</v>
      </c>
      <c r="O43" s="777">
        <v>25680.421303162453</v>
      </c>
      <c r="P43" s="778"/>
      <c r="Q43" s="779"/>
      <c r="R43" s="779"/>
    </row>
    <row r="44" spans="1:18" ht="20.25" customHeight="1">
      <c r="A44" s="380" t="s">
        <v>1090</v>
      </c>
      <c r="B44" s="380"/>
      <c r="C44" s="380"/>
      <c r="D44" s="380"/>
      <c r="E44" s="380"/>
      <c r="F44" s="380"/>
      <c r="G44" s="380"/>
      <c r="H44" s="380"/>
      <c r="I44" s="380"/>
      <c r="J44" s="1300"/>
      <c r="K44" s="380"/>
      <c r="L44" s="380"/>
      <c r="M44" s="1546"/>
      <c r="N44" s="1546"/>
      <c r="O44" s="409" t="s">
        <v>1091</v>
      </c>
    </row>
    <row r="45" spans="1:18" ht="14.25" customHeight="1">
      <c r="A45" s="381" t="s">
        <v>1092</v>
      </c>
      <c r="J45" s="1217"/>
      <c r="K45" s="25"/>
      <c r="L45" s="1528"/>
      <c r="O45" s="412" t="s">
        <v>1093</v>
      </c>
    </row>
    <row r="46" spans="1:18">
      <c r="B46" s="382"/>
      <c r="C46" s="1424"/>
      <c r="D46" s="1090"/>
      <c r="E46" s="1090"/>
      <c r="F46" s="1090"/>
      <c r="G46" s="1090"/>
      <c r="H46" s="1090"/>
      <c r="I46" s="1090"/>
      <c r="J46" s="1090"/>
      <c r="K46" s="1090"/>
      <c r="L46" s="1090"/>
      <c r="M46" s="1427"/>
      <c r="N46" s="1427"/>
      <c r="O46" s="1427"/>
    </row>
    <row r="47" spans="1:18" ht="14.25">
      <c r="A47" s="625" t="s">
        <v>1094</v>
      </c>
      <c r="B47" s="625"/>
      <c r="C47" s="625"/>
      <c r="D47" s="625"/>
      <c r="E47" s="625"/>
      <c r="F47" s="625"/>
      <c r="G47" s="625"/>
      <c r="H47" s="625"/>
      <c r="I47" s="625"/>
      <c r="J47" s="625"/>
      <c r="K47" s="625"/>
      <c r="L47" s="625"/>
      <c r="M47" s="625"/>
      <c r="N47" s="625"/>
      <c r="O47" s="625"/>
    </row>
    <row r="48" spans="1:18">
      <c r="A48" s="1217"/>
    </row>
    <row r="49" spans="1:1">
      <c r="A49" s="1547"/>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tabSelected="1" zoomScale="85" zoomScaleNormal="85" workbookViewId="0">
      <pane ySplit="12" topLeftCell="A27" activePane="bottomLeft" state="frozen"/>
      <selection activeCell="N29" sqref="N29"/>
      <selection pane="bottomLeft" activeCell="N29" sqref="N29"/>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1742</v>
      </c>
      <c r="B1" s="1458"/>
      <c r="C1" s="382"/>
      <c r="D1" s="382"/>
      <c r="E1" s="382"/>
      <c r="F1" s="382"/>
      <c r="G1" s="382"/>
      <c r="H1" s="382"/>
      <c r="I1" s="382"/>
      <c r="J1" s="382"/>
      <c r="K1" s="382"/>
      <c r="L1" s="382"/>
      <c r="M1" s="382"/>
      <c r="N1" s="382"/>
      <c r="O1" s="382"/>
    </row>
    <row r="2" spans="1:18" s="381" customFormat="1" ht="18">
      <c r="A2" s="1425" t="s">
        <v>1095</v>
      </c>
      <c r="B2" s="1458"/>
      <c r="C2" s="382"/>
      <c r="D2" s="382"/>
      <c r="E2" s="382"/>
      <c r="F2" s="382"/>
      <c r="G2" s="382"/>
      <c r="H2" s="382"/>
      <c r="I2" s="382"/>
      <c r="J2" s="382"/>
      <c r="K2" s="382"/>
      <c r="L2" s="382"/>
      <c r="M2" s="382"/>
      <c r="N2" s="382"/>
      <c r="O2" s="382"/>
    </row>
    <row r="3" spans="1:18" s="381" customFormat="1" ht="18">
      <c r="A3" s="277" t="s">
        <v>1086</v>
      </c>
      <c r="B3" s="1458"/>
      <c r="C3" s="382"/>
      <c r="D3" s="382"/>
      <c r="E3" s="382"/>
      <c r="F3" s="382"/>
      <c r="G3" s="382"/>
      <c r="H3" s="382"/>
      <c r="I3" s="382"/>
      <c r="J3" s="382"/>
      <c r="K3" s="382"/>
      <c r="L3" s="382"/>
      <c r="M3" s="382"/>
      <c r="N3" s="382"/>
      <c r="O3" s="382"/>
    </row>
    <row r="4" spans="1:18" s="381" customFormat="1" ht="18">
      <c r="A4" s="1425" t="s">
        <v>374</v>
      </c>
      <c r="B4" s="1458"/>
      <c r="C4" s="382"/>
      <c r="D4" s="382"/>
      <c r="E4" s="382"/>
      <c r="F4" s="382"/>
      <c r="G4" s="382"/>
      <c r="H4" s="382"/>
      <c r="I4" s="382"/>
      <c r="J4" s="382"/>
      <c r="K4" s="382"/>
      <c r="L4" s="382"/>
      <c r="M4" s="382"/>
      <c r="N4" s="382"/>
      <c r="O4" s="382"/>
    </row>
    <row r="5" spans="1:18" s="381" customFormat="1" ht="18">
      <c r="A5" s="277" t="s">
        <v>373</v>
      </c>
      <c r="B5" s="1458"/>
      <c r="C5" s="382"/>
      <c r="D5" s="382"/>
      <c r="E5" s="382"/>
      <c r="F5" s="382"/>
      <c r="G5" s="382"/>
      <c r="H5" s="382"/>
      <c r="I5" s="382"/>
      <c r="J5" s="382"/>
      <c r="K5" s="382"/>
      <c r="L5" s="382"/>
      <c r="M5" s="382"/>
      <c r="N5" s="382"/>
      <c r="O5" s="382"/>
    </row>
    <row r="6" spans="1:18" ht="15">
      <c r="A6" s="1210" t="s">
        <v>812</v>
      </c>
      <c r="B6" s="17"/>
      <c r="O6" s="1363" t="s">
        <v>813</v>
      </c>
    </row>
    <row r="7" spans="1:18" s="161" customFormat="1" ht="18" customHeight="1">
      <c r="A7" s="1489"/>
      <c r="B7" s="159"/>
      <c r="C7" s="1490" t="s">
        <v>851</v>
      </c>
      <c r="D7" s="160"/>
      <c r="E7" s="160"/>
      <c r="F7" s="160"/>
      <c r="G7" s="1491" t="s">
        <v>852</v>
      </c>
      <c r="H7" s="1492" t="s">
        <v>1080</v>
      </c>
      <c r="I7" s="160"/>
      <c r="J7" s="160"/>
      <c r="K7" s="160"/>
      <c r="L7" s="160"/>
      <c r="M7" s="1493" t="s">
        <v>1081</v>
      </c>
      <c r="N7" s="1494"/>
      <c r="O7" s="1495" t="s">
        <v>853</v>
      </c>
    </row>
    <row r="8" spans="1:18" s="1497" customFormat="1" ht="18" customHeight="1">
      <c r="A8" s="1496"/>
      <c r="C8" s="1498"/>
      <c r="D8" s="1499" t="s">
        <v>500</v>
      </c>
      <c r="E8" s="1499"/>
      <c r="F8" s="1500"/>
      <c r="G8" s="614"/>
      <c r="H8" s="1496"/>
      <c r="I8" s="1501"/>
      <c r="J8" s="1501"/>
      <c r="K8" s="162" t="s">
        <v>1056</v>
      </c>
      <c r="L8" s="1502"/>
      <c r="M8" s="1503"/>
      <c r="N8" s="1504" t="s">
        <v>854</v>
      </c>
      <c r="O8" s="1495" t="s">
        <v>830</v>
      </c>
    </row>
    <row r="9" spans="1:18" s="1497" customFormat="1" ht="18" customHeight="1">
      <c r="A9" s="24" t="s">
        <v>379</v>
      </c>
      <c r="B9" s="74"/>
      <c r="C9" s="1498" t="s">
        <v>432</v>
      </c>
      <c r="D9" s="1505" t="s">
        <v>815</v>
      </c>
      <c r="E9" s="1499" t="s">
        <v>391</v>
      </c>
      <c r="F9" s="1499" t="s">
        <v>392</v>
      </c>
      <c r="G9" s="372" t="s">
        <v>1083</v>
      </c>
      <c r="H9" s="1498" t="s">
        <v>432</v>
      </c>
      <c r="I9" s="1499" t="s">
        <v>871</v>
      </c>
      <c r="J9" s="1499" t="s">
        <v>837</v>
      </c>
      <c r="K9" s="1499" t="s">
        <v>1058</v>
      </c>
      <c r="L9" s="372" t="s">
        <v>392</v>
      </c>
      <c r="M9" s="372" t="s">
        <v>382</v>
      </c>
      <c r="N9" s="1504" t="s">
        <v>374</v>
      </c>
      <c r="O9" s="1506" t="s">
        <v>833</v>
      </c>
    </row>
    <row r="10" spans="1:18" s="1497" customFormat="1" ht="18" customHeight="1">
      <c r="A10" s="613" t="s">
        <v>387</v>
      </c>
      <c r="B10" s="1507"/>
      <c r="C10" s="1508"/>
      <c r="D10" s="375" t="s">
        <v>818</v>
      </c>
      <c r="E10" s="375" t="s">
        <v>467</v>
      </c>
      <c r="F10" s="375"/>
      <c r="G10" s="375"/>
      <c r="H10" s="1508"/>
      <c r="I10" s="1507"/>
      <c r="J10" s="1509"/>
      <c r="K10" s="375" t="s">
        <v>1062</v>
      </c>
      <c r="L10" s="375"/>
      <c r="M10" s="375"/>
      <c r="N10" s="1510" t="s">
        <v>393</v>
      </c>
      <c r="O10" s="1506" t="s">
        <v>1089</v>
      </c>
    </row>
    <row r="11" spans="1:18" s="1497" customFormat="1" ht="18" customHeight="1">
      <c r="A11" s="613"/>
      <c r="B11" s="1507"/>
      <c r="C11" s="1508" t="s">
        <v>406</v>
      </c>
      <c r="D11" s="375" t="s">
        <v>819</v>
      </c>
      <c r="E11" s="375" t="s">
        <v>506</v>
      </c>
      <c r="F11" s="375" t="s">
        <v>400</v>
      </c>
      <c r="G11" s="375" t="s">
        <v>393</v>
      </c>
      <c r="H11" s="1508" t="s">
        <v>406</v>
      </c>
      <c r="I11" s="375" t="s">
        <v>819</v>
      </c>
      <c r="J11" s="375" t="s">
        <v>844</v>
      </c>
      <c r="K11" s="375" t="s">
        <v>1067</v>
      </c>
      <c r="L11" s="375" t="s">
        <v>400</v>
      </c>
      <c r="M11" s="375" t="s">
        <v>393</v>
      </c>
      <c r="N11" s="1510" t="s">
        <v>373</v>
      </c>
      <c r="O11" s="1506" t="s">
        <v>6</v>
      </c>
    </row>
    <row r="12" spans="1:18" s="1497" customFormat="1" ht="18" customHeight="1">
      <c r="A12" s="1511"/>
      <c r="B12" s="1512"/>
      <c r="C12" s="1513" t="s">
        <v>841</v>
      </c>
      <c r="D12" s="1514"/>
      <c r="E12" s="1514"/>
      <c r="F12" s="1514" t="s">
        <v>842</v>
      </c>
      <c r="G12" s="1515"/>
      <c r="H12" s="1516"/>
      <c r="I12" s="1515"/>
      <c r="J12" s="1515"/>
      <c r="K12" s="1515"/>
      <c r="L12" s="1514" t="s">
        <v>842</v>
      </c>
      <c r="M12" s="1515"/>
      <c r="N12" s="1517"/>
      <c r="O12" s="1514" t="s">
        <v>1096</v>
      </c>
    </row>
    <row r="13" spans="1:18" s="306" customFormat="1" ht="20.25" customHeight="1">
      <c r="A13" s="405">
        <v>2015</v>
      </c>
      <c r="B13" s="497"/>
      <c r="C13" s="1518">
        <v>4769.3747938611141</v>
      </c>
      <c r="D13" s="1519">
        <v>476.76634609297935</v>
      </c>
      <c r="E13" s="802">
        <v>190.10322301637086</v>
      </c>
      <c r="F13" s="1520">
        <v>4165.6299302274019</v>
      </c>
      <c r="G13" s="1521">
        <v>9601.9242931978661</v>
      </c>
      <c r="H13" s="1521">
        <v>34277.310173194819</v>
      </c>
      <c r="I13" s="1522">
        <v>23872.12348408554</v>
      </c>
      <c r="J13" s="1523">
        <v>1768.0208966356188</v>
      </c>
      <c r="K13" s="1524">
        <v>19988.5227075812</v>
      </c>
      <c r="L13" s="1521">
        <v>19305.965289367159</v>
      </c>
      <c r="M13" s="1472">
        <v>99211.89255086433</v>
      </c>
      <c r="N13" s="1522">
        <v>108813.81684406221</v>
      </c>
      <c r="O13" s="1525">
        <v>38417.914977183013</v>
      </c>
      <c r="P13" s="1526"/>
      <c r="Q13" s="1527"/>
      <c r="R13" s="1526"/>
    </row>
    <row r="14" spans="1:18" s="408" customFormat="1" ht="14.25" customHeight="1">
      <c r="A14" s="356">
        <v>2016</v>
      </c>
      <c r="B14" s="551"/>
      <c r="C14" s="780">
        <v>5472.3688273343332</v>
      </c>
      <c r="D14" s="647">
        <v>621.10597751084401</v>
      </c>
      <c r="E14" s="645">
        <v>170.37068374842158</v>
      </c>
      <c r="F14" s="679">
        <v>3986.2553988007721</v>
      </c>
      <c r="G14" s="646">
        <v>10250.150887394373</v>
      </c>
      <c r="H14" s="646">
        <v>29375.981750743947</v>
      </c>
      <c r="I14" s="662">
        <v>22800.963024890541</v>
      </c>
      <c r="J14" s="723">
        <v>889.49317901572408</v>
      </c>
      <c r="K14" s="668">
        <v>23243.034781728056</v>
      </c>
      <c r="L14" s="646">
        <v>16476.189297391775</v>
      </c>
      <c r="M14" s="630">
        <v>92785.662033770044</v>
      </c>
      <c r="N14" s="648">
        <v>103035.86292116441</v>
      </c>
      <c r="O14" s="746">
        <v>45198.819711732496</v>
      </c>
      <c r="P14" s="1526"/>
      <c r="Q14" s="1527"/>
      <c r="R14" s="1526"/>
    </row>
    <row r="15" spans="1:18" s="408" customFormat="1" ht="14.25" customHeight="1">
      <c r="A15" s="356">
        <v>2017</v>
      </c>
      <c r="B15" s="551"/>
      <c r="C15" s="780">
        <v>5025.098498332788</v>
      </c>
      <c r="D15" s="647">
        <v>872.4821147620022</v>
      </c>
      <c r="E15" s="645">
        <v>201.86325861635936</v>
      </c>
      <c r="F15" s="679">
        <v>4310.0438679272957</v>
      </c>
      <c r="G15" s="646">
        <v>10409.487739638445</v>
      </c>
      <c r="H15" s="646">
        <v>27334.166198318475</v>
      </c>
      <c r="I15" s="662">
        <v>22452.848351277913</v>
      </c>
      <c r="J15" s="723">
        <v>536.98968766308599</v>
      </c>
      <c r="K15" s="668">
        <v>26363.573125527524</v>
      </c>
      <c r="L15" s="646">
        <v>16865.395555478983</v>
      </c>
      <c r="M15" s="630">
        <v>93552.972918265994</v>
      </c>
      <c r="N15" s="648">
        <v>103962.46065790442</v>
      </c>
      <c r="O15" s="746">
        <v>35096.268653169369</v>
      </c>
      <c r="P15" s="1526"/>
      <c r="Q15" s="1527"/>
      <c r="R15" s="1526"/>
    </row>
    <row r="16" spans="1:18" s="321" customFormat="1" ht="14.25" customHeight="1">
      <c r="A16" s="747">
        <v>2018</v>
      </c>
      <c r="B16" s="748"/>
      <c r="C16" s="780">
        <v>4895.4357257052889</v>
      </c>
      <c r="D16" s="647">
        <v>1122.3581754469355</v>
      </c>
      <c r="E16" s="645">
        <v>98.556526336243039</v>
      </c>
      <c r="F16" s="679">
        <v>4354.6995856818785</v>
      </c>
      <c r="G16" s="646">
        <v>10471.060013170347</v>
      </c>
      <c r="H16" s="646">
        <v>28238.359348410253</v>
      </c>
      <c r="I16" s="662">
        <v>21561.610907274004</v>
      </c>
      <c r="J16" s="723">
        <v>3.1446406811759999</v>
      </c>
      <c r="K16" s="668">
        <v>28716.625204093187</v>
      </c>
      <c r="L16" s="646">
        <v>17038.901911210534</v>
      </c>
      <c r="M16" s="630">
        <v>95558.643011669163</v>
      </c>
      <c r="N16" s="648">
        <v>106029.67378658651</v>
      </c>
      <c r="O16" s="746">
        <v>29736.504306127077</v>
      </c>
      <c r="P16" s="779"/>
      <c r="Q16" s="781"/>
      <c r="R16" s="779"/>
    </row>
    <row r="17" spans="1:18" s="321" customFormat="1" ht="14.25" customHeight="1">
      <c r="A17" s="747">
        <v>2019</v>
      </c>
      <c r="B17" s="748"/>
      <c r="C17" s="780">
        <v>5562.5000579657335</v>
      </c>
      <c r="D17" s="647">
        <v>807.22339510005702</v>
      </c>
      <c r="E17" s="645">
        <v>390.16756657750477</v>
      </c>
      <c r="F17" s="679">
        <v>5104.2828140965767</v>
      </c>
      <c r="G17" s="646">
        <v>11864.173826929073</v>
      </c>
      <c r="H17" s="646">
        <v>30443.485140361805</v>
      </c>
      <c r="I17" s="662">
        <v>22182.69966964583</v>
      </c>
      <c r="J17" s="723">
        <v>538.57512067803589</v>
      </c>
      <c r="K17" s="668">
        <v>30907.858002213099</v>
      </c>
      <c r="L17" s="646">
        <v>14901.316629968631</v>
      </c>
      <c r="M17" s="630">
        <v>98973.964562867404</v>
      </c>
      <c r="N17" s="648">
        <v>110838.15874899647</v>
      </c>
      <c r="O17" s="746">
        <v>21905.784079995654</v>
      </c>
      <c r="P17" s="779"/>
      <c r="Q17" s="781"/>
      <c r="R17" s="779"/>
    </row>
    <row r="18" spans="1:18" s="321" customFormat="1" ht="14.25" customHeight="1">
      <c r="A18" s="747">
        <v>2020</v>
      </c>
      <c r="B18" s="748"/>
      <c r="C18" s="780">
        <v>6276.0517736601141</v>
      </c>
      <c r="D18" s="647">
        <v>1025.9470837554898</v>
      </c>
      <c r="E18" s="645">
        <v>232.98780029725</v>
      </c>
      <c r="F18" s="679">
        <v>5186.2304370686579</v>
      </c>
      <c r="G18" s="646">
        <v>12721.217087969811</v>
      </c>
      <c r="H18" s="646">
        <v>27354.185960194889</v>
      </c>
      <c r="I18" s="662">
        <v>20540.836072600301</v>
      </c>
      <c r="J18" s="723">
        <v>1039.355257824702</v>
      </c>
      <c r="K18" s="668">
        <v>35455.621751979386</v>
      </c>
      <c r="L18" s="646">
        <v>15967.56302868453</v>
      </c>
      <c r="M18" s="630">
        <v>100357.55207128383</v>
      </c>
      <c r="N18" s="648">
        <v>113078.75915925363</v>
      </c>
      <c r="O18" s="746">
        <v>19623.44810467762</v>
      </c>
      <c r="P18" s="779"/>
      <c r="Q18" s="781"/>
      <c r="R18" s="779"/>
    </row>
    <row r="19" spans="1:18" s="321" customFormat="1" ht="14.25" customHeight="1">
      <c r="A19" s="747">
        <v>2021</v>
      </c>
      <c r="B19" s="748"/>
      <c r="C19" s="780">
        <v>7446.8269517946537</v>
      </c>
      <c r="D19" s="647">
        <v>979.91857482335399</v>
      </c>
      <c r="E19" s="645">
        <v>274.95735178982557</v>
      </c>
      <c r="F19" s="679">
        <v>4786.1033037429697</v>
      </c>
      <c r="G19" s="646">
        <v>13487.806182150804</v>
      </c>
      <c r="H19" s="646">
        <v>33274.908926279531</v>
      </c>
      <c r="I19" s="662">
        <v>21472.523485089674</v>
      </c>
      <c r="J19" s="723">
        <v>512.21777705204897</v>
      </c>
      <c r="K19" s="668">
        <v>35091.9181507795</v>
      </c>
      <c r="L19" s="646">
        <v>14263.40893625649</v>
      </c>
      <c r="M19" s="630">
        <v>104614.92727545711</v>
      </c>
      <c r="N19" s="648">
        <v>118102.73345760684</v>
      </c>
      <c r="O19" s="746">
        <v>20834.975574016094</v>
      </c>
      <c r="P19" s="779"/>
      <c r="Q19" s="781"/>
      <c r="R19" s="779"/>
    </row>
    <row r="20" spans="1:18" s="321" customFormat="1" ht="14.25" customHeight="1">
      <c r="A20" s="747">
        <v>2022</v>
      </c>
      <c r="B20" s="748"/>
      <c r="C20" s="780">
        <v>6701.2014015622372</v>
      </c>
      <c r="D20" s="647">
        <v>1889.2183679958953</v>
      </c>
      <c r="E20" s="645">
        <v>204.64350780293682</v>
      </c>
      <c r="F20" s="679">
        <v>6934.5698676018192</v>
      </c>
      <c r="G20" s="646">
        <v>15729.633144962887</v>
      </c>
      <c r="H20" s="646">
        <v>31645.955667460843</v>
      </c>
      <c r="I20" s="662">
        <v>25442.095881477835</v>
      </c>
      <c r="J20" s="723">
        <v>546.68189714289201</v>
      </c>
      <c r="K20" s="668">
        <v>36231.340790781469</v>
      </c>
      <c r="L20" s="646">
        <v>12777.099732181703</v>
      </c>
      <c r="M20" s="630">
        <v>106643.20396904464</v>
      </c>
      <c r="N20" s="648">
        <v>122372.83711400752</v>
      </c>
      <c r="O20" s="746">
        <v>21483.751969947483</v>
      </c>
      <c r="P20" s="779"/>
      <c r="Q20" s="781"/>
      <c r="R20" s="779"/>
    </row>
    <row r="21" spans="1:18" s="321" customFormat="1" ht="14.25" customHeight="1">
      <c r="A21" s="747">
        <v>2023</v>
      </c>
      <c r="B21" s="748"/>
      <c r="C21" s="780">
        <v>6950.2727625431671</v>
      </c>
      <c r="D21" s="647">
        <v>1771.0204096518075</v>
      </c>
      <c r="E21" s="645">
        <v>47.981840089883526</v>
      </c>
      <c r="F21" s="679">
        <v>5082.7434989219764</v>
      </c>
      <c r="G21" s="646">
        <v>13852.018511206836</v>
      </c>
      <c r="H21" s="646">
        <v>35737.846895121016</v>
      </c>
      <c r="I21" s="662">
        <v>27551.833813543555</v>
      </c>
      <c r="J21" s="723">
        <v>515.99999999952001</v>
      </c>
      <c r="K21" s="668">
        <v>42834.75713933941</v>
      </c>
      <c r="L21" s="646">
        <v>10959.423351313453</v>
      </c>
      <c r="M21" s="630">
        <v>117599.84119931694</v>
      </c>
      <c r="N21" s="648">
        <v>131451.83971052378</v>
      </c>
      <c r="O21" s="746">
        <v>23958.947154089299</v>
      </c>
      <c r="P21" s="779"/>
      <c r="Q21" s="781"/>
      <c r="R21" s="779"/>
    </row>
    <row r="22" spans="1:18" s="321" customFormat="1" ht="14.25" customHeight="1">
      <c r="A22" s="907">
        <v>2024</v>
      </c>
      <c r="B22" s="999"/>
      <c r="C22" s="1002">
        <f t="shared" ref="C22:O22" si="0">C27</f>
        <v>6899.4600072129961</v>
      </c>
      <c r="D22" s="1003">
        <f t="shared" si="0"/>
        <v>1045.9441128210117</v>
      </c>
      <c r="E22" s="1004">
        <f t="shared" si="0"/>
        <v>120.87282053140629</v>
      </c>
      <c r="F22" s="1005">
        <f t="shared" si="0"/>
        <v>4766.0053601959016</v>
      </c>
      <c r="G22" s="1006">
        <f t="shared" si="0"/>
        <v>12832.282300761315</v>
      </c>
      <c r="H22" s="1006">
        <f t="shared" si="0"/>
        <v>41124.759756934851</v>
      </c>
      <c r="I22" s="1007">
        <f t="shared" si="0"/>
        <v>24574.611961686849</v>
      </c>
      <c r="J22" s="1008">
        <f t="shared" si="0"/>
        <v>587.00125878951997</v>
      </c>
      <c r="K22" s="1009">
        <f t="shared" si="0"/>
        <v>45289.749663294875</v>
      </c>
      <c r="L22" s="1006">
        <f t="shared" si="0"/>
        <v>12489.696948405232</v>
      </c>
      <c r="M22" s="1001">
        <f t="shared" si="0"/>
        <v>124065.80958911133</v>
      </c>
      <c r="N22" s="1010">
        <f t="shared" si="0"/>
        <v>136898.09188987262</v>
      </c>
      <c r="O22" s="1011">
        <f t="shared" si="0"/>
        <v>21863.933704486044</v>
      </c>
      <c r="P22" s="778"/>
      <c r="Q22" s="779"/>
      <c r="R22" s="779"/>
    </row>
    <row r="23" spans="1:18" s="321" customFormat="1" ht="21" customHeight="1">
      <c r="A23" s="747">
        <v>2023</v>
      </c>
      <c r="B23" s="748" t="s">
        <v>238</v>
      </c>
      <c r="C23" s="780">
        <v>6950.2727625431671</v>
      </c>
      <c r="D23" s="647">
        <v>1771.0204096518075</v>
      </c>
      <c r="E23" s="645">
        <v>47.981840089883526</v>
      </c>
      <c r="F23" s="679">
        <v>5082.7434989219764</v>
      </c>
      <c r="G23" s="646">
        <v>13852.018511206836</v>
      </c>
      <c r="H23" s="646">
        <v>35737.846895121016</v>
      </c>
      <c r="I23" s="662">
        <v>27551.833813543555</v>
      </c>
      <c r="J23" s="723">
        <v>515.99999999952001</v>
      </c>
      <c r="K23" s="668">
        <v>42834.75713933941</v>
      </c>
      <c r="L23" s="646">
        <v>10959.423351313453</v>
      </c>
      <c r="M23" s="630">
        <v>117599.84119931694</v>
      </c>
      <c r="N23" s="648">
        <v>131451.83971052378</v>
      </c>
      <c r="O23" s="746">
        <v>23958.947154089299</v>
      </c>
      <c r="P23" s="779"/>
      <c r="Q23" s="781"/>
      <c r="R23" s="779"/>
    </row>
    <row r="24" spans="1:18" s="321" customFormat="1" ht="21" customHeight="1">
      <c r="A24" s="747">
        <v>2024</v>
      </c>
      <c r="B24" s="748" t="s">
        <v>239</v>
      </c>
      <c r="C24" s="780">
        <v>6982.7234421300182</v>
      </c>
      <c r="D24" s="647">
        <v>1648.338159672865</v>
      </c>
      <c r="E24" s="645">
        <v>55.390001058328338</v>
      </c>
      <c r="F24" s="679">
        <v>5623.2587222596103</v>
      </c>
      <c r="G24" s="646">
        <v>14309.710325120821</v>
      </c>
      <c r="H24" s="646">
        <v>37032.92883251192</v>
      </c>
      <c r="I24" s="662">
        <v>24626.733689428616</v>
      </c>
      <c r="J24" s="723">
        <v>506.99999999952001</v>
      </c>
      <c r="K24" s="668">
        <v>44946.192611876832</v>
      </c>
      <c r="L24" s="646">
        <v>10432.028968108905</v>
      </c>
      <c r="M24" s="630">
        <v>117544.83410192578</v>
      </c>
      <c r="N24" s="648">
        <v>131854.54442704658</v>
      </c>
      <c r="O24" s="746">
        <v>22804.298235533308</v>
      </c>
      <c r="P24" s="779"/>
      <c r="Q24" s="781"/>
      <c r="R24" s="779"/>
    </row>
    <row r="25" spans="1:18" s="321" customFormat="1" ht="15" customHeight="1">
      <c r="A25" s="747"/>
      <c r="B25" s="748" t="s">
        <v>240</v>
      </c>
      <c r="C25" s="780">
        <v>6724.8166292387341</v>
      </c>
      <c r="D25" s="647">
        <v>1540.6508436123847</v>
      </c>
      <c r="E25" s="645">
        <v>106.19418148303306</v>
      </c>
      <c r="F25" s="679">
        <v>5207.5251450115866</v>
      </c>
      <c r="G25" s="646">
        <v>13579.18679934574</v>
      </c>
      <c r="H25" s="646">
        <v>37590.88448328447</v>
      </c>
      <c r="I25" s="662">
        <v>26554.969580612807</v>
      </c>
      <c r="J25" s="723">
        <v>515.99999999952001</v>
      </c>
      <c r="K25" s="668">
        <v>45116.905166067736</v>
      </c>
      <c r="L25" s="646">
        <v>10723.441424759365</v>
      </c>
      <c r="M25" s="630">
        <v>120502.21065472389</v>
      </c>
      <c r="N25" s="648">
        <v>134081.39745406964</v>
      </c>
      <c r="O25" s="746">
        <v>20727.231556652056</v>
      </c>
      <c r="P25" s="779"/>
      <c r="Q25" s="781"/>
      <c r="R25" s="779"/>
    </row>
    <row r="26" spans="1:18" s="321" customFormat="1" ht="15" customHeight="1">
      <c r="A26" s="747"/>
      <c r="B26" s="748" t="s">
        <v>237</v>
      </c>
      <c r="C26" s="780">
        <v>6887.5307608958428</v>
      </c>
      <c r="D26" s="647">
        <v>1461.205374060929</v>
      </c>
      <c r="E26" s="645">
        <v>110.50826549261909</v>
      </c>
      <c r="F26" s="679">
        <v>5102.0633332173275</v>
      </c>
      <c r="G26" s="646">
        <v>13561.307733666717</v>
      </c>
      <c r="H26" s="646">
        <v>41078.469064863049</v>
      </c>
      <c r="I26" s="662">
        <v>27351.714303339781</v>
      </c>
      <c r="J26" s="723">
        <v>506.99999999952001</v>
      </c>
      <c r="K26" s="668">
        <v>44968.138252921912</v>
      </c>
      <c r="L26" s="646">
        <v>11804.142219719994</v>
      </c>
      <c r="M26" s="630">
        <v>125709.43384084424</v>
      </c>
      <c r="N26" s="648">
        <v>139270.74157451099</v>
      </c>
      <c r="O26" s="746">
        <v>21077.033532164696</v>
      </c>
      <c r="P26" s="779"/>
      <c r="Q26" s="781"/>
      <c r="R26" s="779"/>
    </row>
    <row r="27" spans="1:18" s="321" customFormat="1" ht="15" customHeight="1">
      <c r="A27" s="747"/>
      <c r="B27" s="748" t="s">
        <v>238</v>
      </c>
      <c r="C27" s="780">
        <v>6899.4600072129961</v>
      </c>
      <c r="D27" s="647">
        <v>1045.9441128210117</v>
      </c>
      <c r="E27" s="645">
        <v>120.87282053140629</v>
      </c>
      <c r="F27" s="679">
        <v>4766.0053601959016</v>
      </c>
      <c r="G27" s="646">
        <v>12832.282300761315</v>
      </c>
      <c r="H27" s="646">
        <v>41124.759756934851</v>
      </c>
      <c r="I27" s="662">
        <v>24574.611961686849</v>
      </c>
      <c r="J27" s="723">
        <v>587.00125878951997</v>
      </c>
      <c r="K27" s="668">
        <v>45289.749663294875</v>
      </c>
      <c r="L27" s="646">
        <v>12489.696948405232</v>
      </c>
      <c r="M27" s="630">
        <v>124065.80958911133</v>
      </c>
      <c r="N27" s="648">
        <v>136898.09188987262</v>
      </c>
      <c r="O27" s="746">
        <v>21863.933704486044</v>
      </c>
      <c r="P27" s="779"/>
      <c r="Q27" s="781"/>
      <c r="R27" s="779"/>
    </row>
    <row r="28" spans="1:18" s="321" customFormat="1" ht="21" customHeight="1">
      <c r="A28" s="747">
        <v>2025</v>
      </c>
      <c r="B28" s="748" t="s">
        <v>239</v>
      </c>
      <c r="C28" s="780">
        <f t="shared" ref="C28:O28" si="1">C36</f>
        <v>7513.4609848505697</v>
      </c>
      <c r="D28" s="647">
        <f t="shared" si="1"/>
        <v>1122.4997514029253</v>
      </c>
      <c r="E28" s="645">
        <f t="shared" si="1"/>
        <v>159.67617166095002</v>
      </c>
      <c r="F28" s="679">
        <f t="shared" si="1"/>
        <v>4361.280896042972</v>
      </c>
      <c r="G28" s="646">
        <f t="shared" si="1"/>
        <v>13156.957803957415</v>
      </c>
      <c r="H28" s="646">
        <f t="shared" si="1"/>
        <v>41849.169302501308</v>
      </c>
      <c r="I28" s="662">
        <f t="shared" si="1"/>
        <v>21815.061335379087</v>
      </c>
      <c r="J28" s="723">
        <f t="shared" si="1"/>
        <v>6.1844895200000001E-3</v>
      </c>
      <c r="K28" s="668">
        <f t="shared" si="1"/>
        <v>48190.779437822996</v>
      </c>
      <c r="L28" s="646">
        <f t="shared" si="1"/>
        <v>12225.500990302162</v>
      </c>
      <c r="M28" s="630">
        <f t="shared" si="1"/>
        <v>124080.55725049507</v>
      </c>
      <c r="N28" s="648">
        <f t="shared" si="1"/>
        <v>137237.59505445248</v>
      </c>
      <c r="O28" s="746">
        <f t="shared" si="1"/>
        <v>21835.180425190221</v>
      </c>
      <c r="P28" s="779"/>
      <c r="Q28" s="781"/>
      <c r="R28" s="779"/>
    </row>
    <row r="29" spans="1:18" s="321" customFormat="1" ht="15" customHeight="1">
      <c r="A29" s="747"/>
      <c r="B29" s="748" t="s">
        <v>240</v>
      </c>
      <c r="C29" s="780">
        <f t="shared" ref="C29:O29" si="2">C39</f>
        <v>7892.7024207622326</v>
      </c>
      <c r="D29" s="647">
        <f t="shared" si="2"/>
        <v>1309.1001269300514</v>
      </c>
      <c r="E29" s="645">
        <f t="shared" si="2"/>
        <v>98.380422964587439</v>
      </c>
      <c r="F29" s="679">
        <f t="shared" si="2"/>
        <v>4765.6972296660069</v>
      </c>
      <c r="G29" s="646">
        <f t="shared" si="2"/>
        <v>14065.880200322879</v>
      </c>
      <c r="H29" s="646">
        <f t="shared" si="2"/>
        <v>38980.461456075391</v>
      </c>
      <c r="I29" s="662">
        <f t="shared" si="2"/>
        <v>23481.840676370841</v>
      </c>
      <c r="J29" s="723">
        <f t="shared" si="2"/>
        <v>1.116491952E-2</v>
      </c>
      <c r="K29" s="668">
        <f t="shared" si="2"/>
        <v>48101.707911515026</v>
      </c>
      <c r="L29" s="646">
        <f t="shared" si="2"/>
        <v>11885.739663929979</v>
      </c>
      <c r="M29" s="630">
        <f t="shared" si="2"/>
        <v>122449.74087281075</v>
      </c>
      <c r="N29" s="648">
        <f t="shared" si="2"/>
        <v>136515.64107313362</v>
      </c>
      <c r="O29" s="746">
        <f t="shared" si="2"/>
        <v>24382.8500593719</v>
      </c>
      <c r="P29" s="778"/>
      <c r="Q29" s="779"/>
      <c r="R29" s="779"/>
    </row>
    <row r="30" spans="1:18" s="321" customFormat="1" ht="15" customHeight="1">
      <c r="A30" s="907"/>
      <c r="B30" s="999" t="s">
        <v>237</v>
      </c>
      <c r="C30" s="1002">
        <f t="shared" ref="C30:O30" si="3">C42</f>
        <v>7442.6807921737054</v>
      </c>
      <c r="D30" s="1003">
        <f t="shared" si="3"/>
        <v>1193.6301460218151</v>
      </c>
      <c r="E30" s="1004">
        <f t="shared" si="3"/>
        <v>136.23547568592198</v>
      </c>
      <c r="F30" s="1005">
        <f t="shared" si="3"/>
        <v>4871.7976460485552</v>
      </c>
      <c r="G30" s="1006">
        <f t="shared" si="3"/>
        <v>13644.344059929999</v>
      </c>
      <c r="H30" s="1006">
        <f t="shared" si="3"/>
        <v>37188.202355567068</v>
      </c>
      <c r="I30" s="1007">
        <f t="shared" si="3"/>
        <v>28502.369242941299</v>
      </c>
      <c r="J30" s="1008">
        <f t="shared" si="3"/>
        <v>1.6200079520000001E-2</v>
      </c>
      <c r="K30" s="1009">
        <f t="shared" si="3"/>
        <v>47147.847304741539</v>
      </c>
      <c r="L30" s="1006">
        <f t="shared" si="3"/>
        <v>12753.484343713328</v>
      </c>
      <c r="M30" s="1001">
        <f t="shared" si="3"/>
        <v>125591.91944704275</v>
      </c>
      <c r="N30" s="1010">
        <f t="shared" si="3"/>
        <v>139236.24350697277</v>
      </c>
      <c r="O30" s="1011">
        <f t="shared" si="3"/>
        <v>26048.131780299052</v>
      </c>
      <c r="P30" s="778"/>
      <c r="Q30" s="779"/>
      <c r="R30" s="779"/>
    </row>
    <row r="31" spans="1:18" s="321" customFormat="1" ht="21" customHeight="1">
      <c r="A31" s="747">
        <v>2024</v>
      </c>
      <c r="B31" s="748" t="s">
        <v>412</v>
      </c>
      <c r="C31" s="780">
        <v>7206.2320924018986</v>
      </c>
      <c r="D31" s="647">
        <v>1545.6517575627124</v>
      </c>
      <c r="E31" s="645">
        <v>122.24268330958171</v>
      </c>
      <c r="F31" s="679">
        <v>4711.5551454634315</v>
      </c>
      <c r="G31" s="646">
        <v>13585.671678737623</v>
      </c>
      <c r="H31" s="646">
        <v>42868.776949941122</v>
      </c>
      <c r="I31" s="662">
        <v>26463.540368393147</v>
      </c>
      <c r="J31" s="723">
        <v>509.99999999952001</v>
      </c>
      <c r="K31" s="668">
        <v>43146.186407722518</v>
      </c>
      <c r="L31" s="646">
        <v>12275.765293544786</v>
      </c>
      <c r="M31" s="630">
        <v>125264.2890196011</v>
      </c>
      <c r="N31" s="648">
        <v>138849.96069833872</v>
      </c>
      <c r="O31" s="746">
        <v>24617.004097078992</v>
      </c>
      <c r="P31" s="778"/>
      <c r="Q31" s="779"/>
      <c r="R31" s="779"/>
    </row>
    <row r="32" spans="1:18" s="321" customFormat="1" ht="15">
      <c r="A32" s="747"/>
      <c r="B32" s="748" t="s">
        <v>413</v>
      </c>
      <c r="C32" s="780">
        <v>7297.8516882003269</v>
      </c>
      <c r="D32" s="647">
        <v>1279.1476860691678</v>
      </c>
      <c r="E32" s="645">
        <v>123.05936195598245</v>
      </c>
      <c r="F32" s="679">
        <v>4702.4191098361052</v>
      </c>
      <c r="G32" s="646">
        <v>13402.467846061581</v>
      </c>
      <c r="H32" s="646">
        <v>40949.403804978378</v>
      </c>
      <c r="I32" s="662">
        <v>24988.155584287109</v>
      </c>
      <c r="J32" s="723">
        <v>586.99999999952001</v>
      </c>
      <c r="K32" s="668">
        <v>43264.463532342023</v>
      </c>
      <c r="L32" s="646">
        <v>12158.440094910922</v>
      </c>
      <c r="M32" s="630">
        <v>121947.48301651793</v>
      </c>
      <c r="N32" s="648">
        <v>135349.95086257951</v>
      </c>
      <c r="O32" s="746">
        <v>21108.875455074958</v>
      </c>
      <c r="P32" s="778"/>
      <c r="Q32" s="779"/>
      <c r="R32" s="779"/>
    </row>
    <row r="33" spans="1:18" s="321" customFormat="1" ht="15">
      <c r="A33" s="747"/>
      <c r="B33" s="748" t="s">
        <v>414</v>
      </c>
      <c r="C33" s="780">
        <v>6899.4600072129961</v>
      </c>
      <c r="D33" s="647">
        <v>1045.9441128210117</v>
      </c>
      <c r="E33" s="645">
        <v>120.87282053140629</v>
      </c>
      <c r="F33" s="679">
        <v>4766.0053601959016</v>
      </c>
      <c r="G33" s="646">
        <v>12832.282300761315</v>
      </c>
      <c r="H33" s="646">
        <v>41124.759756934851</v>
      </c>
      <c r="I33" s="662">
        <v>24574.611961686849</v>
      </c>
      <c r="J33" s="723">
        <v>587.00125878951997</v>
      </c>
      <c r="K33" s="668">
        <v>45289.749663294875</v>
      </c>
      <c r="L33" s="646">
        <v>12489.696948405232</v>
      </c>
      <c r="M33" s="630">
        <v>124065.80958911133</v>
      </c>
      <c r="N33" s="648">
        <v>136898.09188987262</v>
      </c>
      <c r="O33" s="746">
        <v>21863.933704486044</v>
      </c>
      <c r="P33" s="778"/>
      <c r="Q33" s="779"/>
      <c r="R33" s="779"/>
    </row>
    <row r="34" spans="1:18" s="321" customFormat="1" ht="21" customHeight="1">
      <c r="A34" s="747">
        <v>2025</v>
      </c>
      <c r="B34" s="748" t="s">
        <v>415</v>
      </c>
      <c r="C34" s="780">
        <v>7247.7048111466002</v>
      </c>
      <c r="D34" s="647">
        <v>1090.5108223700511</v>
      </c>
      <c r="E34" s="645">
        <v>123.15123469526442</v>
      </c>
      <c r="F34" s="679">
        <v>4970.8530801846782</v>
      </c>
      <c r="G34" s="646">
        <v>13432.259948396597</v>
      </c>
      <c r="H34" s="646">
        <v>37839.261486532298</v>
      </c>
      <c r="I34" s="662">
        <v>24361.497715171332</v>
      </c>
      <c r="J34" s="723">
        <v>2.95541952E-3</v>
      </c>
      <c r="K34" s="668">
        <v>47431.426352651259</v>
      </c>
      <c r="L34" s="646">
        <v>12514.126213840895</v>
      </c>
      <c r="M34" s="630">
        <v>122146.31472361532</v>
      </c>
      <c r="N34" s="648">
        <v>135578.56467201191</v>
      </c>
      <c r="O34" s="746">
        <v>23470.619864277673</v>
      </c>
      <c r="P34" s="778"/>
      <c r="Q34" s="779"/>
      <c r="R34" s="779"/>
    </row>
    <row r="35" spans="1:18" s="321" customFormat="1" ht="15" customHeight="1">
      <c r="A35" s="747"/>
      <c r="B35" s="748" t="s">
        <v>416</v>
      </c>
      <c r="C35" s="780">
        <v>7438.873951928319</v>
      </c>
      <c r="D35" s="647">
        <v>1253.7043244873589</v>
      </c>
      <c r="E35" s="645">
        <v>156.48720653135052</v>
      </c>
      <c r="F35" s="679">
        <v>4524.1132641642989</v>
      </c>
      <c r="G35" s="646">
        <v>13373.178747111328</v>
      </c>
      <c r="H35" s="646">
        <v>36363.238572707894</v>
      </c>
      <c r="I35" s="662">
        <v>23585.548342336006</v>
      </c>
      <c r="J35" s="723">
        <v>4.4878595199999999E-3</v>
      </c>
      <c r="K35" s="668">
        <v>46495.909038837926</v>
      </c>
      <c r="L35" s="646">
        <v>12086.894973442757</v>
      </c>
      <c r="M35" s="630">
        <v>118531.5454151841</v>
      </c>
      <c r="N35" s="648">
        <v>131904.74416229542</v>
      </c>
      <c r="O35" s="746">
        <v>22690.964676798692</v>
      </c>
      <c r="P35" s="778"/>
      <c r="Q35" s="779"/>
      <c r="R35" s="779"/>
    </row>
    <row r="36" spans="1:18" s="321" customFormat="1" ht="15" customHeight="1">
      <c r="A36" s="747"/>
      <c r="B36" s="748" t="s">
        <v>417</v>
      </c>
      <c r="C36" s="780">
        <v>7513.4609848505697</v>
      </c>
      <c r="D36" s="647">
        <v>1122.4997514029253</v>
      </c>
      <c r="E36" s="645">
        <v>159.67617166095002</v>
      </c>
      <c r="F36" s="679">
        <v>4361.280896042972</v>
      </c>
      <c r="G36" s="646">
        <v>13156.957803957415</v>
      </c>
      <c r="H36" s="646">
        <v>41849.169302501308</v>
      </c>
      <c r="I36" s="662">
        <v>21815.061335379087</v>
      </c>
      <c r="J36" s="723">
        <v>6.1844895200000001E-3</v>
      </c>
      <c r="K36" s="668">
        <v>48190.779437822996</v>
      </c>
      <c r="L36" s="646">
        <v>12225.500990302162</v>
      </c>
      <c r="M36" s="630">
        <v>124080.55725049507</v>
      </c>
      <c r="N36" s="648">
        <v>137237.59505445248</v>
      </c>
      <c r="O36" s="746">
        <v>21835.180425190221</v>
      </c>
      <c r="P36" s="778"/>
      <c r="Q36" s="779"/>
      <c r="R36" s="779"/>
    </row>
    <row r="37" spans="1:18" s="321" customFormat="1" ht="15" customHeight="1">
      <c r="A37" s="747"/>
      <c r="B37" s="748" t="s">
        <v>418</v>
      </c>
      <c r="C37" s="780">
        <v>7862.7748988420544</v>
      </c>
      <c r="D37" s="647">
        <v>1106.2098354111699</v>
      </c>
      <c r="E37" s="645">
        <v>127.41389222474359</v>
      </c>
      <c r="F37" s="679">
        <v>4326.3734310408809</v>
      </c>
      <c r="G37" s="646">
        <v>13422.752057518848</v>
      </c>
      <c r="H37" s="646">
        <v>36520.369887852583</v>
      </c>
      <c r="I37" s="662">
        <v>20581.861435531016</v>
      </c>
      <c r="J37" s="723">
        <v>7.8263895199999992E-3</v>
      </c>
      <c r="K37" s="668">
        <v>47655.319790801426</v>
      </c>
      <c r="L37" s="646">
        <v>12827.341740430002</v>
      </c>
      <c r="M37" s="630">
        <v>117584.90068100454</v>
      </c>
      <c r="N37" s="648">
        <v>131007.67273852338</v>
      </c>
      <c r="O37" s="746">
        <v>21488.043202212084</v>
      </c>
      <c r="P37" s="778"/>
      <c r="Q37" s="779"/>
      <c r="R37" s="779"/>
    </row>
    <row r="38" spans="1:18" s="321" customFormat="1" ht="15" customHeight="1">
      <c r="A38" s="747"/>
      <c r="B38" s="748" t="s">
        <v>419</v>
      </c>
      <c r="C38" s="780">
        <v>8030.7683085740664</v>
      </c>
      <c r="D38" s="647">
        <v>1060.7454849396445</v>
      </c>
      <c r="E38" s="645">
        <v>98.868950788632958</v>
      </c>
      <c r="F38" s="679">
        <v>4455.8212413221427</v>
      </c>
      <c r="G38" s="646">
        <v>13646.203985624488</v>
      </c>
      <c r="H38" s="646">
        <v>38126.327198945772</v>
      </c>
      <c r="I38" s="662">
        <v>20119.171184611288</v>
      </c>
      <c r="J38" s="1204">
        <v>0</v>
      </c>
      <c r="K38" s="668">
        <v>46096.266970517827</v>
      </c>
      <c r="L38" s="646">
        <v>11999.340911123389</v>
      </c>
      <c r="M38" s="630">
        <v>116341.12626519827</v>
      </c>
      <c r="N38" s="648">
        <v>129987.33025082276</v>
      </c>
      <c r="O38" s="746">
        <v>23180.340705302002</v>
      </c>
      <c r="P38" s="778"/>
      <c r="Q38" s="779"/>
      <c r="R38" s="779"/>
    </row>
    <row r="39" spans="1:18" s="321" customFormat="1" ht="15" customHeight="1">
      <c r="A39" s="747"/>
      <c r="B39" s="748" t="s">
        <v>420</v>
      </c>
      <c r="C39" s="780">
        <v>7892.7024207622326</v>
      </c>
      <c r="D39" s="647">
        <v>1309.1001269300514</v>
      </c>
      <c r="E39" s="645">
        <v>98.380422964587439</v>
      </c>
      <c r="F39" s="679">
        <v>4765.6972296660069</v>
      </c>
      <c r="G39" s="646">
        <v>14065.880200322879</v>
      </c>
      <c r="H39" s="646">
        <v>38980.461456075391</v>
      </c>
      <c r="I39" s="662">
        <v>23481.840676370841</v>
      </c>
      <c r="J39" s="1204">
        <v>1.116491952E-2</v>
      </c>
      <c r="K39" s="668">
        <v>48101.707911515026</v>
      </c>
      <c r="L39" s="646">
        <v>11885.739663929979</v>
      </c>
      <c r="M39" s="630">
        <v>122449.74087281075</v>
      </c>
      <c r="N39" s="648">
        <v>136515.64107313362</v>
      </c>
      <c r="O39" s="746">
        <v>24382.8500593719</v>
      </c>
      <c r="P39" s="778"/>
      <c r="Q39" s="779"/>
      <c r="R39" s="779"/>
    </row>
    <row r="40" spans="1:18" s="321" customFormat="1" ht="15" customHeight="1">
      <c r="A40" s="747"/>
      <c r="B40" s="748" t="s">
        <v>421</v>
      </c>
      <c r="C40" s="780">
        <v>8474.0557921989875</v>
      </c>
      <c r="D40" s="647">
        <v>1181.5853702651186</v>
      </c>
      <c r="E40" s="645">
        <v>106.19056620683146</v>
      </c>
      <c r="F40" s="679">
        <v>4800.0393890212399</v>
      </c>
      <c r="G40" s="646">
        <v>14561.891117692179</v>
      </c>
      <c r="H40" s="646">
        <v>33863.503433180609</v>
      </c>
      <c r="I40" s="662">
        <v>22287.899403542673</v>
      </c>
      <c r="J40" s="1204">
        <v>1.286154952E-2</v>
      </c>
      <c r="K40" s="668">
        <v>46557.381609623146</v>
      </c>
      <c r="L40" s="646">
        <v>12499.773211086887</v>
      </c>
      <c r="M40" s="630">
        <v>115208.57051898283</v>
      </c>
      <c r="N40" s="648">
        <v>129770.461636675</v>
      </c>
      <c r="O40" s="746">
        <v>26125.566754999083</v>
      </c>
      <c r="P40" s="778"/>
      <c r="Q40" s="779"/>
      <c r="R40" s="779"/>
    </row>
    <row r="41" spans="1:18" s="321" customFormat="1" ht="15" customHeight="1">
      <c r="A41" s="747"/>
      <c r="B41" s="748" t="s">
        <v>422</v>
      </c>
      <c r="C41" s="780">
        <v>8150.2857457939535</v>
      </c>
      <c r="D41" s="647">
        <v>1193.9029637188416</v>
      </c>
      <c r="E41" s="645">
        <v>162.27696617248989</v>
      </c>
      <c r="F41" s="679">
        <v>4942.2250925073113</v>
      </c>
      <c r="G41" s="646">
        <v>14448.690768192597</v>
      </c>
      <c r="H41" s="646">
        <v>33838.598441314418</v>
      </c>
      <c r="I41" s="662">
        <v>19498.873989211021</v>
      </c>
      <c r="J41" s="1204">
        <v>1.4558179520000001E-2</v>
      </c>
      <c r="K41" s="668">
        <v>48691.757656186746</v>
      </c>
      <c r="L41" s="646">
        <v>12621.306013729867</v>
      </c>
      <c r="M41" s="630">
        <v>114650.55065862158</v>
      </c>
      <c r="N41" s="648">
        <v>129099.26142681418</v>
      </c>
      <c r="O41" s="746">
        <v>24175.970558727797</v>
      </c>
      <c r="P41" s="778"/>
      <c r="Q41" s="779"/>
      <c r="R41" s="779"/>
    </row>
    <row r="42" spans="1:18" s="321" customFormat="1" ht="15" customHeight="1">
      <c r="A42" s="747"/>
      <c r="B42" s="748" t="s">
        <v>423</v>
      </c>
      <c r="C42" s="780">
        <v>7442.6807921737054</v>
      </c>
      <c r="D42" s="647">
        <v>1193.6301460218151</v>
      </c>
      <c r="E42" s="645">
        <v>136.23547568592198</v>
      </c>
      <c r="F42" s="679">
        <v>4871.7976460485552</v>
      </c>
      <c r="G42" s="646">
        <v>13644.344059929999</v>
      </c>
      <c r="H42" s="646">
        <v>37188.202355567068</v>
      </c>
      <c r="I42" s="662">
        <v>28502.369242941299</v>
      </c>
      <c r="J42" s="1204">
        <v>1.6200079520000001E-2</v>
      </c>
      <c r="K42" s="668">
        <v>47147.847304741539</v>
      </c>
      <c r="L42" s="646">
        <v>12753.484343713328</v>
      </c>
      <c r="M42" s="630">
        <v>125591.91944704275</v>
      </c>
      <c r="N42" s="648">
        <v>139236.24350697277</v>
      </c>
      <c r="O42" s="746">
        <v>26048.131780299052</v>
      </c>
      <c r="P42" s="778"/>
      <c r="Q42" s="779"/>
      <c r="R42" s="779"/>
    </row>
    <row r="43" spans="1:18" s="321" customFormat="1" ht="15" customHeight="1">
      <c r="A43" s="747"/>
      <c r="B43" s="748" t="s">
        <v>412</v>
      </c>
      <c r="C43" s="780">
        <v>7805.9593856890133</v>
      </c>
      <c r="D43" s="647">
        <v>1210.6748294036515</v>
      </c>
      <c r="E43" s="645">
        <v>154.57789995034858</v>
      </c>
      <c r="F43" s="679">
        <v>4945.1394676666259</v>
      </c>
      <c r="G43" s="646">
        <v>14116.371582709642</v>
      </c>
      <c r="H43" s="646">
        <v>35011.957937732564</v>
      </c>
      <c r="I43" s="662">
        <v>28582.372938499913</v>
      </c>
      <c r="J43" s="1204">
        <v>1.7896709520000002E-2</v>
      </c>
      <c r="K43" s="668">
        <v>44413.127083747924</v>
      </c>
      <c r="L43" s="646">
        <v>12899.085753737345</v>
      </c>
      <c r="M43" s="630">
        <v>120906.55161042727</v>
      </c>
      <c r="N43" s="648">
        <v>135022.9531931369</v>
      </c>
      <c r="O43" s="746">
        <v>25298.06549210324</v>
      </c>
      <c r="P43" s="778"/>
      <c r="Q43" s="779"/>
      <c r="R43" s="779"/>
    </row>
    <row r="44" spans="1:18" s="381" customFormat="1" ht="20.25" customHeight="1">
      <c r="A44" s="380" t="s">
        <v>1090</v>
      </c>
      <c r="B44" s="380"/>
      <c r="C44" s="380"/>
      <c r="D44" s="380"/>
      <c r="E44" s="380"/>
      <c r="F44" s="220"/>
      <c r="G44" s="220"/>
      <c r="H44" s="220"/>
      <c r="I44" s="380"/>
      <c r="J44" s="380"/>
      <c r="K44" s="380"/>
      <c r="L44" s="380"/>
      <c r="M44" s="380"/>
      <c r="N44" s="380"/>
      <c r="O44" s="409" t="s">
        <v>1097</v>
      </c>
    </row>
    <row r="45" spans="1:18" ht="14.25" customHeight="1">
      <c r="A45" s="381" t="s">
        <v>1098</v>
      </c>
      <c r="B45" s="17"/>
      <c r="C45" s="1528"/>
      <c r="D45" s="1528"/>
      <c r="E45" s="9"/>
      <c r="K45" s="1529"/>
      <c r="L45" s="1528"/>
      <c r="M45" s="1528"/>
      <c r="N45" s="1528"/>
      <c r="O45" s="412" t="s">
        <v>1099</v>
      </c>
    </row>
    <row r="46" spans="1:18">
      <c r="B46" s="1217"/>
      <c r="C46" s="1530"/>
      <c r="D46" s="1530"/>
      <c r="E46" s="1530"/>
      <c r="F46" s="1530"/>
      <c r="G46" s="1530"/>
      <c r="H46" s="1530"/>
      <c r="I46" s="1530"/>
      <c r="J46" s="1530"/>
      <c r="K46" s="1530"/>
      <c r="L46" s="1530"/>
      <c r="M46" s="1530"/>
      <c r="N46" s="1530"/>
      <c r="O46" s="1530"/>
    </row>
    <row r="47" spans="1:18" ht="14.25">
      <c r="A47" s="319" t="s">
        <v>1100</v>
      </c>
      <c r="B47" s="1217"/>
      <c r="C47" s="1217"/>
      <c r="D47" s="1217"/>
      <c r="E47" s="1217"/>
      <c r="F47" s="1217"/>
      <c r="G47" s="1217"/>
      <c r="H47" s="1217"/>
      <c r="I47" s="1217"/>
      <c r="J47" s="1217"/>
      <c r="K47" s="1217"/>
      <c r="L47" s="1217"/>
      <c r="M47" s="1217"/>
      <c r="N47" s="1217"/>
      <c r="O47" s="1217"/>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tabSelected="1" zoomScale="90" zoomScaleNormal="90" workbookViewId="0">
      <pane ySplit="12" topLeftCell="A29" activePane="bottomLeft" state="frozen"/>
      <selection activeCell="N29" sqref="N29"/>
      <selection pane="bottomLeft" activeCell="N29" sqref="N29"/>
    </sheetView>
  </sheetViews>
  <sheetFormatPr defaultColWidth="9.140625" defaultRowHeight="12.75"/>
  <cols>
    <col min="1" max="2" width="9.7109375" style="1251" customWidth="1"/>
    <col min="3" max="3" width="12.7109375" style="1251" customWidth="1"/>
    <col min="4" max="4" width="11.85546875" style="1251" customWidth="1"/>
    <col min="5" max="5" width="12.7109375" style="1251" customWidth="1"/>
    <col min="6" max="6" width="11.7109375" style="1251" customWidth="1"/>
    <col min="7" max="7" width="12.28515625" style="1251" customWidth="1"/>
    <col min="8" max="8" width="10.7109375" style="1251" customWidth="1"/>
    <col min="9" max="9" width="10.28515625" style="1251" customWidth="1"/>
    <col min="10" max="10" width="13" style="1251" customWidth="1"/>
    <col min="11" max="11" width="12.7109375" style="1251" customWidth="1"/>
    <col min="12" max="12" width="13.42578125" style="1251" customWidth="1"/>
    <col min="13" max="13" width="12.7109375" style="1251" customWidth="1"/>
    <col min="14" max="15" width="11.7109375" style="1251" customWidth="1"/>
    <col min="16" max="16" width="10.7109375" style="1251" customWidth="1"/>
    <col min="17" max="17" width="10.28515625" style="1251" customWidth="1"/>
    <col min="18" max="18" width="8.28515625" style="1251" customWidth="1"/>
    <col min="19" max="16384" width="9.140625" style="1251"/>
  </cols>
  <sheetData>
    <row r="1" spans="1:22" s="381" customFormat="1" ht="18">
      <c r="A1" s="277" t="s">
        <v>1741</v>
      </c>
      <c r="B1" s="1458"/>
      <c r="C1" s="1458"/>
      <c r="D1" s="1458"/>
      <c r="E1" s="1458"/>
      <c r="F1" s="1458"/>
      <c r="G1" s="1458"/>
      <c r="H1" s="1458"/>
      <c r="I1" s="1458"/>
      <c r="J1" s="1458"/>
      <c r="K1" s="1458"/>
      <c r="L1" s="1458"/>
      <c r="M1" s="1458"/>
      <c r="N1" s="1458"/>
      <c r="O1" s="1458"/>
      <c r="P1" s="1458"/>
      <c r="Q1" s="1458"/>
    </row>
    <row r="2" spans="1:22" s="381" customFormat="1" ht="18">
      <c r="A2" s="277" t="s">
        <v>1101</v>
      </c>
      <c r="B2" s="1458"/>
      <c r="C2" s="1458"/>
      <c r="D2" s="1458"/>
      <c r="E2" s="1458"/>
      <c r="F2" s="1458"/>
      <c r="G2" s="1458"/>
      <c r="H2" s="1458"/>
      <c r="I2" s="1458"/>
      <c r="J2" s="1458"/>
      <c r="K2" s="1458"/>
      <c r="L2" s="1458"/>
      <c r="M2" s="1458"/>
      <c r="N2" s="1458"/>
      <c r="O2" s="1458"/>
      <c r="P2" s="1458"/>
      <c r="Q2" s="1458"/>
    </row>
    <row r="3" spans="1:22" s="381" customFormat="1" ht="18">
      <c r="A3" s="277" t="s">
        <v>1102</v>
      </c>
      <c r="B3" s="1458"/>
      <c r="C3" s="1458"/>
      <c r="D3" s="1458"/>
      <c r="E3" s="1458"/>
      <c r="F3" s="1458"/>
      <c r="G3" s="1458"/>
      <c r="H3" s="1458"/>
      <c r="I3" s="1458"/>
      <c r="J3" s="1458"/>
      <c r="K3" s="1458"/>
      <c r="L3" s="1458"/>
      <c r="M3" s="1458"/>
      <c r="N3" s="1458"/>
      <c r="O3" s="1458"/>
      <c r="P3" s="1458"/>
      <c r="Q3" s="1458"/>
    </row>
    <row r="4" spans="1:22" s="306" customFormat="1" ht="14.25">
      <c r="A4" s="306" t="s">
        <v>812</v>
      </c>
      <c r="B4" s="319"/>
      <c r="Q4" s="1256" t="s">
        <v>813</v>
      </c>
    </row>
    <row r="5" spans="1:22" s="306" customFormat="1" ht="14.25" hidden="1">
      <c r="B5" s="319"/>
      <c r="Q5" s="1256"/>
    </row>
    <row r="6" spans="1:22" s="306" customFormat="1" ht="14.25" hidden="1">
      <c r="B6" s="319"/>
      <c r="Q6" s="1256"/>
    </row>
    <row r="7" spans="1:22" s="306" customFormat="1" ht="14.25" hidden="1">
      <c r="B7" s="319"/>
      <c r="Q7" s="1256"/>
    </row>
    <row r="8" spans="1:22" s="161" customFormat="1" ht="23.85"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828</v>
      </c>
      <c r="D9" s="182" t="s">
        <v>981</v>
      </c>
      <c r="E9" s="177" t="s">
        <v>982</v>
      </c>
      <c r="F9" s="166"/>
      <c r="G9" s="177"/>
      <c r="H9" s="166"/>
      <c r="I9" s="177"/>
      <c r="J9" s="193"/>
      <c r="K9" s="182" t="s">
        <v>828</v>
      </c>
      <c r="L9" s="182" t="s">
        <v>981</v>
      </c>
      <c r="M9" s="177" t="s">
        <v>982</v>
      </c>
      <c r="N9" s="166"/>
      <c r="O9" s="177"/>
      <c r="P9" s="166"/>
      <c r="Q9" s="177"/>
    </row>
    <row r="10" spans="1:22" s="176" customFormat="1" ht="18" customHeight="1">
      <c r="A10" s="163" t="s">
        <v>379</v>
      </c>
      <c r="B10" s="165"/>
      <c r="C10" s="182" t="s">
        <v>983</v>
      </c>
      <c r="D10" s="182" t="s">
        <v>984</v>
      </c>
      <c r="E10" s="177" t="s">
        <v>501</v>
      </c>
      <c r="F10" s="162" t="s">
        <v>985</v>
      </c>
      <c r="G10" s="177" t="s">
        <v>986</v>
      </c>
      <c r="H10" s="177" t="s">
        <v>987</v>
      </c>
      <c r="I10" s="177" t="s">
        <v>392</v>
      </c>
      <c r="J10" s="193" t="s">
        <v>382</v>
      </c>
      <c r="K10" s="182" t="s">
        <v>983</v>
      </c>
      <c r="L10" s="182" t="s">
        <v>984</v>
      </c>
      <c r="M10" s="177" t="s">
        <v>501</v>
      </c>
      <c r="N10" s="162" t="s">
        <v>985</v>
      </c>
      <c r="O10" s="177" t="s">
        <v>986</v>
      </c>
      <c r="P10" s="177" t="s">
        <v>987</v>
      </c>
      <c r="Q10" s="177" t="s">
        <v>392</v>
      </c>
    </row>
    <row r="11" spans="1:22" s="164" customFormat="1" ht="18" customHeight="1">
      <c r="A11" s="178" t="s">
        <v>387</v>
      </c>
      <c r="B11" s="165"/>
      <c r="C11" s="254" t="s">
        <v>988</v>
      </c>
      <c r="D11" s="256" t="s">
        <v>989</v>
      </c>
      <c r="E11" s="257" t="s">
        <v>990</v>
      </c>
      <c r="F11" s="258" t="s">
        <v>991</v>
      </c>
      <c r="G11" s="258" t="s">
        <v>992</v>
      </c>
      <c r="H11" s="258" t="s">
        <v>993</v>
      </c>
      <c r="I11" s="258" t="s">
        <v>400</v>
      </c>
      <c r="J11" s="259" t="s">
        <v>393</v>
      </c>
      <c r="K11" s="254" t="s">
        <v>988</v>
      </c>
      <c r="L11" s="256" t="s">
        <v>989</v>
      </c>
      <c r="M11" s="260" t="s">
        <v>990</v>
      </c>
      <c r="N11" s="258" t="s">
        <v>991</v>
      </c>
      <c r="O11" s="258" t="s">
        <v>992</v>
      </c>
      <c r="P11" s="258" t="s">
        <v>993</v>
      </c>
      <c r="Q11" s="258" t="s">
        <v>400</v>
      </c>
    </row>
    <row r="12" spans="1:22" s="164" customFormat="1" ht="18" customHeight="1">
      <c r="A12" s="179"/>
      <c r="B12" s="170"/>
      <c r="C12" s="255" t="s">
        <v>994</v>
      </c>
      <c r="D12" s="255"/>
      <c r="E12" s="261" t="s">
        <v>995</v>
      </c>
      <c r="F12" s="262" t="s">
        <v>842</v>
      </c>
      <c r="G12" s="262"/>
      <c r="H12" s="262"/>
      <c r="I12" s="262"/>
      <c r="J12" s="263"/>
      <c r="K12" s="255" t="s">
        <v>994</v>
      </c>
      <c r="L12" s="255"/>
      <c r="M12" s="262" t="s">
        <v>995</v>
      </c>
      <c r="N12" s="262" t="s">
        <v>842</v>
      </c>
      <c r="O12" s="262"/>
      <c r="P12" s="262"/>
      <c r="Q12" s="262"/>
    </row>
    <row r="13" spans="1:22" s="180" customFormat="1" ht="26.25" customHeight="1">
      <c r="A13" s="850">
        <v>2015</v>
      </c>
      <c r="B13" s="851"/>
      <c r="C13" s="385">
        <v>8642.3978403717083</v>
      </c>
      <c r="D13" s="385">
        <v>35667.537114680898</v>
      </c>
      <c r="E13" s="386">
        <v>3865.0219452101069</v>
      </c>
      <c r="F13" s="386">
        <v>9099.4166255594464</v>
      </c>
      <c r="G13" s="386">
        <v>37986.028275202611</v>
      </c>
      <c r="H13" s="386">
        <v>11763.418544416128</v>
      </c>
      <c r="I13" s="386">
        <v>1790.0600858404521</v>
      </c>
      <c r="J13" s="634">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998"/>
      <c r="U13" s="998"/>
    </row>
    <row r="14" spans="1:22" s="998" customFormat="1" ht="18" customHeight="1">
      <c r="A14" s="850">
        <v>2016</v>
      </c>
      <c r="B14" s="851"/>
      <c r="C14" s="385">
        <v>9620.0926435942747</v>
      </c>
      <c r="D14" s="385">
        <v>35628.362652639815</v>
      </c>
      <c r="E14" s="386">
        <v>3800.7115319418758</v>
      </c>
      <c r="F14" s="386">
        <v>10678.919490214055</v>
      </c>
      <c r="G14" s="386">
        <v>32488.160560878317</v>
      </c>
      <c r="H14" s="386">
        <v>9304.8609894770616</v>
      </c>
      <c r="I14" s="386">
        <v>1514.720391042651</v>
      </c>
      <c r="J14" s="634">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998" customFormat="1" ht="18" customHeight="1">
      <c r="A15" s="850">
        <v>2017</v>
      </c>
      <c r="B15" s="851"/>
      <c r="C15" s="385">
        <v>9844.24222375524</v>
      </c>
      <c r="D15" s="385">
        <v>33126.256780167256</v>
      </c>
      <c r="E15" s="386">
        <v>4168.2348022354199</v>
      </c>
      <c r="F15" s="386">
        <v>10569.579162837721</v>
      </c>
      <c r="G15" s="386">
        <v>35092.905676263479</v>
      </c>
      <c r="H15" s="386">
        <v>9587.1617198524</v>
      </c>
      <c r="I15" s="386">
        <v>1574.087909003021</v>
      </c>
      <c r="J15" s="634">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998" customFormat="1" ht="18.75" customHeight="1">
      <c r="A16" s="850">
        <v>2018</v>
      </c>
      <c r="B16" s="851"/>
      <c r="C16" s="385">
        <v>12077.914251640086</v>
      </c>
      <c r="D16" s="385">
        <v>31562.776179447024</v>
      </c>
      <c r="E16" s="386">
        <v>4773.7616580048834</v>
      </c>
      <c r="F16" s="386">
        <v>10533.217437483518</v>
      </c>
      <c r="G16" s="386">
        <v>36673.279975916616</v>
      </c>
      <c r="H16" s="386">
        <v>8910.7207628212709</v>
      </c>
      <c r="I16" s="386">
        <v>1498.0145586533108</v>
      </c>
      <c r="J16" s="634">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998" customFormat="1" ht="18.75" customHeight="1">
      <c r="A17" s="850">
        <v>2019</v>
      </c>
      <c r="B17" s="851"/>
      <c r="C17" s="385">
        <v>15466.11398654036</v>
      </c>
      <c r="D17" s="385">
        <v>34604.630668385471</v>
      </c>
      <c r="E17" s="386">
        <v>5815.1032999513063</v>
      </c>
      <c r="F17" s="386">
        <v>11262.057416418067</v>
      </c>
      <c r="G17" s="386">
        <v>33090.057462544639</v>
      </c>
      <c r="H17" s="386">
        <v>9169.9627471668682</v>
      </c>
      <c r="I17" s="386">
        <v>1430.2022193663402</v>
      </c>
      <c r="J17" s="634">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998" customFormat="1" ht="18.75" customHeight="1">
      <c r="A18" s="850">
        <v>2020</v>
      </c>
      <c r="B18" s="851"/>
      <c r="C18" s="385">
        <v>15821.056189443967</v>
      </c>
      <c r="D18" s="385">
        <v>35403.49673238019</v>
      </c>
      <c r="E18" s="386">
        <v>6665.1332840062032</v>
      </c>
      <c r="F18" s="386">
        <v>10614.704865499925</v>
      </c>
      <c r="G18" s="386">
        <v>35377.000773867308</v>
      </c>
      <c r="H18" s="386">
        <v>8309.1085102788657</v>
      </c>
      <c r="I18" s="386">
        <v>888.32756427042807</v>
      </c>
      <c r="J18" s="634">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998" customFormat="1" ht="18.75" customHeight="1">
      <c r="A19" s="850">
        <v>2021</v>
      </c>
      <c r="B19" s="851"/>
      <c r="C19" s="385">
        <v>17232.250294437839</v>
      </c>
      <c r="D19" s="385">
        <v>37816.937517521808</v>
      </c>
      <c r="E19" s="386">
        <v>6597.2441783317772</v>
      </c>
      <c r="F19" s="386">
        <v>13146.72354362742</v>
      </c>
      <c r="G19" s="386">
        <v>33701.445760711256</v>
      </c>
      <c r="H19" s="386">
        <v>8571.3019052397322</v>
      </c>
      <c r="I19" s="386">
        <v>1036.9022766760979</v>
      </c>
      <c r="J19" s="634">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998" customFormat="1" ht="18.75" customHeight="1">
      <c r="A20" s="850">
        <v>2022</v>
      </c>
      <c r="B20" s="851"/>
      <c r="C20" s="385">
        <v>17918.865992248684</v>
      </c>
      <c r="D20" s="386">
        <v>33356.105829162763</v>
      </c>
      <c r="E20" s="386">
        <v>8131.2431153442039</v>
      </c>
      <c r="F20" s="386">
        <v>14985.727752316634</v>
      </c>
      <c r="G20" s="386">
        <v>38214.106658238976</v>
      </c>
      <c r="H20" s="386">
        <v>8426.0853144536104</v>
      </c>
      <c r="I20" s="386">
        <v>1340.6563423761206</v>
      </c>
      <c r="J20" s="634">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998" customFormat="1" ht="18.75" customHeight="1">
      <c r="A21" s="850">
        <v>2023</v>
      </c>
      <c r="B21" s="851"/>
      <c r="C21" s="385">
        <v>20602.069929909991</v>
      </c>
      <c r="D21" s="385">
        <v>32440.658075935993</v>
      </c>
      <c r="E21" s="386">
        <v>7581.6086716217669</v>
      </c>
      <c r="F21" s="386">
        <v>19864.403147399196</v>
      </c>
      <c r="G21" s="386">
        <v>40819.090283766287</v>
      </c>
      <c r="H21" s="386">
        <v>8437.0987123190589</v>
      </c>
      <c r="I21" s="386">
        <v>1706.8409748305712</v>
      </c>
      <c r="J21" s="634">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998" customFormat="1" ht="18.75" customHeight="1">
      <c r="A22" s="993">
        <v>2024</v>
      </c>
      <c r="B22" s="994"/>
      <c r="C22" s="995">
        <f t="shared" ref="C22:Q22" si="0">C27</f>
        <v>18454.797295045304</v>
      </c>
      <c r="D22" s="995">
        <f t="shared" si="0"/>
        <v>33833.516129427946</v>
      </c>
      <c r="E22" s="996">
        <f t="shared" si="0"/>
        <v>7434.4302888134898</v>
      </c>
      <c r="F22" s="996">
        <f t="shared" si="0"/>
        <v>25824.764246881081</v>
      </c>
      <c r="G22" s="996">
        <f t="shared" si="0"/>
        <v>39759.67449198087</v>
      </c>
      <c r="H22" s="996">
        <f t="shared" si="0"/>
        <v>9444.0319557111234</v>
      </c>
      <c r="I22" s="996">
        <f t="shared" si="0"/>
        <v>2146.9239109154732</v>
      </c>
      <c r="J22" s="997">
        <f t="shared" si="0"/>
        <v>136898.13831877531</v>
      </c>
      <c r="K22" s="995">
        <f t="shared" si="0"/>
        <v>12832.276220607526</v>
      </c>
      <c r="L22" s="995">
        <f t="shared" si="0"/>
        <v>54630.770053255779</v>
      </c>
      <c r="M22" s="996">
        <f t="shared" si="0"/>
        <v>15464.724053867181</v>
      </c>
      <c r="N22" s="996">
        <f t="shared" si="0"/>
        <v>2750.5711804065463</v>
      </c>
      <c r="O22" s="996">
        <f t="shared" si="0"/>
        <v>40087.708392642358</v>
      </c>
      <c r="P22" s="996">
        <f t="shared" si="0"/>
        <v>10199.528509374772</v>
      </c>
      <c r="Q22" s="996">
        <f t="shared" si="0"/>
        <v>932.5399086211587</v>
      </c>
      <c r="R22" s="352"/>
      <c r="S22" s="352"/>
      <c r="V22" s="180"/>
    </row>
    <row r="23" spans="1:22" s="998" customFormat="1" ht="21" customHeight="1">
      <c r="A23" s="850">
        <v>2023</v>
      </c>
      <c r="B23" s="851" t="s">
        <v>238</v>
      </c>
      <c r="C23" s="385">
        <v>20602.069929909991</v>
      </c>
      <c r="D23" s="385">
        <v>32440.658075935993</v>
      </c>
      <c r="E23" s="386">
        <v>7581.6086716217669</v>
      </c>
      <c r="F23" s="386">
        <v>19864.403147399196</v>
      </c>
      <c r="G23" s="386">
        <v>40819.090283766287</v>
      </c>
      <c r="H23" s="386">
        <v>8437.0987123190589</v>
      </c>
      <c r="I23" s="386">
        <v>1706.8409748305712</v>
      </c>
      <c r="J23" s="634">
        <v>131451.76979578286</v>
      </c>
      <c r="K23" s="385">
        <v>13851.958579643491</v>
      </c>
      <c r="L23" s="385">
        <v>54235.289352198204</v>
      </c>
      <c r="M23" s="386">
        <v>15277.660284697569</v>
      </c>
      <c r="N23" s="386">
        <v>3098.8971894289048</v>
      </c>
      <c r="O23" s="386">
        <v>33728.836004678269</v>
      </c>
      <c r="P23" s="386">
        <v>8914.7858874932699</v>
      </c>
      <c r="Q23" s="386">
        <v>2344.3424976431561</v>
      </c>
      <c r="R23" s="352"/>
      <c r="S23" s="352"/>
      <c r="V23" s="180"/>
    </row>
    <row r="24" spans="1:22" s="998" customFormat="1" ht="21" customHeight="1">
      <c r="A24" s="850">
        <v>2024</v>
      </c>
      <c r="B24" s="851" t="s">
        <v>239</v>
      </c>
      <c r="C24" s="385">
        <v>20444.653780647805</v>
      </c>
      <c r="D24" s="385">
        <v>32696.442964797643</v>
      </c>
      <c r="E24" s="386">
        <v>7562.3820509783118</v>
      </c>
      <c r="F24" s="386">
        <v>19879.332563877688</v>
      </c>
      <c r="G24" s="386">
        <v>40766.406994282457</v>
      </c>
      <c r="H24" s="386">
        <v>8505.8885123546752</v>
      </c>
      <c r="I24" s="386">
        <v>1999.4155874326243</v>
      </c>
      <c r="J24" s="634">
        <v>131854.52245437121</v>
      </c>
      <c r="K24" s="385">
        <v>14309.689400402674</v>
      </c>
      <c r="L24" s="385">
        <v>52837.548762160026</v>
      </c>
      <c r="M24" s="386">
        <v>15116.975389322928</v>
      </c>
      <c r="N24" s="386">
        <v>3191.3317297478829</v>
      </c>
      <c r="O24" s="386">
        <v>34187.530049929992</v>
      </c>
      <c r="P24" s="386">
        <v>9096.0932252945913</v>
      </c>
      <c r="Q24" s="386">
        <v>3115.3538975131232</v>
      </c>
      <c r="R24" s="352"/>
      <c r="S24" s="352"/>
      <c r="V24" s="180"/>
    </row>
    <row r="25" spans="1:22" s="998" customFormat="1" ht="15" customHeight="1">
      <c r="A25" s="850"/>
      <c r="B25" s="851" t="s">
        <v>240</v>
      </c>
      <c r="C25" s="385">
        <v>20558.724855364679</v>
      </c>
      <c r="D25" s="385">
        <v>32919.390544133465</v>
      </c>
      <c r="E25" s="386">
        <v>7642.8985026219107</v>
      </c>
      <c r="F25" s="386">
        <v>20883.671734533535</v>
      </c>
      <c r="G25" s="386">
        <v>41212.384684806908</v>
      </c>
      <c r="H25" s="386">
        <v>8943.7119827157258</v>
      </c>
      <c r="I25" s="386">
        <v>1920.6126000948716</v>
      </c>
      <c r="J25" s="634">
        <v>134081.39490427109</v>
      </c>
      <c r="K25" s="385">
        <v>13579.174632176859</v>
      </c>
      <c r="L25" s="385">
        <v>51365.480649140896</v>
      </c>
      <c r="M25" s="386">
        <v>15919.605518126962</v>
      </c>
      <c r="N25" s="386">
        <v>3290.0865920648384</v>
      </c>
      <c r="O25" s="386">
        <v>38248.011779358669</v>
      </c>
      <c r="P25" s="386">
        <v>9114.1386101029457</v>
      </c>
      <c r="Q25" s="386">
        <v>2564.8971232999174</v>
      </c>
      <c r="R25" s="352"/>
      <c r="S25" s="352"/>
      <c r="V25" s="180"/>
    </row>
    <row r="26" spans="1:22" s="998" customFormat="1" ht="15" customHeight="1">
      <c r="A26" s="850"/>
      <c r="B26" s="851" t="s">
        <v>237</v>
      </c>
      <c r="C26" s="385">
        <v>20989.508404360276</v>
      </c>
      <c r="D26" s="385">
        <v>34888.721952740678</v>
      </c>
      <c r="E26" s="386">
        <v>7174.7439461866716</v>
      </c>
      <c r="F26" s="386">
        <v>21953.429404928087</v>
      </c>
      <c r="G26" s="386">
        <v>42627.417675537086</v>
      </c>
      <c r="H26" s="386">
        <v>9280.5381744141614</v>
      </c>
      <c r="I26" s="386">
        <v>2356.4945269202753</v>
      </c>
      <c r="J26" s="634">
        <v>139270.65408508724</v>
      </c>
      <c r="K26" s="385">
        <v>13561.328294938699</v>
      </c>
      <c r="L26" s="385">
        <v>55460.18217343124</v>
      </c>
      <c r="M26" s="386">
        <v>15790.058139156188</v>
      </c>
      <c r="N26" s="386">
        <v>3399.8785775303604</v>
      </c>
      <c r="O26" s="386">
        <v>39759.304505752254</v>
      </c>
      <c r="P26" s="386">
        <v>8695.3940038431065</v>
      </c>
      <c r="Q26" s="386">
        <v>2604.508390435396</v>
      </c>
      <c r="R26" s="352"/>
      <c r="S26" s="352"/>
      <c r="V26" s="180"/>
    </row>
    <row r="27" spans="1:22" s="998" customFormat="1" ht="15" customHeight="1">
      <c r="A27" s="850"/>
      <c r="B27" s="851" t="s">
        <v>238</v>
      </c>
      <c r="C27" s="385">
        <v>18454.797295045304</v>
      </c>
      <c r="D27" s="385">
        <v>33833.516129427946</v>
      </c>
      <c r="E27" s="386">
        <v>7434.4302888134898</v>
      </c>
      <c r="F27" s="386">
        <v>25824.764246881081</v>
      </c>
      <c r="G27" s="386">
        <v>39759.67449198087</v>
      </c>
      <c r="H27" s="386">
        <v>9444.0319557111234</v>
      </c>
      <c r="I27" s="386">
        <v>2146.9239109154732</v>
      </c>
      <c r="J27" s="634">
        <v>136898.13831877531</v>
      </c>
      <c r="K27" s="385">
        <v>12832.276220607526</v>
      </c>
      <c r="L27" s="385">
        <v>54630.770053255779</v>
      </c>
      <c r="M27" s="386">
        <v>15464.724053867181</v>
      </c>
      <c r="N27" s="386">
        <v>2750.5711804065463</v>
      </c>
      <c r="O27" s="386">
        <v>40087.708392642358</v>
      </c>
      <c r="P27" s="386">
        <v>10199.528509374772</v>
      </c>
      <c r="Q27" s="386">
        <v>932.5399086211587</v>
      </c>
      <c r="R27" s="352"/>
      <c r="S27" s="352"/>
      <c r="V27" s="180"/>
    </row>
    <row r="28" spans="1:22" s="998" customFormat="1" ht="21" customHeight="1">
      <c r="A28" s="850">
        <v>2025</v>
      </c>
      <c r="B28" s="851" t="s">
        <v>239</v>
      </c>
      <c r="C28" s="385">
        <f t="shared" ref="C28:Q28" si="1">C36</f>
        <v>20340.358265562638</v>
      </c>
      <c r="D28" s="385">
        <f t="shared" si="1"/>
        <v>33426.893604242454</v>
      </c>
      <c r="E28" s="386">
        <f t="shared" si="1"/>
        <v>8090.433822881273</v>
      </c>
      <c r="F28" s="386">
        <f t="shared" si="1"/>
        <v>20902.905598724563</v>
      </c>
      <c r="G28" s="386">
        <f t="shared" si="1"/>
        <v>41921.233821032198</v>
      </c>
      <c r="H28" s="386">
        <f t="shared" si="1"/>
        <v>10378.173852571585</v>
      </c>
      <c r="I28" s="386">
        <f t="shared" si="1"/>
        <v>2177.6321630456951</v>
      </c>
      <c r="J28" s="634">
        <f t="shared" si="1"/>
        <v>137237.6311280604</v>
      </c>
      <c r="K28" s="385">
        <f t="shared" si="1"/>
        <v>13156.989886225429</v>
      </c>
      <c r="L28" s="385">
        <f t="shared" si="1"/>
        <v>57335.582149150316</v>
      </c>
      <c r="M28" s="386">
        <f t="shared" si="1"/>
        <v>15043.042717330134</v>
      </c>
      <c r="N28" s="386">
        <f t="shared" si="1"/>
        <v>2063.7607703951899</v>
      </c>
      <c r="O28" s="386">
        <f t="shared" si="1"/>
        <v>38894.142988460932</v>
      </c>
      <c r="P28" s="386">
        <f t="shared" si="1"/>
        <v>9717.5793265612519</v>
      </c>
      <c r="Q28" s="386">
        <f t="shared" si="1"/>
        <v>1026.533289937157</v>
      </c>
      <c r="R28" s="352"/>
      <c r="S28" s="352"/>
      <c r="V28" s="180"/>
    </row>
    <row r="29" spans="1:22" s="998" customFormat="1" ht="15" customHeight="1">
      <c r="A29" s="850"/>
      <c r="B29" s="851" t="s">
        <v>240</v>
      </c>
      <c r="C29" s="385">
        <f t="shared" ref="C29:Q29" si="2">C39</f>
        <v>21183.811427956211</v>
      </c>
      <c r="D29" s="385">
        <f t="shared" si="2"/>
        <v>35743.688440164115</v>
      </c>
      <c r="E29" s="386">
        <f t="shared" si="2"/>
        <v>9092.7783676056206</v>
      </c>
      <c r="F29" s="386">
        <f t="shared" si="2"/>
        <v>20914.929029272393</v>
      </c>
      <c r="G29" s="386">
        <f t="shared" si="2"/>
        <v>37203.456876602781</v>
      </c>
      <c r="H29" s="386">
        <f t="shared" si="2"/>
        <v>10085.231784258374</v>
      </c>
      <c r="I29" s="386">
        <f t="shared" si="2"/>
        <v>2291.7322685337858</v>
      </c>
      <c r="J29" s="634">
        <f t="shared" si="2"/>
        <v>136515.62819439327</v>
      </c>
      <c r="K29" s="385">
        <f t="shared" si="2"/>
        <v>14065.850701226926</v>
      </c>
      <c r="L29" s="385">
        <f t="shared" si="2"/>
        <v>53825.27010900616</v>
      </c>
      <c r="M29" s="386">
        <f t="shared" si="2"/>
        <v>15970.925198211422</v>
      </c>
      <c r="N29" s="386">
        <f t="shared" si="2"/>
        <v>1916.0415814887417</v>
      </c>
      <c r="O29" s="386">
        <f t="shared" si="2"/>
        <v>38463.040222638556</v>
      </c>
      <c r="P29" s="386">
        <f t="shared" si="2"/>
        <v>11436.401223550592</v>
      </c>
      <c r="Q29" s="386">
        <f t="shared" si="2"/>
        <v>838.09915827089571</v>
      </c>
      <c r="R29" s="352"/>
      <c r="S29" s="352"/>
      <c r="V29" s="180"/>
    </row>
    <row r="30" spans="1:22" s="998" customFormat="1" ht="15" customHeight="1">
      <c r="A30" s="993"/>
      <c r="B30" s="994" t="s">
        <v>237</v>
      </c>
      <c r="C30" s="995">
        <f t="shared" ref="C30:Q30" si="3">C42</f>
        <v>21654.536542238598</v>
      </c>
      <c r="D30" s="995">
        <f t="shared" si="3"/>
        <v>37449.287809474066</v>
      </c>
      <c r="E30" s="996">
        <f t="shared" si="3"/>
        <v>8579.1552508808763</v>
      </c>
      <c r="F30" s="996">
        <f t="shared" si="3"/>
        <v>21826.040267198463</v>
      </c>
      <c r="G30" s="996">
        <f t="shared" si="3"/>
        <v>36986.200070174091</v>
      </c>
      <c r="H30" s="996">
        <f t="shared" si="3"/>
        <v>10466.788502406194</v>
      </c>
      <c r="I30" s="996">
        <f t="shared" si="3"/>
        <v>2274.2257408226433</v>
      </c>
      <c r="J30" s="997">
        <f t="shared" si="3"/>
        <v>139236.23418319493</v>
      </c>
      <c r="K30" s="995">
        <f t="shared" si="3"/>
        <v>13644.340882554505</v>
      </c>
      <c r="L30" s="995">
        <f t="shared" si="3"/>
        <v>59476.994594020478</v>
      </c>
      <c r="M30" s="996">
        <f t="shared" si="3"/>
        <v>15918.468751895212</v>
      </c>
      <c r="N30" s="996">
        <f t="shared" si="3"/>
        <v>2254.5367810472758</v>
      </c>
      <c r="O30" s="996">
        <f t="shared" si="3"/>
        <v>35434.076730872992</v>
      </c>
      <c r="P30" s="996">
        <f t="shared" si="3"/>
        <v>11249.190086770779</v>
      </c>
      <c r="Q30" s="996">
        <f t="shared" si="3"/>
        <v>1258.6263560336956</v>
      </c>
      <c r="R30" s="352"/>
      <c r="S30" s="352"/>
      <c r="V30" s="180"/>
    </row>
    <row r="31" spans="1:22" s="180" customFormat="1" ht="21" customHeight="1">
      <c r="A31" s="850">
        <v>2024</v>
      </c>
      <c r="B31" s="851" t="s">
        <v>412</v>
      </c>
      <c r="C31" s="385">
        <v>20047.279525871814</v>
      </c>
      <c r="D31" s="385">
        <v>33659.490247832262</v>
      </c>
      <c r="E31" s="385">
        <v>7191.7739952056654</v>
      </c>
      <c r="F31" s="385">
        <v>23124.190444045915</v>
      </c>
      <c r="G31" s="385">
        <v>43381.49479839069</v>
      </c>
      <c r="H31" s="385">
        <v>9087.6423247712955</v>
      </c>
      <c r="I31" s="386">
        <v>2358.0799773701001</v>
      </c>
      <c r="J31" s="634">
        <v>138849.95131348772</v>
      </c>
      <c r="K31" s="385">
        <v>13585.696367082437</v>
      </c>
      <c r="L31" s="385">
        <v>56391.959941216883</v>
      </c>
      <c r="M31" s="385">
        <v>15229.166661304271</v>
      </c>
      <c r="N31" s="385">
        <v>3141.7991427672819</v>
      </c>
      <c r="O31" s="385">
        <v>40434.987173364105</v>
      </c>
      <c r="P31" s="385">
        <v>9151.5189623731421</v>
      </c>
      <c r="Q31" s="386">
        <v>914.82306537957629</v>
      </c>
      <c r="R31" s="352"/>
      <c r="S31" s="352"/>
    </row>
    <row r="32" spans="1:22" s="180" customFormat="1" ht="15.75">
      <c r="A32" s="850"/>
      <c r="B32" s="851" t="s">
        <v>413</v>
      </c>
      <c r="C32" s="385">
        <v>20522.15719304885</v>
      </c>
      <c r="D32" s="385">
        <v>35302.531812198293</v>
      </c>
      <c r="E32" s="385">
        <v>6602.1260183939812</v>
      </c>
      <c r="F32" s="385">
        <v>21359.455264769575</v>
      </c>
      <c r="G32" s="385">
        <v>40280.290769411826</v>
      </c>
      <c r="H32" s="385">
        <v>8908.4013421863638</v>
      </c>
      <c r="I32" s="386">
        <f t="shared" ref="I32:I36" si="4">$J32-SUM(C32:H32)</f>
        <v>2375.0012894127576</v>
      </c>
      <c r="J32" s="634">
        <v>135349.96368942162</v>
      </c>
      <c r="K32" s="385">
        <v>13402.465108887533</v>
      </c>
      <c r="L32" s="385">
        <v>52755.79485735733</v>
      </c>
      <c r="M32" s="385">
        <v>15278.67703880788</v>
      </c>
      <c r="N32" s="385">
        <v>3197.6500719241421</v>
      </c>
      <c r="O32" s="385">
        <v>39831.647858021024</v>
      </c>
      <c r="P32" s="385">
        <v>9995.0069287086226</v>
      </c>
      <c r="Q32" s="386">
        <f t="shared" ref="Q32" si="5">$J32-SUM(K32:P32)</f>
        <v>888.7218257150671</v>
      </c>
      <c r="R32" s="352"/>
      <c r="S32" s="352"/>
    </row>
    <row r="33" spans="1:19" s="180" customFormat="1" ht="15.75">
      <c r="A33" s="850"/>
      <c r="B33" s="851" t="s">
        <v>414</v>
      </c>
      <c r="C33" s="385">
        <v>18454.797295045304</v>
      </c>
      <c r="D33" s="385">
        <v>33833.516129427946</v>
      </c>
      <c r="E33" s="385">
        <v>7434.4302888134898</v>
      </c>
      <c r="F33" s="385">
        <v>25824.764246881081</v>
      </c>
      <c r="G33" s="385">
        <v>39759.67449198087</v>
      </c>
      <c r="H33" s="385">
        <v>9444.0319557111234</v>
      </c>
      <c r="I33" s="386">
        <f t="shared" si="4"/>
        <v>2146.9239109154732</v>
      </c>
      <c r="J33" s="634">
        <v>136898.13831877531</v>
      </c>
      <c r="K33" s="385">
        <v>12832.276220607526</v>
      </c>
      <c r="L33" s="385">
        <v>54630.770053255779</v>
      </c>
      <c r="M33" s="385">
        <v>15464.724053867181</v>
      </c>
      <c r="N33" s="385">
        <v>2750.5711804065463</v>
      </c>
      <c r="O33" s="385">
        <v>40087.708392642358</v>
      </c>
      <c r="P33" s="385">
        <v>10199.528509374772</v>
      </c>
      <c r="Q33" s="386">
        <f>$J33-SUM(K33:P33)-0.02</f>
        <v>932.5399086211587</v>
      </c>
      <c r="R33" s="352"/>
      <c r="S33" s="352"/>
    </row>
    <row r="34" spans="1:19" s="180" customFormat="1" ht="21" customHeight="1">
      <c r="A34" s="850">
        <v>2025</v>
      </c>
      <c r="B34" s="851" t="s">
        <v>415</v>
      </c>
      <c r="C34" s="385">
        <v>20044.235391307768</v>
      </c>
      <c r="D34" s="385">
        <v>32738.844198481129</v>
      </c>
      <c r="E34" s="385">
        <v>8095.3440317692248</v>
      </c>
      <c r="F34" s="385">
        <v>17820.956393405868</v>
      </c>
      <c r="G34" s="385">
        <v>45724.703113317635</v>
      </c>
      <c r="H34" s="385">
        <v>9003.9509332558391</v>
      </c>
      <c r="I34" s="386">
        <f t="shared" si="4"/>
        <v>2150.6080635290709</v>
      </c>
      <c r="J34" s="634">
        <v>135578.64212506654</v>
      </c>
      <c r="K34" s="385">
        <v>13432.252064563976</v>
      </c>
      <c r="L34" s="385">
        <v>57124.820708894884</v>
      </c>
      <c r="M34" s="385">
        <v>15513.979995692436</v>
      </c>
      <c r="N34" s="385">
        <v>2085.8659000091156</v>
      </c>
      <c r="O34" s="385">
        <v>36490.538701853249</v>
      </c>
      <c r="P34" s="385">
        <v>10047.142602893937</v>
      </c>
      <c r="Q34" s="386">
        <f>$J34-SUM(K34:P34)</f>
        <v>884.04215115893749</v>
      </c>
      <c r="R34" s="352"/>
      <c r="S34" s="352"/>
    </row>
    <row r="35" spans="1:19" s="180" customFormat="1" ht="15.75" customHeight="1">
      <c r="A35" s="850"/>
      <c r="B35" s="851" t="s">
        <v>416</v>
      </c>
      <c r="C35" s="385">
        <v>20361.03072734645</v>
      </c>
      <c r="D35" s="385">
        <v>34111.863785744812</v>
      </c>
      <c r="E35" s="385">
        <v>7828.9162817094002</v>
      </c>
      <c r="F35" s="385">
        <v>13098.812280279804</v>
      </c>
      <c r="G35" s="385">
        <v>44721.039127138574</v>
      </c>
      <c r="H35" s="385">
        <v>9701.5669161560782</v>
      </c>
      <c r="I35" s="386">
        <f t="shared" si="4"/>
        <v>2081.5066666163766</v>
      </c>
      <c r="J35" s="634">
        <v>131904.7357849915</v>
      </c>
      <c r="K35" s="385">
        <v>13373.216407470376</v>
      </c>
      <c r="L35" s="385">
        <v>58460.501380906673</v>
      </c>
      <c r="M35" s="385">
        <v>15304.729198035988</v>
      </c>
      <c r="N35" s="385">
        <v>1998.0539762073897</v>
      </c>
      <c r="O35" s="385">
        <v>31428.227941365443</v>
      </c>
      <c r="P35" s="385">
        <v>10376.040390308413</v>
      </c>
      <c r="Q35" s="386">
        <f>$J35-SUM(K35:P35)</f>
        <v>963.96649069721752</v>
      </c>
      <c r="R35" s="352"/>
      <c r="S35" s="352"/>
    </row>
    <row r="36" spans="1:19" s="180" customFormat="1" ht="15.75" customHeight="1">
      <c r="A36" s="850"/>
      <c r="B36" s="851" t="s">
        <v>417</v>
      </c>
      <c r="C36" s="385">
        <v>20340.358265562638</v>
      </c>
      <c r="D36" s="385">
        <v>33426.893604242454</v>
      </c>
      <c r="E36" s="385">
        <v>8090.433822881273</v>
      </c>
      <c r="F36" s="385">
        <v>20902.905598724563</v>
      </c>
      <c r="G36" s="385">
        <v>41921.233821032198</v>
      </c>
      <c r="H36" s="385">
        <v>10378.173852571585</v>
      </c>
      <c r="I36" s="386">
        <f t="shared" si="4"/>
        <v>2177.6321630456951</v>
      </c>
      <c r="J36" s="634">
        <v>137237.6311280604</v>
      </c>
      <c r="K36" s="385">
        <v>13156.989886225429</v>
      </c>
      <c r="L36" s="385">
        <v>57335.582149150316</v>
      </c>
      <c r="M36" s="385">
        <v>15043.042717330134</v>
      </c>
      <c r="N36" s="385">
        <v>2063.7607703951899</v>
      </c>
      <c r="O36" s="385">
        <v>38894.142988460932</v>
      </c>
      <c r="P36" s="385">
        <v>9717.5793265612519</v>
      </c>
      <c r="Q36" s="386">
        <f>$J36-SUM(K36:P36)</f>
        <v>1026.533289937157</v>
      </c>
      <c r="R36" s="352"/>
      <c r="S36" s="352"/>
    </row>
    <row r="37" spans="1:19" s="180" customFormat="1" ht="15.75" customHeight="1">
      <c r="A37" s="850"/>
      <c r="B37" s="851" t="s">
        <v>418</v>
      </c>
      <c r="C37" s="385">
        <v>20652.671459892135</v>
      </c>
      <c r="D37" s="385">
        <v>35937.836139640363</v>
      </c>
      <c r="E37" s="385">
        <v>8838.4314609993526</v>
      </c>
      <c r="F37" s="385">
        <v>14374.153150512737</v>
      </c>
      <c r="G37" s="385">
        <v>38713.134390993917</v>
      </c>
      <c r="H37" s="385">
        <v>10222.38649148448</v>
      </c>
      <c r="I37" s="386">
        <f t="shared" ref="I37" si="6">$J37-SUM(C37:H37)</f>
        <v>2269.1286505262397</v>
      </c>
      <c r="J37" s="634">
        <v>131007.74174404923</v>
      </c>
      <c r="K37" s="385">
        <v>13422.750679541092</v>
      </c>
      <c r="L37" s="385">
        <v>57357.001349916594</v>
      </c>
      <c r="M37" s="385">
        <v>16012.860327792805</v>
      </c>
      <c r="N37" s="385">
        <v>2136.8889026730917</v>
      </c>
      <c r="O37" s="385">
        <v>30266.141538793483</v>
      </c>
      <c r="P37" s="385">
        <v>10606.139583444963</v>
      </c>
      <c r="Q37" s="386">
        <f>$J37-SUM(K37:P37)-0.02</f>
        <v>1205.9393618872023</v>
      </c>
      <c r="R37" s="352"/>
      <c r="S37" s="352"/>
    </row>
    <row r="38" spans="1:19" s="180" customFormat="1" ht="15.75" customHeight="1">
      <c r="A38" s="850"/>
      <c r="B38" s="851" t="s">
        <v>419</v>
      </c>
      <c r="C38" s="385">
        <v>21506.518565551651</v>
      </c>
      <c r="D38" s="385">
        <v>34388.373085311257</v>
      </c>
      <c r="E38" s="385">
        <v>8829.1158810853576</v>
      </c>
      <c r="F38" s="385">
        <v>15475.142683905719</v>
      </c>
      <c r="G38" s="385">
        <v>37687.525777372706</v>
      </c>
      <c r="H38" s="385">
        <v>9902.0634425633543</v>
      </c>
      <c r="I38" s="386">
        <f t="shared" ref="I38" si="7">$J38-SUM(C38:H38)</f>
        <v>2198.6040329460229</v>
      </c>
      <c r="J38" s="634">
        <v>129987.34346873607</v>
      </c>
      <c r="K38" s="385">
        <v>13646.157347354696</v>
      </c>
      <c r="L38" s="385">
        <v>55450.774386472214</v>
      </c>
      <c r="M38" s="385">
        <v>15734.225910469393</v>
      </c>
      <c r="N38" s="385">
        <v>2078.6699214081841</v>
      </c>
      <c r="O38" s="385">
        <v>32862.741152973278</v>
      </c>
      <c r="P38" s="385">
        <v>9405.8131107790232</v>
      </c>
      <c r="Q38" s="386">
        <f>$J38-SUM(K38:P38)-0.02</f>
        <v>808.94163927928139</v>
      </c>
      <c r="R38" s="352"/>
      <c r="S38" s="352"/>
    </row>
    <row r="39" spans="1:19" s="180" customFormat="1" ht="15.75" customHeight="1">
      <c r="A39" s="850"/>
      <c r="B39" s="851" t="s">
        <v>420</v>
      </c>
      <c r="C39" s="385">
        <v>21183.811427956211</v>
      </c>
      <c r="D39" s="385">
        <v>35743.688440164115</v>
      </c>
      <c r="E39" s="385">
        <v>9092.7783676056206</v>
      </c>
      <c r="F39" s="385">
        <v>20914.929029272393</v>
      </c>
      <c r="G39" s="385">
        <v>37203.456876602781</v>
      </c>
      <c r="H39" s="385">
        <v>10085.231784258374</v>
      </c>
      <c r="I39" s="386">
        <f t="shared" ref="I39" si="8">$J39-SUM(C39:H39)</f>
        <v>2291.7322685337858</v>
      </c>
      <c r="J39" s="634">
        <v>136515.62819439327</v>
      </c>
      <c r="K39" s="385">
        <v>14065.850701226926</v>
      </c>
      <c r="L39" s="385">
        <v>53825.27010900616</v>
      </c>
      <c r="M39" s="385">
        <v>15970.925198211422</v>
      </c>
      <c r="N39" s="385">
        <v>1916.0415814887417</v>
      </c>
      <c r="O39" s="385">
        <v>38463.040222638556</v>
      </c>
      <c r="P39" s="385">
        <v>11436.401223550592</v>
      </c>
      <c r="Q39" s="386">
        <f>$J39-SUM(K39:P39)</f>
        <v>838.09915827089571</v>
      </c>
      <c r="R39" s="352"/>
      <c r="S39" s="352"/>
    </row>
    <row r="40" spans="1:19" s="180" customFormat="1" ht="15.75" customHeight="1">
      <c r="A40" s="850"/>
      <c r="B40" s="851" t="s">
        <v>421</v>
      </c>
      <c r="C40" s="385">
        <v>22201.656004203825</v>
      </c>
      <c r="D40" s="385">
        <v>35954.794007100492</v>
      </c>
      <c r="E40" s="385">
        <v>8843.1793708695513</v>
      </c>
      <c r="F40" s="385">
        <v>13953.745330883068</v>
      </c>
      <c r="G40" s="385">
        <v>36760.023597943698</v>
      </c>
      <c r="H40" s="385">
        <v>9799.7849014707299</v>
      </c>
      <c r="I40" s="386">
        <f t="shared" ref="I40" si="9">$J40-SUM(C40:H40)</f>
        <v>2257.307050368152</v>
      </c>
      <c r="J40" s="634">
        <v>129770.49026283952</v>
      </c>
      <c r="K40" s="385">
        <v>14561.857571208064</v>
      </c>
      <c r="L40" s="385">
        <v>54084.431740089196</v>
      </c>
      <c r="M40" s="385">
        <v>15865.096356982598</v>
      </c>
      <c r="N40" s="385">
        <v>2052.4659300402304</v>
      </c>
      <c r="O40" s="385">
        <v>30268.989993330008</v>
      </c>
      <c r="P40" s="385">
        <v>11935.84185440118</v>
      </c>
      <c r="Q40" s="386">
        <f>$J40-SUM(K40:P40)</f>
        <v>1001.8068167882448</v>
      </c>
      <c r="R40" s="352"/>
      <c r="S40" s="352"/>
    </row>
    <row r="41" spans="1:19" s="180" customFormat="1" ht="15.75" customHeight="1">
      <c r="A41" s="850"/>
      <c r="B41" s="851" t="s">
        <v>422</v>
      </c>
      <c r="C41" s="385">
        <v>22104.02827326292</v>
      </c>
      <c r="D41" s="385">
        <v>35132.676558150335</v>
      </c>
      <c r="E41" s="385">
        <v>8618.3487149135235</v>
      </c>
      <c r="F41" s="385">
        <v>14454.394649211976</v>
      </c>
      <c r="G41" s="385">
        <v>36471.840501116902</v>
      </c>
      <c r="H41" s="385">
        <v>10056.959193985538</v>
      </c>
      <c r="I41" s="386">
        <f t="shared" ref="I41" si="10">$J41-SUM(C41:H41)</f>
        <v>2261.0810283736791</v>
      </c>
      <c r="J41" s="634">
        <v>129099.32891901486</v>
      </c>
      <c r="K41" s="385">
        <v>14448.729553485573</v>
      </c>
      <c r="L41" s="385">
        <v>54925.556063274082</v>
      </c>
      <c r="M41" s="385">
        <v>15688.821967701451</v>
      </c>
      <c r="N41" s="385">
        <v>2176.9879808338787</v>
      </c>
      <c r="O41" s="385">
        <v>30203.941119708583</v>
      </c>
      <c r="P41" s="385">
        <v>10542.997125713378</v>
      </c>
      <c r="Q41" s="386">
        <f>$J41-SUM(K41:P41)</f>
        <v>1112.2951082979271</v>
      </c>
      <c r="R41" s="352"/>
      <c r="S41" s="352"/>
    </row>
    <row r="42" spans="1:19" s="180" customFormat="1" ht="15.75" customHeight="1">
      <c r="A42" s="850"/>
      <c r="B42" s="851" t="s">
        <v>423</v>
      </c>
      <c r="C42" s="385">
        <v>21654.536542238598</v>
      </c>
      <c r="D42" s="385">
        <v>37449.287809474066</v>
      </c>
      <c r="E42" s="385">
        <v>8579.1552508808763</v>
      </c>
      <c r="F42" s="385">
        <v>21826.040267198463</v>
      </c>
      <c r="G42" s="385">
        <v>36986.200070174091</v>
      </c>
      <c r="H42" s="385">
        <v>10466.788502406194</v>
      </c>
      <c r="I42" s="386">
        <f t="shared" ref="I42" si="11">$J42-SUM(C42:H42)</f>
        <v>2274.2257408226433</v>
      </c>
      <c r="J42" s="634">
        <v>139236.23418319493</v>
      </c>
      <c r="K42" s="385">
        <v>13644.340882554505</v>
      </c>
      <c r="L42" s="385">
        <v>59476.994594020478</v>
      </c>
      <c r="M42" s="385">
        <v>15918.468751895212</v>
      </c>
      <c r="N42" s="385">
        <v>2254.5367810472758</v>
      </c>
      <c r="O42" s="385">
        <v>35434.076730872992</v>
      </c>
      <c r="P42" s="385">
        <v>11249.190086770779</v>
      </c>
      <c r="Q42" s="386">
        <f>$J42-SUM(K42:P42)</f>
        <v>1258.6263560336956</v>
      </c>
      <c r="R42" s="352"/>
      <c r="S42" s="352"/>
    </row>
    <row r="43" spans="1:19" s="180" customFormat="1" ht="15.75" customHeight="1">
      <c r="A43" s="850"/>
      <c r="B43" s="851" t="s">
        <v>412</v>
      </c>
      <c r="C43" s="385">
        <v>21200.785320895127</v>
      </c>
      <c r="D43" s="385">
        <v>37948.934393207004</v>
      </c>
      <c r="E43" s="385">
        <v>8456.5437707989404</v>
      </c>
      <c r="F43" s="385">
        <v>20702.490182534297</v>
      </c>
      <c r="G43" s="385">
        <v>34714.714614534423</v>
      </c>
      <c r="H43" s="385">
        <v>9686.5521223465748</v>
      </c>
      <c r="I43" s="386">
        <f t="shared" ref="I43" si="12">$J43-SUM(C43:H43)</f>
        <v>2313.017914840515</v>
      </c>
      <c r="J43" s="634">
        <v>135023.03831915688</v>
      </c>
      <c r="K43" s="385">
        <v>14116.358318840255</v>
      </c>
      <c r="L43" s="385">
        <v>56525.046120423831</v>
      </c>
      <c r="M43" s="385">
        <v>16301.983099567191</v>
      </c>
      <c r="N43" s="385">
        <v>2147.1400355638484</v>
      </c>
      <c r="O43" s="385">
        <v>34237.983568252537</v>
      </c>
      <c r="P43" s="385">
        <v>10499.021827471568</v>
      </c>
      <c r="Q43" s="386">
        <f>$J43-SUM(K43:P43)</f>
        <v>1195.5053490376449</v>
      </c>
      <c r="R43" s="352"/>
      <c r="S43" s="352"/>
    </row>
    <row r="44" spans="1:19" ht="19.5" customHeight="1">
      <c r="A44" s="253" t="s">
        <v>996</v>
      </c>
      <c r="B44" s="1461"/>
      <c r="C44" s="1461"/>
      <c r="D44" s="1461"/>
      <c r="E44" s="1461"/>
      <c r="F44" s="1461"/>
      <c r="G44" s="1461"/>
      <c r="H44" s="1461"/>
      <c r="I44" s="1461"/>
      <c r="J44" s="1461"/>
      <c r="K44" s="1487"/>
      <c r="L44" s="1461"/>
      <c r="M44" s="1461"/>
      <c r="N44" s="1461"/>
      <c r="O44" s="1461"/>
      <c r="P44" s="1461"/>
      <c r="Q44" s="252" t="s">
        <v>997</v>
      </c>
    </row>
    <row r="45" spans="1:19" ht="15.95" customHeight="1">
      <c r="A45" s="306" t="s">
        <v>998</v>
      </c>
      <c r="Q45" s="365" t="s">
        <v>999</v>
      </c>
    </row>
    <row r="46" spans="1:19" s="180" customFormat="1" ht="15">
      <c r="A46" s="306" t="s">
        <v>1000</v>
      </c>
      <c r="B46" s="306"/>
      <c r="C46" s="306"/>
      <c r="D46" s="306"/>
      <c r="E46" s="306"/>
      <c r="F46" s="306"/>
      <c r="G46" s="306"/>
      <c r="H46" s="306"/>
      <c r="I46" s="306"/>
      <c r="J46" s="276"/>
      <c r="K46" s="276"/>
      <c r="L46" s="276"/>
      <c r="M46" s="276"/>
      <c r="N46" s="276"/>
      <c r="O46" s="276"/>
      <c r="P46" s="276"/>
      <c r="Q46" s="627" t="s">
        <v>1001</v>
      </c>
    </row>
    <row r="48" spans="1:19" s="180" customFormat="1" ht="15">
      <c r="A48" s="276" t="s">
        <v>1103</v>
      </c>
      <c r="B48" s="276"/>
      <c r="C48" s="276"/>
      <c r="D48" s="276"/>
      <c r="E48" s="276"/>
      <c r="F48" s="276"/>
      <c r="G48" s="276"/>
      <c r="H48" s="276"/>
      <c r="I48" s="276"/>
      <c r="J48" s="276"/>
      <c r="K48" s="276"/>
      <c r="L48" s="276"/>
      <c r="M48" s="276"/>
      <c r="N48" s="276"/>
      <c r="O48" s="276"/>
      <c r="P48" s="276"/>
      <c r="Q48" s="276"/>
    </row>
    <row r="50" spans="3:17">
      <c r="C50" s="1488"/>
      <c r="D50" s="1488"/>
      <c r="E50" s="1488"/>
      <c r="F50" s="1488"/>
      <c r="G50" s="1488"/>
      <c r="H50" s="1488"/>
      <c r="I50" s="1488"/>
      <c r="J50" s="1488"/>
      <c r="K50" s="1488"/>
      <c r="L50" s="1488"/>
      <c r="M50" s="1488"/>
      <c r="N50" s="1488"/>
      <c r="O50" s="1488"/>
      <c r="P50" s="1488"/>
      <c r="Q50" s="1488"/>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tabSelected="1" zoomScale="80" zoomScaleNormal="80" workbookViewId="0">
      <pane ySplit="12" topLeftCell="A19" activePane="bottomLeft" state="frozen"/>
      <selection activeCell="N29" sqref="N29"/>
      <selection pane="bottomLeft" activeCell="N29" sqref="N29"/>
    </sheetView>
  </sheetViews>
  <sheetFormatPr defaultColWidth="9.140625" defaultRowHeight="12.75"/>
  <cols>
    <col min="1" max="2" width="9.7109375" style="1251" customWidth="1"/>
    <col min="3" max="3" width="10.85546875" style="1251" customWidth="1"/>
    <col min="4" max="4" width="12.85546875" style="1251" customWidth="1"/>
    <col min="5" max="5" width="11.7109375" style="1251" customWidth="1"/>
    <col min="6" max="6" width="10.7109375" style="1251" customWidth="1"/>
    <col min="7" max="7" width="11.85546875" style="1251" customWidth="1"/>
    <col min="8" max="8" width="11.7109375" style="1251" customWidth="1"/>
    <col min="9" max="9" width="10.7109375" style="1251" customWidth="1"/>
    <col min="10" max="10" width="12.7109375" style="1251" customWidth="1"/>
    <col min="11" max="11" width="10.85546875" style="1251" customWidth="1"/>
    <col min="12" max="12" width="12.85546875" style="1251" customWidth="1"/>
    <col min="13" max="13" width="11.7109375" style="1251" customWidth="1"/>
    <col min="14" max="14" width="10.7109375" style="1251" customWidth="1"/>
    <col min="15" max="16" width="11.7109375" style="1251" customWidth="1"/>
    <col min="17" max="17" width="10.7109375" style="1251" customWidth="1"/>
    <col min="18" max="16384" width="9.140625" style="1251"/>
  </cols>
  <sheetData>
    <row r="1" spans="1:19" s="381" customFormat="1" ht="18">
      <c r="A1" s="277" t="s">
        <v>1740</v>
      </c>
      <c r="B1" s="1458"/>
      <c r="C1" s="1458"/>
      <c r="D1" s="1458"/>
      <c r="E1" s="1458"/>
      <c r="F1" s="1458"/>
      <c r="G1" s="1458"/>
      <c r="H1" s="1458"/>
      <c r="I1" s="1458"/>
      <c r="J1" s="1458"/>
      <c r="K1" s="1458"/>
      <c r="L1" s="1458"/>
      <c r="M1" s="1458"/>
      <c r="N1" s="1458"/>
      <c r="O1" s="1458"/>
      <c r="P1" s="1458"/>
      <c r="Q1" s="1458"/>
    </row>
    <row r="2" spans="1:19" s="381" customFormat="1" ht="18">
      <c r="A2" s="1425" t="s">
        <v>1104</v>
      </c>
      <c r="B2" s="1458"/>
      <c r="C2" s="1458"/>
      <c r="D2" s="1458"/>
      <c r="E2" s="1458"/>
      <c r="F2" s="1458"/>
      <c r="G2" s="1458"/>
      <c r="H2" s="1458"/>
      <c r="I2" s="1458"/>
      <c r="J2" s="1458"/>
      <c r="K2" s="1458"/>
      <c r="L2" s="1458"/>
      <c r="M2" s="1458"/>
      <c r="N2" s="1458"/>
      <c r="O2" s="1458"/>
      <c r="P2" s="1458"/>
      <c r="Q2" s="1458"/>
    </row>
    <row r="3" spans="1:19" s="381" customFormat="1" ht="18">
      <c r="A3" s="1459" t="s">
        <v>1105</v>
      </c>
      <c r="B3" s="1458"/>
      <c r="C3" s="1458"/>
      <c r="D3" s="1458"/>
      <c r="E3" s="1458"/>
      <c r="F3" s="1458"/>
      <c r="G3" s="1458"/>
      <c r="H3" s="1458"/>
      <c r="I3" s="1458"/>
      <c r="J3" s="1458"/>
      <c r="K3" s="1458"/>
      <c r="L3" s="1458"/>
      <c r="M3" s="1458"/>
      <c r="N3" s="1458"/>
      <c r="O3" s="1458"/>
      <c r="P3" s="1458"/>
      <c r="Q3" s="1458"/>
    </row>
    <row r="4" spans="1:19" s="306" customFormat="1" ht="14.25">
      <c r="A4" s="1484" t="s">
        <v>812</v>
      </c>
      <c r="B4" s="319"/>
      <c r="Q4" s="1256" t="s">
        <v>813</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1005</v>
      </c>
      <c r="D9" s="177" t="s">
        <v>1006</v>
      </c>
      <c r="E9" s="177" t="s">
        <v>1007</v>
      </c>
      <c r="F9" s="162" t="s">
        <v>1008</v>
      </c>
      <c r="G9" s="162"/>
      <c r="H9" s="177" t="s">
        <v>1009</v>
      </c>
      <c r="I9" s="177"/>
      <c r="J9" s="194"/>
      <c r="K9" s="182" t="s">
        <v>1005</v>
      </c>
      <c r="L9" s="177" t="s">
        <v>1006</v>
      </c>
      <c r="M9" s="177" t="s">
        <v>1007</v>
      </c>
      <c r="N9" s="162" t="s">
        <v>1008</v>
      </c>
      <c r="O9" s="162"/>
      <c r="P9" s="177" t="s">
        <v>1009</v>
      </c>
      <c r="Q9" s="177"/>
    </row>
    <row r="10" spans="1:19" s="176" customFormat="1" ht="18" customHeight="1">
      <c r="A10" s="163" t="s">
        <v>379</v>
      </c>
      <c r="B10" s="165"/>
      <c r="C10" s="182" t="s">
        <v>1010</v>
      </c>
      <c r="D10" s="177" t="s">
        <v>1011</v>
      </c>
      <c r="E10" s="177" t="s">
        <v>1012</v>
      </c>
      <c r="F10" s="162" t="s">
        <v>1013</v>
      </c>
      <c r="G10" s="162" t="s">
        <v>348</v>
      </c>
      <c r="H10" s="177" t="s">
        <v>1014</v>
      </c>
      <c r="I10" s="177" t="s">
        <v>392</v>
      </c>
      <c r="J10" s="193" t="s">
        <v>382</v>
      </c>
      <c r="K10" s="182" t="s">
        <v>1010</v>
      </c>
      <c r="L10" s="177" t="s">
        <v>1011</v>
      </c>
      <c r="M10" s="177" t="s">
        <v>1012</v>
      </c>
      <c r="N10" s="162" t="s">
        <v>1013</v>
      </c>
      <c r="O10" s="162" t="s">
        <v>348</v>
      </c>
      <c r="P10" s="177" t="s">
        <v>1014</v>
      </c>
      <c r="Q10" s="177" t="s">
        <v>392</v>
      </c>
    </row>
    <row r="11" spans="1:19" s="164" customFormat="1" ht="18" customHeight="1">
      <c r="A11" s="178" t="s">
        <v>387</v>
      </c>
      <c r="B11" s="165"/>
      <c r="C11" s="191" t="s">
        <v>1015</v>
      </c>
      <c r="D11" s="166" t="s">
        <v>1016</v>
      </c>
      <c r="E11" s="166" t="s">
        <v>1017</v>
      </c>
      <c r="F11" s="166" t="s">
        <v>1018</v>
      </c>
      <c r="G11" s="166" t="s">
        <v>545</v>
      </c>
      <c r="H11" s="166" t="s">
        <v>1019</v>
      </c>
      <c r="I11" s="168" t="s">
        <v>400</v>
      </c>
      <c r="J11" s="195" t="s">
        <v>393</v>
      </c>
      <c r="K11" s="191" t="s">
        <v>1015</v>
      </c>
      <c r="L11" s="166" t="s">
        <v>1016</v>
      </c>
      <c r="M11" s="166" t="s">
        <v>1017</v>
      </c>
      <c r="N11" s="166" t="s">
        <v>1018</v>
      </c>
      <c r="O11" s="166" t="s">
        <v>545</v>
      </c>
      <c r="P11" s="166" t="s">
        <v>1019</v>
      </c>
      <c r="Q11" s="168" t="s">
        <v>400</v>
      </c>
    </row>
    <row r="12" spans="1:19" s="164" customFormat="1" ht="18" customHeight="1">
      <c r="A12" s="179"/>
      <c r="B12" s="170"/>
      <c r="C12" s="192" t="s">
        <v>1020</v>
      </c>
      <c r="D12" s="198" t="s">
        <v>1021</v>
      </c>
      <c r="E12" s="198" t="s">
        <v>1022</v>
      </c>
      <c r="F12" s="198" t="s">
        <v>1023</v>
      </c>
      <c r="G12" s="198"/>
      <c r="H12" s="198" t="s">
        <v>1024</v>
      </c>
      <c r="I12" s="199"/>
      <c r="J12" s="196"/>
      <c r="K12" s="192" t="s">
        <v>1020</v>
      </c>
      <c r="L12" s="198" t="s">
        <v>1021</v>
      </c>
      <c r="M12" s="198" t="s">
        <v>1022</v>
      </c>
      <c r="N12" s="198" t="s">
        <v>1023</v>
      </c>
      <c r="O12" s="198"/>
      <c r="P12" s="198" t="s">
        <v>1024</v>
      </c>
      <c r="Q12" s="198"/>
    </row>
    <row r="13" spans="1:19" s="180" customFormat="1" ht="26.25" customHeight="1">
      <c r="A13" s="850">
        <v>2015</v>
      </c>
      <c r="B13" s="851"/>
      <c r="C13" s="385">
        <v>1634.8224716742291</v>
      </c>
      <c r="D13" s="385">
        <v>13329.446530279361</v>
      </c>
      <c r="E13" s="386">
        <v>74085.783148039875</v>
      </c>
      <c r="F13" s="386">
        <v>2516.8344517474343</v>
      </c>
      <c r="G13" s="386">
        <v>8272.9836197311015</v>
      </c>
      <c r="H13" s="386">
        <v>265.11841279801604</v>
      </c>
      <c r="I13" s="386">
        <v>8708.8875087851575</v>
      </c>
      <c r="J13" s="634">
        <v>108813.77614305518</v>
      </c>
      <c r="K13" s="386">
        <v>768.40996452642457</v>
      </c>
      <c r="L13" s="386">
        <v>9358.1728144871995</v>
      </c>
      <c r="M13" s="386">
        <v>85126.210369098611</v>
      </c>
      <c r="N13" s="386">
        <v>1557.8007162246365</v>
      </c>
      <c r="O13" s="1460">
        <v>8007.5743818072115</v>
      </c>
      <c r="P13" s="386">
        <v>140.212624898153</v>
      </c>
      <c r="Q13" s="1485">
        <v>3855.4362431902005</v>
      </c>
      <c r="R13" s="352"/>
      <c r="S13" s="352"/>
    </row>
    <row r="14" spans="1:19" s="597" customFormat="1" ht="18" customHeight="1">
      <c r="A14" s="850">
        <v>2016</v>
      </c>
      <c r="B14" s="851"/>
      <c r="C14" s="385">
        <v>1541.0784734546478</v>
      </c>
      <c r="D14" s="385">
        <v>11851.69125368208</v>
      </c>
      <c r="E14" s="386">
        <v>71479.325538554069</v>
      </c>
      <c r="F14" s="386">
        <v>3490.5772857423458</v>
      </c>
      <c r="G14" s="386">
        <v>7471.044986212517</v>
      </c>
      <c r="H14" s="386">
        <v>377.98042954998209</v>
      </c>
      <c r="I14" s="386">
        <v>6824.1784047769088</v>
      </c>
      <c r="J14" s="634">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597" customFormat="1" ht="18" customHeight="1">
      <c r="A15" s="850">
        <v>2017</v>
      </c>
      <c r="B15" s="851"/>
      <c r="C15" s="385">
        <v>1176.9205855075943</v>
      </c>
      <c r="D15" s="385">
        <v>9769.3189391180204</v>
      </c>
      <c r="E15" s="386">
        <v>72635.958991239357</v>
      </c>
      <c r="F15" s="386">
        <v>2798.0818057817291</v>
      </c>
      <c r="G15" s="386">
        <v>10752.958907859858</v>
      </c>
      <c r="H15" s="386">
        <v>294.17466467098399</v>
      </c>
      <c r="I15" s="386">
        <v>6534.9999185983379</v>
      </c>
      <c r="J15" s="634">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998" customFormat="1" ht="18.75" customHeight="1">
      <c r="A16" s="850">
        <v>2018</v>
      </c>
      <c r="B16" s="851"/>
      <c r="C16" s="385">
        <v>1880.0094938794382</v>
      </c>
      <c r="D16" s="385">
        <v>10171.921253414715</v>
      </c>
      <c r="E16" s="386">
        <v>72941.909469623119</v>
      </c>
      <c r="F16" s="386">
        <v>2231.041741592624</v>
      </c>
      <c r="G16" s="386">
        <v>11644.685933870116</v>
      </c>
      <c r="H16" s="386">
        <v>370.88744129589702</v>
      </c>
      <c r="I16" s="386">
        <v>6789.3425823645166</v>
      </c>
      <c r="J16" s="634">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998" customFormat="1" ht="18.75" customHeight="1">
      <c r="A17" s="850">
        <v>2019</v>
      </c>
      <c r="B17" s="851"/>
      <c r="C17" s="385">
        <v>1980.5415704111033</v>
      </c>
      <c r="D17" s="385">
        <v>11259.484272855218</v>
      </c>
      <c r="E17" s="386">
        <v>76435.103327875928</v>
      </c>
      <c r="F17" s="386">
        <v>2945.6893368360616</v>
      </c>
      <c r="G17" s="386">
        <v>12447.89181408649</v>
      </c>
      <c r="H17" s="386">
        <v>711.18433966348391</v>
      </c>
      <c r="I17" s="386">
        <v>5058.3253962455155</v>
      </c>
      <c r="J17" s="634">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998" customFormat="1" ht="18.75" customHeight="1">
      <c r="A18" s="850">
        <v>2020</v>
      </c>
      <c r="B18" s="851"/>
      <c r="C18" s="385">
        <v>2154.2158179359931</v>
      </c>
      <c r="D18" s="385">
        <v>13066.421820396088</v>
      </c>
      <c r="E18" s="386">
        <v>77571.329298783487</v>
      </c>
      <c r="F18" s="386">
        <v>2307.6375966186679</v>
      </c>
      <c r="G18" s="386">
        <v>12488.660301407579</v>
      </c>
      <c r="H18" s="386">
        <v>203.34187177537999</v>
      </c>
      <c r="I18" s="386">
        <v>5287.3370581728823</v>
      </c>
      <c r="J18" s="634">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998" customFormat="1" ht="18.75" customHeight="1">
      <c r="A19" s="850">
        <v>2021</v>
      </c>
      <c r="B19" s="851"/>
      <c r="C19" s="385">
        <v>2953.245482343817</v>
      </c>
      <c r="D19" s="385">
        <v>12239.16086649389</v>
      </c>
      <c r="E19" s="386">
        <v>83569.449084693799</v>
      </c>
      <c r="F19" s="386">
        <v>2388.9569141167135</v>
      </c>
      <c r="G19" s="386">
        <v>13862.764750338716</v>
      </c>
      <c r="H19" s="386">
        <v>432.46036000192083</v>
      </c>
      <c r="I19" s="386">
        <v>2656.6205261571095</v>
      </c>
      <c r="J19" s="634">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998" customFormat="1" ht="18.75" customHeight="1">
      <c r="A20" s="850">
        <v>2022</v>
      </c>
      <c r="B20" s="851"/>
      <c r="C20" s="385">
        <v>3788.5217150511021</v>
      </c>
      <c r="D20" s="386">
        <v>9721.6025468617445</v>
      </c>
      <c r="E20" s="386">
        <v>88460.706551661191</v>
      </c>
      <c r="F20" s="386">
        <v>2236.9856458389381</v>
      </c>
      <c r="G20" s="386">
        <v>15950.968214164159</v>
      </c>
      <c r="H20" s="386">
        <v>62.264301210887929</v>
      </c>
      <c r="I20" s="386">
        <v>2151.6924566782031</v>
      </c>
      <c r="J20" s="634">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998" customFormat="1" ht="18.75" customHeight="1">
      <c r="A21" s="850">
        <v>2023</v>
      </c>
      <c r="B21" s="851"/>
      <c r="C21" s="385">
        <v>3606.8226202512965</v>
      </c>
      <c r="D21" s="385">
        <v>8330.5593123661802</v>
      </c>
      <c r="E21" s="386">
        <v>97375.607659822897</v>
      </c>
      <c r="F21" s="386">
        <v>1434.4314884802391</v>
      </c>
      <c r="G21" s="386">
        <v>17285.866552855259</v>
      </c>
      <c r="H21" s="386">
        <v>241.65302010289747</v>
      </c>
      <c r="I21" s="386">
        <v>3176.8059347845938</v>
      </c>
      <c r="J21" s="634">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998" customFormat="1" ht="18.75" customHeight="1">
      <c r="A22" s="993">
        <v>2024</v>
      </c>
      <c r="B22" s="994"/>
      <c r="C22" s="995">
        <f t="shared" ref="C22:Q22" si="0">C27</f>
        <v>2884.7480748278449</v>
      </c>
      <c r="D22" s="995">
        <f t="shared" si="0"/>
        <v>7555.5940725590335</v>
      </c>
      <c r="E22" s="996">
        <f t="shared" si="0"/>
        <v>106912.76468402578</v>
      </c>
      <c r="F22" s="996">
        <f t="shared" si="0"/>
        <v>1919.2866174621922</v>
      </c>
      <c r="G22" s="996">
        <f t="shared" si="0"/>
        <v>13244.704409527509</v>
      </c>
      <c r="H22" s="996">
        <f t="shared" si="0"/>
        <v>146.88377747029662</v>
      </c>
      <c r="I22" s="996">
        <f t="shared" si="0"/>
        <v>4234.143620108237</v>
      </c>
      <c r="J22" s="997">
        <f t="shared" si="0"/>
        <v>136898.12525598088</v>
      </c>
      <c r="K22" s="995">
        <f t="shared" si="0"/>
        <v>1705.6887065350084</v>
      </c>
      <c r="L22" s="995">
        <f t="shared" si="0"/>
        <v>13616.075032143686</v>
      </c>
      <c r="M22" s="996">
        <f t="shared" si="0"/>
        <v>104149.48140685979</v>
      </c>
      <c r="N22" s="996">
        <f t="shared" si="0"/>
        <v>1174.2444873361969</v>
      </c>
      <c r="O22" s="996">
        <f t="shared" si="0"/>
        <v>11357.087518921597</v>
      </c>
      <c r="P22" s="996">
        <f t="shared" si="0"/>
        <v>75.230935495925991</v>
      </c>
      <c r="Q22" s="996">
        <f t="shared" si="0"/>
        <v>4820.3349291121303</v>
      </c>
      <c r="R22" s="352"/>
      <c r="S22" s="352"/>
    </row>
    <row r="23" spans="1:21" s="998" customFormat="1" ht="21" customHeight="1">
      <c r="A23" s="850">
        <v>2023</v>
      </c>
      <c r="B23" s="851" t="s">
        <v>238</v>
      </c>
      <c r="C23" s="385">
        <v>3606.8226202512965</v>
      </c>
      <c r="D23" s="385">
        <v>8330.5593123661802</v>
      </c>
      <c r="E23" s="386">
        <v>97375.607659822897</v>
      </c>
      <c r="F23" s="386">
        <v>1434.4314884802391</v>
      </c>
      <c r="G23" s="386">
        <v>17285.866552855259</v>
      </c>
      <c r="H23" s="386">
        <v>241.65302010289747</v>
      </c>
      <c r="I23" s="386">
        <v>3176.8059347845938</v>
      </c>
      <c r="J23" s="634">
        <v>131451.75658866338</v>
      </c>
      <c r="K23" s="385">
        <v>1885.5773328841956</v>
      </c>
      <c r="L23" s="385">
        <v>14606.997526544201</v>
      </c>
      <c r="M23" s="386">
        <v>99369.743133570912</v>
      </c>
      <c r="N23" s="386">
        <v>849.71545656641047</v>
      </c>
      <c r="O23" s="386">
        <v>11998.079854149131</v>
      </c>
      <c r="P23" s="386">
        <v>92.223078954754001</v>
      </c>
      <c r="Q23" s="386">
        <v>2649.4763864539864</v>
      </c>
      <c r="R23" s="352"/>
      <c r="S23" s="352"/>
    </row>
    <row r="24" spans="1:21" s="998" customFormat="1" ht="21" customHeight="1">
      <c r="A24" s="850">
        <v>2024</v>
      </c>
      <c r="B24" s="851" t="s">
        <v>239</v>
      </c>
      <c r="C24" s="385">
        <v>3527.5627309490187</v>
      </c>
      <c r="D24" s="385">
        <v>7146.7367374936093</v>
      </c>
      <c r="E24" s="386">
        <v>100165.40882082905</v>
      </c>
      <c r="F24" s="386">
        <v>1407.7559870417811</v>
      </c>
      <c r="G24" s="386">
        <v>16336.671901661633</v>
      </c>
      <c r="H24" s="386">
        <v>180.29293115261402</v>
      </c>
      <c r="I24" s="386">
        <v>3090.0163262999213</v>
      </c>
      <c r="J24" s="634">
        <v>131854.45543542763</v>
      </c>
      <c r="K24" s="385">
        <v>1680.3648180450675</v>
      </c>
      <c r="L24" s="385">
        <v>12989.694381765914</v>
      </c>
      <c r="M24" s="386">
        <v>101038.05801024861</v>
      </c>
      <c r="N24" s="386">
        <v>949.0081848489823</v>
      </c>
      <c r="O24" s="386">
        <v>11835.271781821839</v>
      </c>
      <c r="P24" s="386">
        <v>78.433481582325015</v>
      </c>
      <c r="Q24" s="386">
        <v>3283.6270084509838</v>
      </c>
      <c r="R24" s="352"/>
      <c r="S24" s="352"/>
    </row>
    <row r="25" spans="1:21" s="998" customFormat="1" ht="15" customHeight="1">
      <c r="A25" s="850"/>
      <c r="B25" s="851" t="s">
        <v>240</v>
      </c>
      <c r="C25" s="385">
        <v>3164.5057652725532</v>
      </c>
      <c r="D25" s="385">
        <v>8109.5565148288697</v>
      </c>
      <c r="E25" s="386">
        <v>102329.63988883729</v>
      </c>
      <c r="F25" s="386">
        <v>1394.2667480019704</v>
      </c>
      <c r="G25" s="386">
        <v>14715.742602032267</v>
      </c>
      <c r="H25" s="386">
        <v>175.8130686697146</v>
      </c>
      <c r="I25" s="386">
        <v>4191.8812425969891</v>
      </c>
      <c r="J25" s="634">
        <v>134081.43583023964</v>
      </c>
      <c r="K25" s="385">
        <v>1665.097255378686</v>
      </c>
      <c r="L25" s="385">
        <v>14052.461741558587</v>
      </c>
      <c r="M25" s="386">
        <v>100720.43420969658</v>
      </c>
      <c r="N25" s="386">
        <v>861.06449437504068</v>
      </c>
      <c r="O25" s="386">
        <v>12086.263485820671</v>
      </c>
      <c r="P25" s="386">
        <v>75.104334339689018</v>
      </c>
      <c r="Q25" s="386">
        <v>4620.8842542700659</v>
      </c>
      <c r="R25" s="352"/>
      <c r="S25" s="352"/>
    </row>
    <row r="26" spans="1:21" s="998" customFormat="1" ht="15" customHeight="1">
      <c r="A26" s="850"/>
      <c r="B26" s="851" t="s">
        <v>237</v>
      </c>
      <c r="C26" s="385">
        <v>3473.1929064668948</v>
      </c>
      <c r="D26" s="385">
        <v>7960.1859067998575</v>
      </c>
      <c r="E26" s="386">
        <v>106637.91374154188</v>
      </c>
      <c r="F26" s="386">
        <v>1553.8832035952694</v>
      </c>
      <c r="G26" s="386">
        <v>15445.989797481601</v>
      </c>
      <c r="H26" s="386">
        <v>160.45555923405672</v>
      </c>
      <c r="I26" s="386">
        <v>4039.0491074279557</v>
      </c>
      <c r="J26" s="634">
        <v>139270.67022254752</v>
      </c>
      <c r="K26" s="385">
        <v>1562.0492951033966</v>
      </c>
      <c r="L26" s="385">
        <v>13732.273228929542</v>
      </c>
      <c r="M26" s="386">
        <v>106172.44177421909</v>
      </c>
      <c r="N26" s="386">
        <v>960.29560277920689</v>
      </c>
      <c r="O26" s="386">
        <v>12448.737715169596</v>
      </c>
      <c r="P26" s="386">
        <v>74.14087668555301</v>
      </c>
      <c r="Q26" s="386">
        <v>4320.855690903124</v>
      </c>
      <c r="R26" s="352"/>
      <c r="S26" s="352"/>
    </row>
    <row r="27" spans="1:21" s="998" customFormat="1" ht="15" customHeight="1">
      <c r="A27" s="850"/>
      <c r="B27" s="851" t="s">
        <v>238</v>
      </c>
      <c r="C27" s="385">
        <v>2884.7480748278449</v>
      </c>
      <c r="D27" s="385">
        <v>7555.5940725590335</v>
      </c>
      <c r="E27" s="386">
        <v>106912.76468402578</v>
      </c>
      <c r="F27" s="386">
        <v>1919.2866174621922</v>
      </c>
      <c r="G27" s="386">
        <v>13244.704409527509</v>
      </c>
      <c r="H27" s="386">
        <v>146.88377747029662</v>
      </c>
      <c r="I27" s="386">
        <v>4234.143620108237</v>
      </c>
      <c r="J27" s="634">
        <v>136898.12525598088</v>
      </c>
      <c r="K27" s="385">
        <v>1705.6887065350084</v>
      </c>
      <c r="L27" s="385">
        <v>13616.075032143686</v>
      </c>
      <c r="M27" s="386">
        <v>104149.48140685979</v>
      </c>
      <c r="N27" s="386">
        <v>1174.2444873361969</v>
      </c>
      <c r="O27" s="386">
        <v>11357.087518921597</v>
      </c>
      <c r="P27" s="386">
        <v>75.230935495925991</v>
      </c>
      <c r="Q27" s="386">
        <v>4820.3349291121303</v>
      </c>
      <c r="R27" s="352"/>
      <c r="S27" s="352"/>
    </row>
    <row r="28" spans="1:21" s="998" customFormat="1" ht="21" customHeight="1">
      <c r="A28" s="850">
        <v>2025</v>
      </c>
      <c r="B28" s="851" t="s">
        <v>239</v>
      </c>
      <c r="C28" s="385">
        <f t="shared" ref="C28:Q28" si="1">C36</f>
        <v>2787.417884484169</v>
      </c>
      <c r="D28" s="385">
        <f t="shared" si="1"/>
        <v>6103.6259169621007</v>
      </c>
      <c r="E28" s="386">
        <f t="shared" si="1"/>
        <v>105655.94990485319</v>
      </c>
      <c r="F28" s="386">
        <f t="shared" si="1"/>
        <v>2269.1955553820444</v>
      </c>
      <c r="G28" s="386">
        <f t="shared" si="1"/>
        <v>13065.954480468463</v>
      </c>
      <c r="H28" s="386">
        <f t="shared" si="1"/>
        <v>353.84010281843882</v>
      </c>
      <c r="I28" s="386">
        <f t="shared" si="1"/>
        <v>7001.6619243956538</v>
      </c>
      <c r="J28" s="634">
        <f t="shared" si="1"/>
        <v>137237.62576936404</v>
      </c>
      <c r="K28" s="385">
        <f t="shared" si="1"/>
        <v>1688.755140568366</v>
      </c>
      <c r="L28" s="385">
        <f t="shared" si="1"/>
        <v>11580.089224529016</v>
      </c>
      <c r="M28" s="386">
        <f t="shared" si="1"/>
        <v>103620.98794747585</v>
      </c>
      <c r="N28" s="386">
        <f t="shared" si="1"/>
        <v>2246.6701586319377</v>
      </c>
      <c r="O28" s="386">
        <f t="shared" si="1"/>
        <v>11622.680644290886</v>
      </c>
      <c r="P28" s="386">
        <f t="shared" si="1"/>
        <v>292.11893773313795</v>
      </c>
      <c r="Q28" s="386">
        <f t="shared" si="1"/>
        <v>6186.2267250113227</v>
      </c>
      <c r="R28" s="352"/>
      <c r="S28" s="352"/>
    </row>
    <row r="29" spans="1:21" s="998" customFormat="1" ht="15" customHeight="1">
      <c r="A29" s="850"/>
      <c r="B29" s="851" t="s">
        <v>240</v>
      </c>
      <c r="C29" s="385">
        <f t="shared" ref="C29:Q29" si="2">C39</f>
        <v>3765.5622414047225</v>
      </c>
      <c r="D29" s="385">
        <f t="shared" si="2"/>
        <v>6335.0317904754784</v>
      </c>
      <c r="E29" s="386">
        <f t="shared" si="2"/>
        <v>104071.99194830316</v>
      </c>
      <c r="F29" s="386">
        <f t="shared" si="2"/>
        <v>2084.7219757125931</v>
      </c>
      <c r="G29" s="386">
        <f t="shared" si="2"/>
        <v>13661.946637634328</v>
      </c>
      <c r="H29" s="386">
        <f t="shared" si="2"/>
        <v>334.58887163191076</v>
      </c>
      <c r="I29" s="386">
        <f t="shared" si="2"/>
        <v>6261.7940769714223</v>
      </c>
      <c r="J29" s="634">
        <f t="shared" si="2"/>
        <v>136515.63754213363</v>
      </c>
      <c r="K29" s="385">
        <f t="shared" si="2"/>
        <v>1871.6504076387259</v>
      </c>
      <c r="L29" s="385">
        <f t="shared" si="2"/>
        <v>11196.110642354088</v>
      </c>
      <c r="M29" s="386">
        <f t="shared" si="2"/>
        <v>104273.55351390471</v>
      </c>
      <c r="N29" s="386">
        <f t="shared" si="2"/>
        <v>2400.5979067840758</v>
      </c>
      <c r="O29" s="386">
        <f t="shared" si="2"/>
        <v>12955.678320660794</v>
      </c>
      <c r="P29" s="386">
        <f t="shared" si="2"/>
        <v>317.29268103411198</v>
      </c>
      <c r="Q29" s="386">
        <f t="shared" si="2"/>
        <v>3500.6487098303419</v>
      </c>
      <c r="R29" s="352"/>
      <c r="S29" s="352"/>
    </row>
    <row r="30" spans="1:21" s="998" customFormat="1" ht="15" customHeight="1">
      <c r="A30" s="993"/>
      <c r="B30" s="994" t="s">
        <v>237</v>
      </c>
      <c r="C30" s="995">
        <f t="shared" ref="C30:Q30" si="3">C42</f>
        <v>3343.892463124816</v>
      </c>
      <c r="D30" s="995">
        <f t="shared" si="3"/>
        <v>9811.2347342382927</v>
      </c>
      <c r="E30" s="996">
        <f t="shared" si="3"/>
        <v>103420.10728501972</v>
      </c>
      <c r="F30" s="996">
        <f t="shared" si="3"/>
        <v>1967.9535629711083</v>
      </c>
      <c r="G30" s="996">
        <f t="shared" si="3"/>
        <v>14132.726329273666</v>
      </c>
      <c r="H30" s="996">
        <f t="shared" si="3"/>
        <v>339.37965770357505</v>
      </c>
      <c r="I30" s="996">
        <f t="shared" si="3"/>
        <v>6220.9096227715727</v>
      </c>
      <c r="J30" s="997">
        <f t="shared" si="3"/>
        <v>139236.20365510276</v>
      </c>
      <c r="K30" s="995">
        <f t="shared" si="3"/>
        <v>1633.7731909547276</v>
      </c>
      <c r="L30" s="995">
        <f t="shared" si="3"/>
        <v>15455.899195688062</v>
      </c>
      <c r="M30" s="996">
        <f t="shared" si="3"/>
        <v>103359.40289964953</v>
      </c>
      <c r="N30" s="996">
        <f t="shared" si="3"/>
        <v>2400.5647126657632</v>
      </c>
      <c r="O30" s="996">
        <f t="shared" si="3"/>
        <v>12424.016531274758</v>
      </c>
      <c r="P30" s="996">
        <f t="shared" si="3"/>
        <v>366.38479906253076</v>
      </c>
      <c r="Q30" s="996">
        <f t="shared" si="3"/>
        <v>3596.144499556975</v>
      </c>
      <c r="R30" s="352"/>
      <c r="S30" s="352"/>
    </row>
    <row r="31" spans="1:21" s="597" customFormat="1" ht="21" customHeight="1">
      <c r="A31" s="850">
        <v>2024</v>
      </c>
      <c r="B31" s="851" t="s">
        <v>412</v>
      </c>
      <c r="C31" s="385">
        <v>2674.5846190035959</v>
      </c>
      <c r="D31" s="385">
        <v>7836.29540778502</v>
      </c>
      <c r="E31" s="386">
        <v>106067.03696184282</v>
      </c>
      <c r="F31" s="386">
        <v>1415.208366458241</v>
      </c>
      <c r="G31" s="386">
        <v>15126.456692939177</v>
      </c>
      <c r="H31" s="386">
        <v>147.90871403546063</v>
      </c>
      <c r="I31" s="386">
        <v>5582.462055424854</v>
      </c>
      <c r="J31" s="634">
        <v>138849.95281748916</v>
      </c>
      <c r="K31" s="385">
        <v>1629.6017826012139</v>
      </c>
      <c r="L31" s="385">
        <v>14815.415549590865</v>
      </c>
      <c r="M31" s="386">
        <v>103820.27683401789</v>
      </c>
      <c r="N31" s="386">
        <v>784.17564257813206</v>
      </c>
      <c r="O31" s="386">
        <v>12122.603855322845</v>
      </c>
      <c r="P31" s="386">
        <v>71.038957347404022</v>
      </c>
      <c r="Q31" s="386">
        <v>5606.8598563786754</v>
      </c>
      <c r="R31" s="352"/>
      <c r="S31" s="352"/>
      <c r="T31" s="180"/>
      <c r="U31" s="180"/>
    </row>
    <row r="32" spans="1:21" s="597" customFormat="1" ht="18" customHeight="1">
      <c r="A32" s="850"/>
      <c r="B32" s="851" t="s">
        <v>413</v>
      </c>
      <c r="C32" s="385">
        <v>3188.0074966203829</v>
      </c>
      <c r="D32" s="385">
        <v>8509.7815985971974</v>
      </c>
      <c r="E32" s="386">
        <v>101774.52186761198</v>
      </c>
      <c r="F32" s="386">
        <v>1724.2597982997506</v>
      </c>
      <c r="G32" s="386">
        <v>14408.65877109035</v>
      </c>
      <c r="H32" s="386">
        <v>152.29309520556336</v>
      </c>
      <c r="I32" s="386">
        <v>5592.3850385242267</v>
      </c>
      <c r="J32" s="634">
        <v>135349.96766594949</v>
      </c>
      <c r="K32" s="385">
        <v>1574.1794322679505</v>
      </c>
      <c r="L32" s="385">
        <v>14474.676421299015</v>
      </c>
      <c r="M32" s="386">
        <v>101340.01250614706</v>
      </c>
      <c r="N32" s="386">
        <v>1027.3154736208094</v>
      </c>
      <c r="O32" s="386">
        <v>11654.096415263184</v>
      </c>
      <c r="P32" s="386">
        <v>72.318958626178983</v>
      </c>
      <c r="Q32" s="386">
        <v>5207.4322636908682</v>
      </c>
      <c r="R32" s="352"/>
      <c r="S32" s="352"/>
      <c r="T32" s="180"/>
      <c r="U32" s="180"/>
    </row>
    <row r="33" spans="1:21" s="597" customFormat="1" ht="18" customHeight="1">
      <c r="A33" s="850"/>
      <c r="B33" s="851" t="s">
        <v>414</v>
      </c>
      <c r="C33" s="385">
        <v>2884.7480748278449</v>
      </c>
      <c r="D33" s="385">
        <v>7555.5940725590335</v>
      </c>
      <c r="E33" s="386">
        <v>106912.76468402578</v>
      </c>
      <c r="F33" s="386">
        <v>1919.2866174621922</v>
      </c>
      <c r="G33" s="386">
        <v>13244.704409527509</v>
      </c>
      <c r="H33" s="386">
        <v>146.88377747029662</v>
      </c>
      <c r="I33" s="386">
        <v>4234.143620108237</v>
      </c>
      <c r="J33" s="634">
        <v>136898.12525598088</v>
      </c>
      <c r="K33" s="385">
        <v>1705.6887065350084</v>
      </c>
      <c r="L33" s="385">
        <v>13616.075032143686</v>
      </c>
      <c r="M33" s="386">
        <v>104149.48140685979</v>
      </c>
      <c r="N33" s="386">
        <v>1174.2444873361969</v>
      </c>
      <c r="O33" s="386">
        <v>11357.087518921597</v>
      </c>
      <c r="P33" s="386">
        <v>75.230935495925991</v>
      </c>
      <c r="Q33" s="386">
        <v>4820.3349291121303</v>
      </c>
      <c r="R33" s="352"/>
      <c r="S33" s="352"/>
      <c r="T33" s="180"/>
      <c r="U33" s="180"/>
    </row>
    <row r="34" spans="1:21" s="597" customFormat="1" ht="21" customHeight="1">
      <c r="A34" s="850">
        <v>2025</v>
      </c>
      <c r="B34" s="851" t="s">
        <v>415</v>
      </c>
      <c r="C34" s="385">
        <v>3231.8349054332157</v>
      </c>
      <c r="D34" s="385">
        <v>6592.5672868475331</v>
      </c>
      <c r="E34" s="386">
        <v>101872.68849471977</v>
      </c>
      <c r="F34" s="386">
        <v>2336.5007110421952</v>
      </c>
      <c r="G34" s="386">
        <v>15237.511362206556</v>
      </c>
      <c r="H34" s="386">
        <v>318.81648192873473</v>
      </c>
      <c r="I34" s="386">
        <v>5988.7452504491293</v>
      </c>
      <c r="J34" s="634">
        <v>135578.64449262715</v>
      </c>
      <c r="K34" s="385">
        <v>1631.7169037586928</v>
      </c>
      <c r="L34" s="385">
        <v>11589.561069044717</v>
      </c>
      <c r="M34" s="386">
        <v>100932.28629287696</v>
      </c>
      <c r="N34" s="386">
        <v>2143.7826745244888</v>
      </c>
      <c r="O34" s="386">
        <v>13456.112259975853</v>
      </c>
      <c r="P34" s="386">
        <v>269.72417648192902</v>
      </c>
      <c r="Q34" s="386">
        <v>5555.3643751840391</v>
      </c>
      <c r="R34" s="352"/>
      <c r="S34" s="352"/>
      <c r="T34" s="180"/>
      <c r="U34" s="180"/>
    </row>
    <row r="35" spans="1:21" s="597" customFormat="1" ht="18" customHeight="1">
      <c r="A35" s="850"/>
      <c r="B35" s="851" t="s">
        <v>416</v>
      </c>
      <c r="C35" s="385">
        <v>3182.0887831953132</v>
      </c>
      <c r="D35" s="385">
        <v>5767.6413222331539</v>
      </c>
      <c r="E35" s="386">
        <v>101344.23646911365</v>
      </c>
      <c r="F35" s="386">
        <v>2203.7440826979064</v>
      </c>
      <c r="G35" s="386">
        <v>14083.715529958432</v>
      </c>
      <c r="H35" s="386">
        <v>367.09381069819216</v>
      </c>
      <c r="I35" s="386">
        <v>4956.2722800170486</v>
      </c>
      <c r="J35" s="634">
        <v>131904.7122779137</v>
      </c>
      <c r="K35" s="385">
        <v>1736.9481256753254</v>
      </c>
      <c r="L35" s="385">
        <v>11847.264308698446</v>
      </c>
      <c r="M35" s="386">
        <v>98818.078182638681</v>
      </c>
      <c r="N35" s="386">
        <v>2176.1195421484845</v>
      </c>
      <c r="O35" s="386">
        <v>12430.556210031422</v>
      </c>
      <c r="P35" s="386">
        <v>301.15792733995903</v>
      </c>
      <c r="Q35" s="386">
        <v>4594.5386955818567</v>
      </c>
      <c r="R35" s="352"/>
      <c r="S35" s="352"/>
      <c r="T35" s="180"/>
      <c r="U35" s="180"/>
    </row>
    <row r="36" spans="1:21" s="597" customFormat="1" ht="18" customHeight="1">
      <c r="A36" s="850"/>
      <c r="B36" s="851" t="s">
        <v>417</v>
      </c>
      <c r="C36" s="385">
        <v>2787.417884484169</v>
      </c>
      <c r="D36" s="385">
        <v>6103.6259169621007</v>
      </c>
      <c r="E36" s="386">
        <v>105655.94990485319</v>
      </c>
      <c r="F36" s="386">
        <v>2269.1955553820444</v>
      </c>
      <c r="G36" s="386">
        <v>13065.954480468463</v>
      </c>
      <c r="H36" s="386">
        <v>353.84010281843882</v>
      </c>
      <c r="I36" s="386">
        <v>7001.6619243956538</v>
      </c>
      <c r="J36" s="634">
        <v>137237.62576936404</v>
      </c>
      <c r="K36" s="385">
        <v>1688.755140568366</v>
      </c>
      <c r="L36" s="385">
        <v>11580.089224529016</v>
      </c>
      <c r="M36" s="386">
        <v>103620.98794747585</v>
      </c>
      <c r="N36" s="386">
        <v>2246.6701586319377</v>
      </c>
      <c r="O36" s="386">
        <v>11622.680644290886</v>
      </c>
      <c r="P36" s="386">
        <v>292.11893773313795</v>
      </c>
      <c r="Q36" s="386">
        <v>6186.2267250113227</v>
      </c>
      <c r="R36" s="352"/>
      <c r="S36" s="352"/>
      <c r="T36" s="180"/>
      <c r="U36" s="180"/>
    </row>
    <row r="37" spans="1:21" s="597" customFormat="1" ht="18" customHeight="1">
      <c r="A37" s="850"/>
      <c r="B37" s="851" t="s">
        <v>418</v>
      </c>
      <c r="C37" s="385">
        <v>3073.1397547829915</v>
      </c>
      <c r="D37" s="385">
        <v>5957.1908762213779</v>
      </c>
      <c r="E37" s="386">
        <v>99328.679170734904</v>
      </c>
      <c r="F37" s="386">
        <v>2486.0426327526702</v>
      </c>
      <c r="G37" s="386">
        <v>14091.547771258603</v>
      </c>
      <c r="H37" s="386">
        <v>320.95968699096676</v>
      </c>
      <c r="I37" s="386">
        <v>5750.1918568151195</v>
      </c>
      <c r="J37" s="634">
        <v>131007.74174955662</v>
      </c>
      <c r="K37" s="385">
        <v>1697.3915503604348</v>
      </c>
      <c r="L37" s="385">
        <v>10965.516225943928</v>
      </c>
      <c r="M37" s="386">
        <v>98693.818387298874</v>
      </c>
      <c r="N37" s="386">
        <v>2473.7165372809955</v>
      </c>
      <c r="O37" s="386">
        <v>12459.509024575831</v>
      </c>
      <c r="P37" s="386">
        <v>281.25549536221195</v>
      </c>
      <c r="Q37" s="386">
        <v>4436.4773349640564</v>
      </c>
      <c r="R37" s="352"/>
      <c r="S37" s="352"/>
      <c r="T37" s="180"/>
      <c r="U37" s="180"/>
    </row>
    <row r="38" spans="1:21" s="597" customFormat="1" ht="18" customHeight="1">
      <c r="A38" s="850"/>
      <c r="B38" s="851" t="s">
        <v>419</v>
      </c>
      <c r="C38" s="385">
        <v>3553.7228774530545</v>
      </c>
      <c r="D38" s="385">
        <v>5685.1268023121165</v>
      </c>
      <c r="E38" s="386">
        <v>98950.590139685257</v>
      </c>
      <c r="F38" s="386">
        <v>2103.4435055157355</v>
      </c>
      <c r="G38" s="386">
        <v>13544.385249194493</v>
      </c>
      <c r="H38" s="386">
        <v>341.99023895931418</v>
      </c>
      <c r="I38" s="386">
        <v>5808.1283883306469</v>
      </c>
      <c r="J38" s="634">
        <v>129987.3472014506</v>
      </c>
      <c r="K38" s="385">
        <v>1723.5091923405171</v>
      </c>
      <c r="L38" s="385">
        <v>11409.775868552699</v>
      </c>
      <c r="M38" s="386">
        <v>97765.682960679856</v>
      </c>
      <c r="N38" s="386">
        <v>2350.7111124638295</v>
      </c>
      <c r="O38" s="386">
        <v>11985.360265828378</v>
      </c>
      <c r="P38" s="386">
        <v>293.06081365533595</v>
      </c>
      <c r="Q38" s="386">
        <v>4459.0724744869331</v>
      </c>
      <c r="R38" s="352"/>
      <c r="S38" s="352"/>
      <c r="T38" s="180"/>
      <c r="U38" s="180"/>
    </row>
    <row r="39" spans="1:21" s="597" customFormat="1" ht="18" customHeight="1">
      <c r="A39" s="850"/>
      <c r="B39" s="851" t="s">
        <v>420</v>
      </c>
      <c r="C39" s="385">
        <v>3765.5622414047225</v>
      </c>
      <c r="D39" s="385">
        <v>6335.0317904754784</v>
      </c>
      <c r="E39" s="386">
        <v>104071.99194830316</v>
      </c>
      <c r="F39" s="386">
        <v>2084.7219757125931</v>
      </c>
      <c r="G39" s="386">
        <v>13661.946637634328</v>
      </c>
      <c r="H39" s="386">
        <v>334.58887163191076</v>
      </c>
      <c r="I39" s="386">
        <v>6261.7940769714223</v>
      </c>
      <c r="J39" s="634">
        <v>136515.63754213363</v>
      </c>
      <c r="K39" s="385">
        <v>1871.6504076387259</v>
      </c>
      <c r="L39" s="385">
        <v>11196.110642354088</v>
      </c>
      <c r="M39" s="386">
        <v>104273.55351390471</v>
      </c>
      <c r="N39" s="386">
        <v>2400.5979067840758</v>
      </c>
      <c r="O39" s="386">
        <v>12955.678320660794</v>
      </c>
      <c r="P39" s="386">
        <v>317.29268103411198</v>
      </c>
      <c r="Q39" s="386">
        <v>3500.6487098303419</v>
      </c>
      <c r="R39" s="352"/>
      <c r="S39" s="352"/>
      <c r="T39" s="180"/>
      <c r="U39" s="180"/>
    </row>
    <row r="40" spans="1:21" s="597" customFormat="1" ht="18" customHeight="1">
      <c r="A40" s="850"/>
      <c r="B40" s="851" t="s">
        <v>421</v>
      </c>
      <c r="C40" s="385">
        <v>3723.0696015881358</v>
      </c>
      <c r="D40" s="385">
        <v>6019.5007261315013</v>
      </c>
      <c r="E40" s="386">
        <v>98278.213218841629</v>
      </c>
      <c r="F40" s="386">
        <v>1903.4584297470228</v>
      </c>
      <c r="G40" s="386">
        <v>13193.137305824335</v>
      </c>
      <c r="H40" s="386">
        <v>322.6589761071869</v>
      </c>
      <c r="I40" s="386">
        <v>6330.3753888654383</v>
      </c>
      <c r="J40" s="634">
        <v>129770.46364710524</v>
      </c>
      <c r="K40" s="385">
        <v>1822.7266831542042</v>
      </c>
      <c r="L40" s="385">
        <v>11163.509113474474</v>
      </c>
      <c r="M40" s="386">
        <v>98017.229589237948</v>
      </c>
      <c r="N40" s="386">
        <v>2332.9843249489918</v>
      </c>
      <c r="O40" s="386">
        <v>12424.422404951374</v>
      </c>
      <c r="P40" s="386">
        <v>248.35508780452901</v>
      </c>
      <c r="Q40" s="386">
        <v>3761.2627973805857</v>
      </c>
      <c r="R40" s="352"/>
      <c r="S40" s="352"/>
      <c r="T40" s="180"/>
      <c r="U40" s="180"/>
    </row>
    <row r="41" spans="1:21" s="597" customFormat="1" ht="18" customHeight="1">
      <c r="A41" s="850"/>
      <c r="B41" s="851" t="s">
        <v>422</v>
      </c>
      <c r="C41" s="385">
        <v>3529.8221642385138</v>
      </c>
      <c r="D41" s="385">
        <v>7120.1631935929991</v>
      </c>
      <c r="E41" s="386">
        <v>96180.721698971087</v>
      </c>
      <c r="F41" s="386">
        <v>1958.8118915988991</v>
      </c>
      <c r="G41" s="386">
        <v>13699.178971123141</v>
      </c>
      <c r="H41" s="386">
        <v>328.09488289627416</v>
      </c>
      <c r="I41" s="386">
        <v>6282.503648317349</v>
      </c>
      <c r="J41" s="634">
        <v>129099.29645073824</v>
      </c>
      <c r="K41" s="385">
        <v>1789.1709873090017</v>
      </c>
      <c r="L41" s="385">
        <v>12173.107163425731</v>
      </c>
      <c r="M41" s="386">
        <v>95942.659873852142</v>
      </c>
      <c r="N41" s="386">
        <v>2392.2988801282845</v>
      </c>
      <c r="O41" s="386">
        <v>12794.883099014734</v>
      </c>
      <c r="P41" s="386">
        <v>253.60658962477154</v>
      </c>
      <c r="Q41" s="386">
        <v>3753.5020796085751</v>
      </c>
      <c r="R41" s="352"/>
      <c r="S41" s="352"/>
      <c r="T41" s="180"/>
      <c r="U41" s="180"/>
    </row>
    <row r="42" spans="1:21" s="597" customFormat="1" ht="18" customHeight="1">
      <c r="A42" s="850"/>
      <c r="B42" s="851" t="s">
        <v>423</v>
      </c>
      <c r="C42" s="385">
        <v>3343.892463124816</v>
      </c>
      <c r="D42" s="385">
        <v>9811.2347342382927</v>
      </c>
      <c r="E42" s="386">
        <v>103420.10728501972</v>
      </c>
      <c r="F42" s="386">
        <v>1967.9535629711083</v>
      </c>
      <c r="G42" s="386">
        <v>14132.726329273666</v>
      </c>
      <c r="H42" s="386">
        <v>339.37965770357505</v>
      </c>
      <c r="I42" s="386">
        <v>6220.9096227715727</v>
      </c>
      <c r="J42" s="634">
        <v>139236.20365510276</v>
      </c>
      <c r="K42" s="385">
        <v>1633.7731909547276</v>
      </c>
      <c r="L42" s="385">
        <v>15455.899195688062</v>
      </c>
      <c r="M42" s="386">
        <v>103359.40289964953</v>
      </c>
      <c r="N42" s="386">
        <v>2400.5647126657632</v>
      </c>
      <c r="O42" s="386">
        <v>12424.016531274758</v>
      </c>
      <c r="P42" s="386">
        <v>366.38479906253076</v>
      </c>
      <c r="Q42" s="386">
        <v>3596.144499556975</v>
      </c>
      <c r="R42" s="352"/>
      <c r="S42" s="352"/>
      <c r="T42" s="180"/>
      <c r="U42" s="180"/>
    </row>
    <row r="43" spans="1:21" s="597" customFormat="1" ht="18" customHeight="1">
      <c r="A43" s="850"/>
      <c r="B43" s="851" t="s">
        <v>412</v>
      </c>
      <c r="C43" s="385">
        <v>3452.0656222959278</v>
      </c>
      <c r="D43" s="385">
        <v>9576.274048252888</v>
      </c>
      <c r="E43" s="386">
        <v>100216.49915839404</v>
      </c>
      <c r="F43" s="386">
        <v>1780.1946317096281</v>
      </c>
      <c r="G43" s="386">
        <v>13496.60725400951</v>
      </c>
      <c r="H43" s="386">
        <v>335.11387090705466</v>
      </c>
      <c r="I43" s="386">
        <v>6166.1932068268379</v>
      </c>
      <c r="J43" s="634">
        <v>135022.9577923959</v>
      </c>
      <c r="K43" s="385">
        <v>1718.6385070228321</v>
      </c>
      <c r="L43" s="385">
        <v>14660.458105242134</v>
      </c>
      <c r="M43" s="386">
        <v>100149.64722102387</v>
      </c>
      <c r="N43" s="386">
        <v>2197.6557289146685</v>
      </c>
      <c r="O43" s="386">
        <v>12529.072124199618</v>
      </c>
      <c r="P43" s="386">
        <v>288.35900440267432</v>
      </c>
      <c r="Q43" s="386">
        <v>3479.0617059061569</v>
      </c>
      <c r="R43" s="352"/>
      <c r="S43" s="352"/>
      <c r="T43" s="180"/>
      <c r="U43" s="180"/>
    </row>
    <row r="44" spans="1:21" ht="20.25" customHeight="1">
      <c r="A44" s="253" t="s">
        <v>996</v>
      </c>
      <c r="B44" s="1461"/>
      <c r="C44" s="1461"/>
      <c r="D44" s="1461"/>
      <c r="E44" s="380"/>
      <c r="F44" s="380"/>
      <c r="G44" s="380"/>
      <c r="H44" s="380"/>
      <c r="I44" s="380"/>
      <c r="J44" s="380"/>
      <c r="K44" s="1486"/>
      <c r="L44" s="380"/>
      <c r="M44" s="380"/>
      <c r="N44" s="380"/>
      <c r="O44" s="380"/>
      <c r="P44" s="380"/>
      <c r="Q44" s="568" t="s">
        <v>997</v>
      </c>
    </row>
    <row r="45" spans="1:21" ht="20.25" customHeight="1">
      <c r="A45" s="306"/>
      <c r="Q45" s="365"/>
    </row>
    <row r="46" spans="1:21" ht="20.25" customHeight="1">
      <c r="A46" s="306"/>
      <c r="Q46" s="365"/>
    </row>
    <row r="47" spans="1:21" s="180" customFormat="1" ht="15">
      <c r="A47" s="276" t="s">
        <v>1106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tabSelected="1" zoomScale="85" zoomScaleNormal="85" workbookViewId="0">
      <pane ySplit="12" topLeftCell="A24" activePane="bottomLeft" state="frozen"/>
      <selection activeCell="N29" sqref="N29"/>
      <selection pane="bottomLeft" activeCell="N29" sqref="N29"/>
    </sheetView>
  </sheetViews>
  <sheetFormatPr defaultColWidth="8.85546875" defaultRowHeight="12.75"/>
  <cols>
    <col min="1" max="2" width="9.7109375" customWidth="1"/>
    <col min="3" max="3" width="9.28515625" customWidth="1"/>
    <col min="4" max="4" width="12.7109375" customWidth="1"/>
    <col min="5" max="5" width="14.7109375" customWidth="1"/>
    <col min="6" max="6" width="12" customWidth="1"/>
    <col min="7" max="7" width="11.85546875" customWidth="1"/>
    <col min="8" max="8" width="12.28515625" customWidth="1"/>
    <col min="9" max="9" width="12.7109375" customWidth="1"/>
    <col min="10" max="10" width="14.7109375" customWidth="1"/>
    <col min="11" max="11" width="11.7109375" customWidth="1"/>
    <col min="12" max="12" width="13.28515625" customWidth="1"/>
    <col min="13" max="13" width="11" customWidth="1"/>
    <col min="14" max="14" width="11.28515625" customWidth="1"/>
    <col min="15" max="15" width="11.85546875" customWidth="1"/>
    <col min="16" max="16" width="10.7109375" customWidth="1"/>
  </cols>
  <sheetData>
    <row r="1" spans="1:19" s="8" customFormat="1" ht="18" customHeight="1">
      <c r="A1" s="1465" t="s">
        <v>1739</v>
      </c>
      <c r="B1" s="1464"/>
      <c r="C1" s="1464"/>
      <c r="D1" s="1464"/>
      <c r="E1" s="1464"/>
      <c r="F1" s="1464"/>
      <c r="G1" s="1464"/>
      <c r="H1" s="1464"/>
      <c r="I1" s="1464"/>
      <c r="J1" s="1464"/>
      <c r="K1" s="1464"/>
      <c r="L1" s="1464"/>
      <c r="M1" s="1464"/>
      <c r="N1" s="1464"/>
      <c r="O1" s="1464"/>
      <c r="P1" s="1464"/>
    </row>
    <row r="2" spans="1:19" s="8" customFormat="1" ht="18" customHeight="1">
      <c r="A2" s="1463" t="s">
        <v>1107</v>
      </c>
      <c r="B2" s="1464"/>
      <c r="C2" s="1464"/>
      <c r="D2" s="1464"/>
      <c r="E2" s="1464"/>
      <c r="F2" s="1464"/>
      <c r="G2" s="1464"/>
      <c r="H2" s="1464"/>
      <c r="I2" s="1464"/>
      <c r="J2" s="1464"/>
      <c r="K2" s="1464"/>
      <c r="L2" s="1464"/>
      <c r="M2" s="1464"/>
      <c r="N2" s="1464"/>
      <c r="O2" s="1464"/>
      <c r="P2" s="1464"/>
    </row>
    <row r="3" spans="1:19" s="8" customFormat="1" ht="18" customHeight="1">
      <c r="A3" s="1465" t="s">
        <v>1108</v>
      </c>
      <c r="B3" s="1464"/>
      <c r="C3" s="1464"/>
      <c r="D3" s="1464"/>
      <c r="E3" s="1464"/>
      <c r="F3" s="1464"/>
      <c r="G3" s="1464"/>
      <c r="H3" s="1464"/>
      <c r="I3" s="1464"/>
      <c r="J3" s="1464"/>
      <c r="K3" s="1464"/>
      <c r="L3" s="1464"/>
      <c r="M3" s="1464"/>
      <c r="N3" s="1464"/>
      <c r="O3" s="1464"/>
      <c r="P3" s="1464"/>
    </row>
    <row r="4" spans="1:19" s="8" customFormat="1" ht="18" customHeight="1">
      <c r="A4" s="1465" t="s">
        <v>372</v>
      </c>
      <c r="B4" s="1464"/>
      <c r="C4" s="1464"/>
      <c r="D4" s="1464"/>
      <c r="E4" s="1464"/>
      <c r="F4" s="1464"/>
      <c r="G4" s="1464"/>
      <c r="H4" s="1464"/>
      <c r="I4" s="1464"/>
      <c r="J4" s="1464"/>
      <c r="K4" s="1464"/>
      <c r="L4" s="1464"/>
      <c r="M4" s="1464"/>
      <c r="N4" s="1464"/>
      <c r="O4" s="1464"/>
      <c r="P4" s="1464"/>
    </row>
    <row r="5" spans="1:19" s="25" customFormat="1" ht="20.25" customHeight="1">
      <c r="A5" s="16" t="s">
        <v>371</v>
      </c>
      <c r="B5" s="4"/>
      <c r="C5" s="3"/>
      <c r="D5" s="3"/>
      <c r="E5" s="3"/>
      <c r="F5" s="3"/>
      <c r="G5" s="3"/>
      <c r="H5" s="3"/>
      <c r="I5" s="3"/>
      <c r="J5" s="3"/>
      <c r="K5" s="3"/>
      <c r="L5" s="3"/>
      <c r="M5" s="3"/>
      <c r="N5" s="3"/>
      <c r="O5" s="3"/>
      <c r="P5" s="3"/>
    </row>
    <row r="6" spans="1:19" ht="13.7" customHeight="1">
      <c r="A6" s="8" t="s">
        <v>812</v>
      </c>
      <c r="O6" s="8"/>
      <c r="P6" s="8" t="s">
        <v>813</v>
      </c>
    </row>
    <row r="7" spans="1:19" s="41" customFormat="1" ht="23.25" customHeight="1">
      <c r="A7" s="44"/>
      <c r="B7" s="45"/>
      <c r="C7" s="1478" t="s">
        <v>493</v>
      </c>
      <c r="D7" s="40"/>
      <c r="E7" s="123"/>
      <c r="F7" s="123"/>
      <c r="G7" s="1479"/>
      <c r="H7" s="1480" t="s">
        <v>1052</v>
      </c>
      <c r="I7" s="1481" t="s">
        <v>1053</v>
      </c>
      <c r="J7" s="40"/>
      <c r="K7" s="123"/>
      <c r="L7" s="123"/>
      <c r="M7" s="1479"/>
      <c r="N7" s="1482" t="s">
        <v>1054</v>
      </c>
      <c r="O7" s="1469"/>
      <c r="P7" s="1469"/>
    </row>
    <row r="8" spans="1:19" s="39" customFormat="1" ht="16.5" customHeight="1">
      <c r="A8" s="370" t="s">
        <v>379</v>
      </c>
      <c r="B8" s="81"/>
      <c r="D8" s="270" t="s">
        <v>1055</v>
      </c>
      <c r="E8" s="270" t="s">
        <v>1055</v>
      </c>
      <c r="F8" s="270" t="s">
        <v>1055</v>
      </c>
      <c r="H8" s="270"/>
      <c r="I8" s="270" t="s">
        <v>1055</v>
      </c>
      <c r="J8" s="270" t="s">
        <v>1055</v>
      </c>
      <c r="K8" s="371"/>
      <c r="L8" s="372" t="s">
        <v>1056</v>
      </c>
      <c r="N8" s="371"/>
      <c r="O8" s="270" t="s">
        <v>430</v>
      </c>
      <c r="P8" s="270" t="s">
        <v>1057</v>
      </c>
    </row>
    <row r="9" spans="1:19" s="39" customFormat="1" ht="16.5" customHeight="1">
      <c r="A9" s="62" t="s">
        <v>387</v>
      </c>
      <c r="B9" s="74"/>
      <c r="C9" s="270" t="s">
        <v>831</v>
      </c>
      <c r="D9" s="79" t="s">
        <v>432</v>
      </c>
      <c r="E9" s="271" t="s">
        <v>871</v>
      </c>
      <c r="F9" s="95" t="s">
        <v>391</v>
      </c>
      <c r="G9" s="270" t="s">
        <v>392</v>
      </c>
      <c r="H9" s="270" t="s">
        <v>382</v>
      </c>
      <c r="I9" s="79" t="s">
        <v>432</v>
      </c>
      <c r="J9" s="271" t="s">
        <v>871</v>
      </c>
      <c r="K9" s="270" t="s">
        <v>837</v>
      </c>
      <c r="L9" s="372" t="s">
        <v>1058</v>
      </c>
      <c r="M9" s="270" t="s">
        <v>392</v>
      </c>
      <c r="N9" s="373" t="s">
        <v>382</v>
      </c>
      <c r="O9" s="63" t="s">
        <v>372</v>
      </c>
      <c r="P9" s="63" t="s">
        <v>1059</v>
      </c>
    </row>
    <row r="10" spans="1:19" s="39" customFormat="1" ht="16.5" customHeight="1">
      <c r="A10" s="82"/>
      <c r="B10" s="74"/>
      <c r="C10" s="374" t="s">
        <v>834</v>
      </c>
      <c r="D10" s="107" t="s">
        <v>1060</v>
      </c>
      <c r="E10" s="107" t="s">
        <v>1060</v>
      </c>
      <c r="F10" s="107" t="s">
        <v>1060</v>
      </c>
      <c r="G10" s="228" t="s">
        <v>1061</v>
      </c>
      <c r="H10" s="374" t="s">
        <v>393</v>
      </c>
      <c r="I10" s="107" t="s">
        <v>1060</v>
      </c>
      <c r="J10" s="107" t="s">
        <v>1060</v>
      </c>
      <c r="K10" s="228" t="s">
        <v>844</v>
      </c>
      <c r="L10" s="375" t="s">
        <v>1062</v>
      </c>
      <c r="M10" s="228" t="s">
        <v>1061</v>
      </c>
      <c r="N10" s="376" t="s">
        <v>393</v>
      </c>
      <c r="O10" s="374" t="s">
        <v>393</v>
      </c>
      <c r="P10" s="374" t="s">
        <v>1063</v>
      </c>
    </row>
    <row r="11" spans="1:19" s="39" customFormat="1" ht="16.5" customHeight="1">
      <c r="A11" s="82"/>
      <c r="B11" s="74"/>
      <c r="C11" s="374"/>
      <c r="D11" s="107" t="s">
        <v>1064</v>
      </c>
      <c r="E11" s="107" t="s">
        <v>1065</v>
      </c>
      <c r="F11" s="107" t="s">
        <v>1066</v>
      </c>
      <c r="G11" s="228"/>
      <c r="H11" s="228"/>
      <c r="I11" s="107" t="s">
        <v>1064</v>
      </c>
      <c r="J11" s="107" t="s">
        <v>1065</v>
      </c>
      <c r="K11" s="75"/>
      <c r="L11" s="375" t="s">
        <v>1067</v>
      </c>
      <c r="M11" s="228"/>
      <c r="N11" s="377"/>
      <c r="O11" s="228" t="s">
        <v>371</v>
      </c>
      <c r="P11" s="228" t="s">
        <v>796</v>
      </c>
    </row>
    <row r="12" spans="1:19" s="39" customFormat="1" ht="16.5" customHeight="1">
      <c r="A12" s="87"/>
      <c r="B12" s="98"/>
      <c r="C12" s="378"/>
      <c r="D12" s="139" t="s">
        <v>842</v>
      </c>
      <c r="E12" s="379" t="s">
        <v>410</v>
      </c>
      <c r="F12" s="139"/>
      <c r="G12" s="138"/>
      <c r="H12" s="138"/>
      <c r="I12" s="139"/>
      <c r="J12" s="379" t="s">
        <v>410</v>
      </c>
      <c r="K12" s="130"/>
      <c r="L12" s="139"/>
      <c r="M12" s="138"/>
      <c r="N12" s="230"/>
      <c r="O12" s="138" t="s">
        <v>841</v>
      </c>
      <c r="P12" s="138" t="s">
        <v>1068</v>
      </c>
    </row>
    <row r="13" spans="1:19" s="306" customFormat="1" ht="20.25" customHeight="1">
      <c r="A13" s="405">
        <v>2015</v>
      </c>
      <c r="B13" s="497"/>
      <c r="C13" s="1470">
        <v>135.19516525051907</v>
      </c>
      <c r="D13" s="1470">
        <v>3240.4303710238928</v>
      </c>
      <c r="E13" s="1472">
        <v>8634.7751160416847</v>
      </c>
      <c r="F13" s="1472">
        <v>1398.1908580339534</v>
      </c>
      <c r="G13" s="1472">
        <v>2319.1905478570611</v>
      </c>
      <c r="H13" s="1472">
        <v>15727.782058207113</v>
      </c>
      <c r="I13" s="1470">
        <v>1624.5563750305269</v>
      </c>
      <c r="J13" s="1470">
        <v>2158.0716703687235</v>
      </c>
      <c r="K13" s="1472">
        <v>2372.0454767914325</v>
      </c>
      <c r="L13" s="1472">
        <v>2762.0995860316907</v>
      </c>
      <c r="M13" s="1472">
        <v>697.91655947821869</v>
      </c>
      <c r="N13" s="1470">
        <v>9614.6896677005934</v>
      </c>
      <c r="O13" s="1472">
        <v>25342.471725907704</v>
      </c>
      <c r="P13" s="652">
        <v>504.78855949202136</v>
      </c>
      <c r="Q13" s="321"/>
      <c r="R13" s="321"/>
      <c r="S13" s="321"/>
    </row>
    <row r="14" spans="1:19" s="408" customFormat="1" ht="14.25" customHeight="1">
      <c r="A14" s="356">
        <v>2016</v>
      </c>
      <c r="B14" s="551"/>
      <c r="C14" s="1473">
        <v>120.22797464935482</v>
      </c>
      <c r="D14" s="1473">
        <v>4105.3350049019009</v>
      </c>
      <c r="E14" s="1474">
        <v>9137.0684017827225</v>
      </c>
      <c r="F14" s="1474">
        <v>1934.1422542546011</v>
      </c>
      <c r="G14" s="1474">
        <v>1619.2007948840751</v>
      </c>
      <c r="H14" s="1474">
        <v>16915.944430472653</v>
      </c>
      <c r="I14" s="1473">
        <v>1651.3915218554803</v>
      </c>
      <c r="J14" s="1473">
        <v>1860.7899408962419</v>
      </c>
      <c r="K14" s="1474">
        <v>2585.206405477692</v>
      </c>
      <c r="L14" s="1474">
        <v>2694.8139282300303</v>
      </c>
      <c r="M14" s="1474">
        <v>582.3651644639499</v>
      </c>
      <c r="N14" s="1473">
        <v>9374.5669609233937</v>
      </c>
      <c r="O14" s="1474">
        <v>26290.541391396051</v>
      </c>
      <c r="P14" s="652">
        <v>521.20093997717026</v>
      </c>
      <c r="Q14" s="321"/>
      <c r="R14" s="321"/>
      <c r="S14" s="321"/>
    </row>
    <row r="15" spans="1:19" s="408" customFormat="1" ht="14.25" customHeight="1">
      <c r="A15" s="356">
        <v>2017</v>
      </c>
      <c r="B15" s="551"/>
      <c r="C15" s="1473">
        <v>156.31655123491296</v>
      </c>
      <c r="D15" s="1473">
        <v>4330.5636100570664</v>
      </c>
      <c r="E15" s="1474">
        <v>9625.5315162505885</v>
      </c>
      <c r="F15" s="1474">
        <v>2385.8845530120993</v>
      </c>
      <c r="G15" s="1474">
        <v>1934.4151456389654</v>
      </c>
      <c r="H15" s="1474">
        <v>18432.711376193634</v>
      </c>
      <c r="I15" s="1473">
        <v>1636.4852314575953</v>
      </c>
      <c r="J15" s="1473">
        <v>1447.648181711668</v>
      </c>
      <c r="K15" s="1474">
        <v>2014.7349589525902</v>
      </c>
      <c r="L15" s="1474">
        <v>2331.1935625820015</v>
      </c>
      <c r="M15" s="1474">
        <v>882.77542292042642</v>
      </c>
      <c r="N15" s="1473">
        <v>8312.8373576242811</v>
      </c>
      <c r="O15" s="1474">
        <v>26745.548733817915</v>
      </c>
      <c r="P15" s="652">
        <v>726.24851491257448</v>
      </c>
      <c r="Q15" s="321"/>
      <c r="R15" s="321"/>
      <c r="S15" s="321"/>
    </row>
    <row r="16" spans="1:19" s="321" customFormat="1" ht="14.25" customHeight="1">
      <c r="A16" s="747">
        <v>2018</v>
      </c>
      <c r="B16" s="748"/>
      <c r="C16" s="749">
        <v>163.32329856562671</v>
      </c>
      <c r="D16" s="749">
        <v>4793.400533608984</v>
      </c>
      <c r="E16" s="630">
        <v>10732.237257631179</v>
      </c>
      <c r="F16" s="630">
        <v>2854.9394617960766</v>
      </c>
      <c r="G16" s="630">
        <v>1849.2924188181851</v>
      </c>
      <c r="H16" s="630">
        <v>20393.142970420049</v>
      </c>
      <c r="I16" s="749">
        <v>1444.9914662899439</v>
      </c>
      <c r="J16" s="749">
        <v>1541.1068672536403</v>
      </c>
      <c r="K16" s="630">
        <v>2061.38778036241</v>
      </c>
      <c r="L16" s="630">
        <v>1776.3614481054028</v>
      </c>
      <c r="M16" s="630">
        <v>711.24447766921469</v>
      </c>
      <c r="N16" s="749">
        <v>7535.0920396806141</v>
      </c>
      <c r="O16" s="630">
        <v>27928.23501010066</v>
      </c>
      <c r="P16" s="652">
        <v>448.39243295836161</v>
      </c>
    </row>
    <row r="17" spans="1:19" s="321" customFormat="1" ht="14.25" customHeight="1">
      <c r="A17" s="747">
        <v>2019</v>
      </c>
      <c r="B17" s="748"/>
      <c r="C17" s="749">
        <v>158.5730356655547</v>
      </c>
      <c r="D17" s="749">
        <v>5171.7735174593399</v>
      </c>
      <c r="E17" s="630">
        <v>11687.627876231698</v>
      </c>
      <c r="F17" s="630">
        <v>4001.1479588786506</v>
      </c>
      <c r="G17" s="630">
        <v>2533.2029464076782</v>
      </c>
      <c r="H17" s="630">
        <v>23552.345334642923</v>
      </c>
      <c r="I17" s="749">
        <v>1666.3906992675084</v>
      </c>
      <c r="J17" s="749">
        <v>1863.5646445005862</v>
      </c>
      <c r="K17" s="630">
        <v>2624.2132100350536</v>
      </c>
      <c r="L17" s="630">
        <v>1666.2304012699274</v>
      </c>
      <c r="M17" s="630">
        <v>709.89546473997302</v>
      </c>
      <c r="N17" s="749">
        <v>8530.2644198130492</v>
      </c>
      <c r="O17" s="630">
        <v>32082.609754455967</v>
      </c>
      <c r="P17" s="652">
        <v>312.79282905802125</v>
      </c>
    </row>
    <row r="18" spans="1:19" s="321" customFormat="1" ht="14.25" customHeight="1">
      <c r="A18" s="747">
        <v>2020</v>
      </c>
      <c r="B18" s="748"/>
      <c r="C18" s="749">
        <v>165.39880622938821</v>
      </c>
      <c r="D18" s="749">
        <v>4406.3980348080804</v>
      </c>
      <c r="E18" s="630">
        <v>12459.326208535083</v>
      </c>
      <c r="F18" s="630">
        <v>4910.4611532902363</v>
      </c>
      <c r="G18" s="630">
        <v>1659.4900197994416</v>
      </c>
      <c r="H18" s="630">
        <v>23601.074222662231</v>
      </c>
      <c r="I18" s="749">
        <v>1309.4105424797156</v>
      </c>
      <c r="J18" s="749">
        <v>1854.6391079780547</v>
      </c>
      <c r="K18" s="630">
        <v>2626.1643324596525</v>
      </c>
      <c r="L18" s="630">
        <v>1733.319935079048</v>
      </c>
      <c r="M18" s="630">
        <v>486.80778284039093</v>
      </c>
      <c r="N18" s="749">
        <v>8010.3417008368615</v>
      </c>
      <c r="O18" s="630">
        <v>31611.415923499091</v>
      </c>
      <c r="P18" s="652">
        <v>427.55898718365961</v>
      </c>
    </row>
    <row r="19" spans="1:19" s="321" customFormat="1" ht="14.25" customHeight="1">
      <c r="A19" s="747">
        <v>2021</v>
      </c>
      <c r="B19" s="748"/>
      <c r="C19" s="749">
        <v>148.50661675234255</v>
      </c>
      <c r="D19" s="749">
        <v>5907.0357726173106</v>
      </c>
      <c r="E19" s="630">
        <v>13143.990720381538</v>
      </c>
      <c r="F19" s="630">
        <v>5520.0024651330041</v>
      </c>
      <c r="G19" s="630">
        <v>1753.8669156720784</v>
      </c>
      <c r="H19" s="630">
        <v>26473.422490556273</v>
      </c>
      <c r="I19" s="749">
        <v>1318.8767671322519</v>
      </c>
      <c r="J19" s="749">
        <v>1444.3921537841686</v>
      </c>
      <c r="K19" s="630">
        <v>3472.9080534272853</v>
      </c>
      <c r="L19" s="630">
        <v>909.64794909570958</v>
      </c>
      <c r="M19" s="630">
        <v>935.60803601134853</v>
      </c>
      <c r="N19" s="749">
        <v>8081.4329594507635</v>
      </c>
      <c r="O19" s="630">
        <v>34554.835450007035</v>
      </c>
      <c r="P19" s="652">
        <v>256.35854435393617</v>
      </c>
    </row>
    <row r="20" spans="1:19" s="321" customFormat="1" ht="14.25" customHeight="1">
      <c r="A20" s="747">
        <v>2022</v>
      </c>
      <c r="B20" s="748"/>
      <c r="C20" s="749">
        <v>213.45695167373927</v>
      </c>
      <c r="D20" s="630">
        <v>4344.4369243239835</v>
      </c>
      <c r="E20" s="630">
        <v>14683.878630659288</v>
      </c>
      <c r="F20" s="630">
        <v>5623.5018820135847</v>
      </c>
      <c r="G20" s="630">
        <v>1923.6696704142432</v>
      </c>
      <c r="H20" s="630">
        <v>26788.964059084843</v>
      </c>
      <c r="I20" s="749">
        <v>1438.2617691887917</v>
      </c>
      <c r="J20" s="749">
        <v>1477.5774106493923</v>
      </c>
      <c r="K20" s="630">
        <v>4374.9430960219988</v>
      </c>
      <c r="L20" s="630">
        <v>328.68408683470722</v>
      </c>
      <c r="M20" s="630">
        <v>1656.6257595954708</v>
      </c>
      <c r="N20" s="749">
        <v>9276.1021222903619</v>
      </c>
      <c r="O20" s="630">
        <v>36065.066181374605</v>
      </c>
      <c r="P20" s="652">
        <v>543.56655184439887</v>
      </c>
    </row>
    <row r="21" spans="1:19" s="321" customFormat="1" ht="14.25" customHeight="1">
      <c r="A21" s="747">
        <v>2023</v>
      </c>
      <c r="B21" s="748"/>
      <c r="C21" s="749">
        <v>119.52498147184654</v>
      </c>
      <c r="D21" s="749">
        <v>4845.007557206517</v>
      </c>
      <c r="E21" s="630">
        <v>15165.570174102249</v>
      </c>
      <c r="F21" s="630">
        <v>6338.4310771133223</v>
      </c>
      <c r="G21" s="630">
        <v>1776.5702053599646</v>
      </c>
      <c r="H21" s="630">
        <v>28245.103995253899</v>
      </c>
      <c r="I21" s="749">
        <v>1829.8760130545606</v>
      </c>
      <c r="J21" s="749">
        <v>1304.2713105046714</v>
      </c>
      <c r="K21" s="630">
        <v>4135.9066312329351</v>
      </c>
      <c r="L21" s="630">
        <v>625.73656967015279</v>
      </c>
      <c r="M21" s="630">
        <v>2093.4781268918086</v>
      </c>
      <c r="N21" s="749">
        <v>9989.2686513541285</v>
      </c>
      <c r="O21" s="630">
        <v>38234.372646608033</v>
      </c>
      <c r="P21" s="652">
        <v>439.92985851536173</v>
      </c>
    </row>
    <row r="22" spans="1:19" s="321" customFormat="1" ht="14.25" customHeight="1">
      <c r="A22" s="907">
        <v>2024</v>
      </c>
      <c r="B22" s="999"/>
      <c r="C22" s="1000">
        <f t="shared" ref="C22:P22" si="0">C27</f>
        <v>177.04466542680666</v>
      </c>
      <c r="D22" s="1000">
        <f t="shared" si="0"/>
        <v>6787.7016149907777</v>
      </c>
      <c r="E22" s="1001">
        <f t="shared" si="0"/>
        <v>18155.360479984505</v>
      </c>
      <c r="F22" s="1001">
        <f t="shared" si="0"/>
        <v>8178.8860480080102</v>
      </c>
      <c r="G22" s="1001">
        <f t="shared" si="0"/>
        <v>2367.1659839738372</v>
      </c>
      <c r="H22" s="1001">
        <f t="shared" si="0"/>
        <v>35666.158792383932</v>
      </c>
      <c r="I22" s="1000">
        <f t="shared" si="0"/>
        <v>3117.7839292219196</v>
      </c>
      <c r="J22" s="1000">
        <f t="shared" si="0"/>
        <v>5315.1122718567003</v>
      </c>
      <c r="K22" s="1001">
        <f t="shared" si="0"/>
        <v>13489.216786829315</v>
      </c>
      <c r="L22" s="1001">
        <f t="shared" si="0"/>
        <v>2036.1622392119077</v>
      </c>
      <c r="M22" s="1001">
        <f t="shared" si="0"/>
        <v>3729.9340096533865</v>
      </c>
      <c r="N22" s="1000">
        <f t="shared" si="0"/>
        <v>27688.209236773229</v>
      </c>
      <c r="O22" s="1001">
        <f t="shared" si="0"/>
        <v>63354.368029157165</v>
      </c>
      <c r="P22" s="1475">
        <f t="shared" si="0"/>
        <v>7008.9325346969727</v>
      </c>
    </row>
    <row r="23" spans="1:19" s="321" customFormat="1" ht="21" customHeight="1">
      <c r="A23" s="747">
        <v>2023</v>
      </c>
      <c r="B23" s="748" t="s">
        <v>238</v>
      </c>
      <c r="C23" s="749">
        <v>119.52498147184654</v>
      </c>
      <c r="D23" s="749">
        <v>4845.007557206517</v>
      </c>
      <c r="E23" s="630">
        <v>15165.570174102249</v>
      </c>
      <c r="F23" s="630">
        <v>6338.4310771133223</v>
      </c>
      <c r="G23" s="630">
        <v>1776.5702053599646</v>
      </c>
      <c r="H23" s="630">
        <v>28245.103995253899</v>
      </c>
      <c r="I23" s="749">
        <v>1829.8760130545606</v>
      </c>
      <c r="J23" s="749">
        <v>1304.2713105046714</v>
      </c>
      <c r="K23" s="630">
        <v>4135.9066312329351</v>
      </c>
      <c r="L23" s="630">
        <v>625.73656967015279</v>
      </c>
      <c r="M23" s="630">
        <v>2093.4781268918086</v>
      </c>
      <c r="N23" s="749">
        <v>9989.2686513541285</v>
      </c>
      <c r="O23" s="630">
        <v>38234.372646608033</v>
      </c>
      <c r="P23" s="652">
        <v>439.92985851536173</v>
      </c>
    </row>
    <row r="24" spans="1:19" s="321" customFormat="1" ht="21" customHeight="1">
      <c r="A24" s="747">
        <v>2024</v>
      </c>
      <c r="B24" s="748" t="s">
        <v>239</v>
      </c>
      <c r="C24" s="749">
        <v>251.79463949239664</v>
      </c>
      <c r="D24" s="749">
        <v>4492.8350571390911</v>
      </c>
      <c r="E24" s="630">
        <v>19688.217327763192</v>
      </c>
      <c r="F24" s="630">
        <v>8205.3796589868289</v>
      </c>
      <c r="G24" s="630">
        <v>2027.8910098009756</v>
      </c>
      <c r="H24" s="630">
        <v>34666.117693182481</v>
      </c>
      <c r="I24" s="749">
        <v>2984.6641802744134</v>
      </c>
      <c r="J24" s="749">
        <v>4685.1914344018969</v>
      </c>
      <c r="K24" s="630">
        <v>13207.587508456449</v>
      </c>
      <c r="L24" s="630">
        <v>1987.582180360414</v>
      </c>
      <c r="M24" s="630">
        <v>3471.3441063735781</v>
      </c>
      <c r="N24" s="749">
        <v>26336.369409866747</v>
      </c>
      <c r="O24" s="630">
        <v>61002.487103049229</v>
      </c>
      <c r="P24" s="652">
        <v>4719.4687294517889</v>
      </c>
    </row>
    <row r="25" spans="1:19" s="321" customFormat="1" ht="15" customHeight="1">
      <c r="A25" s="747"/>
      <c r="B25" s="748" t="s">
        <v>240</v>
      </c>
      <c r="C25" s="749">
        <v>211.26144486570138</v>
      </c>
      <c r="D25" s="749">
        <v>5482.5666377605521</v>
      </c>
      <c r="E25" s="630">
        <v>19456.585549096148</v>
      </c>
      <c r="F25" s="630">
        <v>7979.9470203448745</v>
      </c>
      <c r="G25" s="630">
        <v>2329.802532260675</v>
      </c>
      <c r="H25" s="630">
        <v>35460.163184327947</v>
      </c>
      <c r="I25" s="749">
        <v>3545.6153350983941</v>
      </c>
      <c r="J25" s="749">
        <v>4728.1654964454337</v>
      </c>
      <c r="K25" s="630">
        <v>12932.837871172876</v>
      </c>
      <c r="L25" s="630">
        <v>1803.1046773423257</v>
      </c>
      <c r="M25" s="630">
        <v>3232.9417251875943</v>
      </c>
      <c r="N25" s="749">
        <v>26242.645105246625</v>
      </c>
      <c r="O25" s="630">
        <v>61702.838289574582</v>
      </c>
      <c r="P25" s="652">
        <v>5855.6432712366086</v>
      </c>
    </row>
    <row r="26" spans="1:19" s="321" customFormat="1" ht="15" customHeight="1">
      <c r="A26" s="747"/>
      <c r="B26" s="748" t="s">
        <v>237</v>
      </c>
      <c r="C26" s="749">
        <v>150.83731913548206</v>
      </c>
      <c r="D26" s="749">
        <v>6021.1237674052973</v>
      </c>
      <c r="E26" s="630">
        <v>18921.772217609468</v>
      </c>
      <c r="F26" s="630">
        <v>8390.0013208940472</v>
      </c>
      <c r="G26" s="630">
        <v>2451.5438445778359</v>
      </c>
      <c r="H26" s="630">
        <v>35935.198469622141</v>
      </c>
      <c r="I26" s="749">
        <v>3374.450939326749</v>
      </c>
      <c r="J26" s="749">
        <v>4305.3310231749128</v>
      </c>
      <c r="K26" s="630">
        <v>13159.238238329921</v>
      </c>
      <c r="L26" s="630">
        <v>1931.055969429636</v>
      </c>
      <c r="M26" s="630">
        <v>3605.2428248439301</v>
      </c>
      <c r="N26" s="749">
        <v>26375.318995105146</v>
      </c>
      <c r="O26" s="630">
        <v>62310.517464727287</v>
      </c>
      <c r="P26" s="652">
        <v>5979.9279797535564</v>
      </c>
    </row>
    <row r="27" spans="1:19" s="321" customFormat="1" ht="15" customHeight="1">
      <c r="A27" s="747"/>
      <c r="B27" s="748" t="s">
        <v>238</v>
      </c>
      <c r="C27" s="749">
        <v>177.04466542680666</v>
      </c>
      <c r="D27" s="749">
        <v>6787.7016149907777</v>
      </c>
      <c r="E27" s="630">
        <v>18155.360479984505</v>
      </c>
      <c r="F27" s="630">
        <v>8178.8860480080102</v>
      </c>
      <c r="G27" s="630">
        <v>2367.1659839738372</v>
      </c>
      <c r="H27" s="630">
        <v>35666.158792383932</v>
      </c>
      <c r="I27" s="749">
        <v>3117.7839292219196</v>
      </c>
      <c r="J27" s="749">
        <v>5315.1122718567003</v>
      </c>
      <c r="K27" s="630">
        <v>13489.216786829315</v>
      </c>
      <c r="L27" s="630">
        <v>2036.1622392119077</v>
      </c>
      <c r="M27" s="630">
        <v>3729.9340096533865</v>
      </c>
      <c r="N27" s="749">
        <v>27688.209236773229</v>
      </c>
      <c r="O27" s="630">
        <v>63354.368029157165</v>
      </c>
      <c r="P27" s="652">
        <v>7008.9325346969727</v>
      </c>
    </row>
    <row r="28" spans="1:19" s="321" customFormat="1" ht="21" customHeight="1">
      <c r="A28" s="747">
        <v>2025</v>
      </c>
      <c r="B28" s="748" t="s">
        <v>239</v>
      </c>
      <c r="C28" s="749">
        <f t="shared" ref="C28:P28" si="1">C36</f>
        <v>138.49950399340256</v>
      </c>
      <c r="D28" s="749">
        <f t="shared" si="1"/>
        <v>7134.2694841983266</v>
      </c>
      <c r="E28" s="630">
        <f t="shared" si="1"/>
        <v>19140.267395152896</v>
      </c>
      <c r="F28" s="630">
        <f t="shared" si="1"/>
        <v>8330.3414190901585</v>
      </c>
      <c r="G28" s="630">
        <f t="shared" si="1"/>
        <v>2431.5154194580423</v>
      </c>
      <c r="H28" s="630">
        <f t="shared" si="1"/>
        <v>37174.903221892833</v>
      </c>
      <c r="I28" s="749">
        <f t="shared" si="1"/>
        <v>2990.3108053772266</v>
      </c>
      <c r="J28" s="749">
        <f t="shared" si="1"/>
        <v>4926.4537569179865</v>
      </c>
      <c r="K28" s="630">
        <f t="shared" si="1"/>
        <v>12444.051932940492</v>
      </c>
      <c r="L28" s="630">
        <f t="shared" si="1"/>
        <v>1411.4100355298074</v>
      </c>
      <c r="M28" s="630">
        <f t="shared" si="1"/>
        <v>2568.9386147247956</v>
      </c>
      <c r="N28" s="749">
        <f t="shared" si="1"/>
        <v>24341.165145490311</v>
      </c>
      <c r="O28" s="630">
        <f t="shared" si="1"/>
        <v>61516.068367383152</v>
      </c>
      <c r="P28" s="652">
        <f t="shared" si="1"/>
        <v>7854.147077882204</v>
      </c>
    </row>
    <row r="29" spans="1:19" s="321" customFormat="1" ht="15" customHeight="1">
      <c r="A29" s="747"/>
      <c r="B29" s="748" t="s">
        <v>240</v>
      </c>
      <c r="C29" s="749">
        <f t="shared" ref="C29:P29" si="2">C39</f>
        <v>157.06578928513451</v>
      </c>
      <c r="D29" s="749">
        <f t="shared" si="2"/>
        <v>7657.1315296206449</v>
      </c>
      <c r="E29" s="630">
        <f t="shared" si="2"/>
        <v>19192.377278979227</v>
      </c>
      <c r="F29" s="630">
        <f t="shared" si="2"/>
        <v>9272.1441901671424</v>
      </c>
      <c r="G29" s="630">
        <f t="shared" si="2"/>
        <v>2866.876535323056</v>
      </c>
      <c r="H29" s="630">
        <f t="shared" si="2"/>
        <v>39145.615323375205</v>
      </c>
      <c r="I29" s="749">
        <f t="shared" si="2"/>
        <v>3495.642057090829</v>
      </c>
      <c r="J29" s="749">
        <f t="shared" si="2"/>
        <v>5130.1909292823457</v>
      </c>
      <c r="K29" s="630">
        <f t="shared" si="2"/>
        <v>13543.003194395274</v>
      </c>
      <c r="L29" s="630">
        <f t="shared" si="2"/>
        <v>1696.5234574205033</v>
      </c>
      <c r="M29" s="630">
        <f t="shared" si="2"/>
        <v>1459.3563909418604</v>
      </c>
      <c r="N29" s="749">
        <f t="shared" si="2"/>
        <v>25324.69602913081</v>
      </c>
      <c r="O29" s="630">
        <f t="shared" si="2"/>
        <v>64470.311352506018</v>
      </c>
      <c r="P29" s="652">
        <f t="shared" si="2"/>
        <v>7688.6106485724295</v>
      </c>
    </row>
    <row r="30" spans="1:19" s="321" customFormat="1" ht="15" customHeight="1">
      <c r="A30" s="907"/>
      <c r="B30" s="999" t="s">
        <v>237</v>
      </c>
      <c r="C30" s="1000">
        <f t="shared" ref="C30:P30" si="3">C42</f>
        <v>405.84655689320539</v>
      </c>
      <c r="D30" s="1000">
        <f t="shared" si="3"/>
        <v>6866.1485138944417</v>
      </c>
      <c r="E30" s="1001">
        <f t="shared" si="3"/>
        <v>19899.664698316221</v>
      </c>
      <c r="F30" s="1001">
        <f t="shared" si="3"/>
        <v>9877.77838670663</v>
      </c>
      <c r="G30" s="1001">
        <f t="shared" si="3"/>
        <v>3068.7606608401966</v>
      </c>
      <c r="H30" s="1001">
        <f t="shared" si="3"/>
        <v>40118.198816650693</v>
      </c>
      <c r="I30" s="1000">
        <f t="shared" si="3"/>
        <v>3246.7640760384497</v>
      </c>
      <c r="J30" s="1000">
        <f t="shared" si="3"/>
        <v>6435.2108020325777</v>
      </c>
      <c r="K30" s="1001">
        <f t="shared" si="3"/>
        <v>13646.286972336551</v>
      </c>
      <c r="L30" s="1001">
        <f t="shared" si="3"/>
        <v>1795.4990523982369</v>
      </c>
      <c r="M30" s="1001">
        <f t="shared" si="3"/>
        <v>1297.5835603635924</v>
      </c>
      <c r="N30" s="1000">
        <f t="shared" si="3"/>
        <v>26421.364463169408</v>
      </c>
      <c r="O30" s="1001">
        <f t="shared" si="3"/>
        <v>66539.563279820111</v>
      </c>
      <c r="P30" s="1475">
        <f t="shared" si="3"/>
        <v>7309.5356580212019</v>
      </c>
    </row>
    <row r="31" spans="1:19" s="321" customFormat="1" ht="21" customHeight="1">
      <c r="A31" s="747">
        <v>2024</v>
      </c>
      <c r="B31" s="748" t="s">
        <v>412</v>
      </c>
      <c r="C31" s="749">
        <v>139.96563768052715</v>
      </c>
      <c r="D31" s="749">
        <v>6096.8408472528163</v>
      </c>
      <c r="E31" s="630">
        <v>19094.102462359962</v>
      </c>
      <c r="F31" s="630">
        <v>8369.8563462725106</v>
      </c>
      <c r="G31" s="630">
        <v>2487.1632041776611</v>
      </c>
      <c r="H31" s="630">
        <v>36187.958497743472</v>
      </c>
      <c r="I31" s="749">
        <v>3206.7710091398822</v>
      </c>
      <c r="J31" s="749">
        <v>4347.2056562131575</v>
      </c>
      <c r="K31" s="630">
        <v>13060.047106069618</v>
      </c>
      <c r="L31" s="630">
        <v>1640.8910995361869</v>
      </c>
      <c r="M31" s="630">
        <v>4185.5190961713206</v>
      </c>
      <c r="N31" s="749">
        <v>26440.433967130168</v>
      </c>
      <c r="O31" s="630">
        <v>62628.362464873644</v>
      </c>
      <c r="P31" s="630">
        <v>7007.0252758419438</v>
      </c>
      <c r="Q31" s="770"/>
      <c r="R31" s="770"/>
      <c r="S31" s="770"/>
    </row>
    <row r="32" spans="1:19" s="321" customFormat="1" ht="16.5" customHeight="1">
      <c r="A32" s="747"/>
      <c r="B32" s="748" t="s">
        <v>413</v>
      </c>
      <c r="C32" s="749">
        <v>180.30778954828699</v>
      </c>
      <c r="D32" s="749">
        <v>7228.8950113567598</v>
      </c>
      <c r="E32" s="630">
        <v>18589.902422910476</v>
      </c>
      <c r="F32" s="630">
        <v>8125.7189051762889</v>
      </c>
      <c r="G32" s="630">
        <v>2406.5742673321288</v>
      </c>
      <c r="H32" s="630">
        <v>36531.398396323944</v>
      </c>
      <c r="I32" s="749">
        <v>3494.1644589815864</v>
      </c>
      <c r="J32" s="749">
        <v>4861.3348486410769</v>
      </c>
      <c r="K32" s="630">
        <v>13518.756325065262</v>
      </c>
      <c r="L32" s="630">
        <v>1814.3194249843157</v>
      </c>
      <c r="M32" s="630">
        <v>2825.2304075316733</v>
      </c>
      <c r="N32" s="749">
        <v>26513.795465203912</v>
      </c>
      <c r="O32" s="630">
        <v>63045.193861527849</v>
      </c>
      <c r="P32" s="630">
        <v>7485.8798186601935</v>
      </c>
      <c r="Q32" s="770"/>
      <c r="R32" s="770"/>
      <c r="S32" s="770"/>
    </row>
    <row r="33" spans="1:19" s="321" customFormat="1" ht="16.5" customHeight="1">
      <c r="A33" s="747"/>
      <c r="B33" s="748" t="s">
        <v>414</v>
      </c>
      <c r="C33" s="749">
        <v>177.04466542680666</v>
      </c>
      <c r="D33" s="749">
        <v>6787.7016149907777</v>
      </c>
      <c r="E33" s="630">
        <v>18155.360479984505</v>
      </c>
      <c r="F33" s="630">
        <v>8178.8860480080102</v>
      </c>
      <c r="G33" s="630">
        <v>2367.1659839738372</v>
      </c>
      <c r="H33" s="630">
        <v>35666.158792383932</v>
      </c>
      <c r="I33" s="749">
        <v>3117.7839292219196</v>
      </c>
      <c r="J33" s="749">
        <v>5315.1122718567003</v>
      </c>
      <c r="K33" s="630">
        <v>13489.216786829315</v>
      </c>
      <c r="L33" s="630">
        <v>2036.1622392119077</v>
      </c>
      <c r="M33" s="630">
        <v>3729.9340096533865</v>
      </c>
      <c r="N33" s="749">
        <v>27688.209236773229</v>
      </c>
      <c r="O33" s="630">
        <v>63354.368029157165</v>
      </c>
      <c r="P33" s="630">
        <v>7008.9325346969727</v>
      </c>
      <c r="Q33" s="770"/>
      <c r="R33" s="770"/>
      <c r="S33" s="770"/>
    </row>
    <row r="34" spans="1:19" s="321" customFormat="1" ht="21" customHeight="1">
      <c r="A34" s="747">
        <v>2025</v>
      </c>
      <c r="B34" s="748" t="s">
        <v>415</v>
      </c>
      <c r="C34" s="749">
        <v>190.38373076535163</v>
      </c>
      <c r="D34" s="749">
        <v>7270.7395983219994</v>
      </c>
      <c r="E34" s="630">
        <v>18195.480132438326</v>
      </c>
      <c r="F34" s="630">
        <v>8152.6402691305548</v>
      </c>
      <c r="G34" s="630">
        <v>2569.5803881377292</v>
      </c>
      <c r="H34" s="630">
        <v>36378.824118793957</v>
      </c>
      <c r="I34" s="749">
        <v>2688.88598247851</v>
      </c>
      <c r="J34" s="749">
        <v>4900.9976103260715</v>
      </c>
      <c r="K34" s="630">
        <v>12533.559295495274</v>
      </c>
      <c r="L34" s="630">
        <v>1972.9457761773974</v>
      </c>
      <c r="M34" s="630">
        <v>2841.4658764686446</v>
      </c>
      <c r="N34" s="749">
        <v>24937.8545409459</v>
      </c>
      <c r="O34" s="630">
        <v>61316.67865973986</v>
      </c>
      <c r="P34" s="630">
        <v>8772.7361046343831</v>
      </c>
      <c r="Q34" s="770"/>
      <c r="R34" s="770"/>
      <c r="S34" s="770"/>
    </row>
    <row r="35" spans="1:19" s="321" customFormat="1" ht="15" customHeight="1">
      <c r="A35" s="747"/>
      <c r="B35" s="748" t="s">
        <v>416</v>
      </c>
      <c r="C35" s="749">
        <v>144.16652198563727</v>
      </c>
      <c r="D35" s="749">
        <v>7214.5070255514629</v>
      </c>
      <c r="E35" s="630">
        <v>18770.101042432263</v>
      </c>
      <c r="F35" s="630">
        <v>8351.3846528563718</v>
      </c>
      <c r="G35" s="630">
        <v>2491.7105382015106</v>
      </c>
      <c r="H35" s="630">
        <v>36971.86978102725</v>
      </c>
      <c r="I35" s="749">
        <v>3157.6767303704178</v>
      </c>
      <c r="J35" s="749">
        <v>4729.3444557339117</v>
      </c>
      <c r="K35" s="630">
        <v>12282.174377554516</v>
      </c>
      <c r="L35" s="630">
        <v>1628.1618810457301</v>
      </c>
      <c r="M35" s="630">
        <v>2370.344558916951</v>
      </c>
      <c r="N35" s="749">
        <v>24167.732003621531</v>
      </c>
      <c r="O35" s="630">
        <v>61139.601784648788</v>
      </c>
      <c r="P35" s="630">
        <v>8030.2899997317973</v>
      </c>
      <c r="Q35" s="770"/>
      <c r="R35" s="770"/>
      <c r="S35" s="770"/>
    </row>
    <row r="36" spans="1:19" s="321" customFormat="1" ht="15" customHeight="1">
      <c r="A36" s="747"/>
      <c r="B36" s="748" t="s">
        <v>417</v>
      </c>
      <c r="C36" s="749">
        <v>138.49950399340256</v>
      </c>
      <c r="D36" s="749">
        <v>7134.2694841983266</v>
      </c>
      <c r="E36" s="630">
        <v>19140.267395152896</v>
      </c>
      <c r="F36" s="630">
        <v>8330.3414190901585</v>
      </c>
      <c r="G36" s="630">
        <v>2431.5154194580423</v>
      </c>
      <c r="H36" s="630">
        <v>37174.903221892833</v>
      </c>
      <c r="I36" s="749">
        <v>2990.3108053772266</v>
      </c>
      <c r="J36" s="749">
        <v>4926.4537569179865</v>
      </c>
      <c r="K36" s="630">
        <v>12444.051932940492</v>
      </c>
      <c r="L36" s="630">
        <v>1411.4100355298074</v>
      </c>
      <c r="M36" s="630">
        <v>2568.9386147247956</v>
      </c>
      <c r="N36" s="749">
        <v>24341.165145490311</v>
      </c>
      <c r="O36" s="630">
        <v>61516.068367383152</v>
      </c>
      <c r="P36" s="630">
        <v>7854.147077882204</v>
      </c>
      <c r="Q36" s="770"/>
      <c r="R36" s="770"/>
      <c r="S36" s="770"/>
    </row>
    <row r="37" spans="1:19" s="321" customFormat="1" ht="15" customHeight="1">
      <c r="A37" s="747"/>
      <c r="B37" s="748" t="s">
        <v>418</v>
      </c>
      <c r="C37" s="749">
        <v>148.31048045696042</v>
      </c>
      <c r="D37" s="749">
        <v>7879.0092360411727</v>
      </c>
      <c r="E37" s="630">
        <v>19011.106970929621</v>
      </c>
      <c r="F37" s="630">
        <v>8328.574977911745</v>
      </c>
      <c r="G37" s="630">
        <v>2495.2437026020175</v>
      </c>
      <c r="H37" s="630">
        <v>37862.215367941521</v>
      </c>
      <c r="I37" s="749">
        <v>3250.7307467305573</v>
      </c>
      <c r="J37" s="749">
        <v>5271.3968098229652</v>
      </c>
      <c r="K37" s="630">
        <v>12822.641731724165</v>
      </c>
      <c r="L37" s="630">
        <v>1354.287671071572</v>
      </c>
      <c r="M37" s="630">
        <v>1963.5708077628706</v>
      </c>
      <c r="N37" s="749">
        <v>24662.627767112128</v>
      </c>
      <c r="O37" s="630">
        <v>62524.843135053656</v>
      </c>
      <c r="P37" s="630">
        <v>6984.9452979590269</v>
      </c>
      <c r="Q37" s="770"/>
      <c r="R37" s="770"/>
      <c r="S37" s="770"/>
    </row>
    <row r="38" spans="1:19" s="321" customFormat="1" ht="15" customHeight="1">
      <c r="A38" s="747"/>
      <c r="B38" s="748" t="s">
        <v>419</v>
      </c>
      <c r="C38" s="749">
        <v>146.23369358299493</v>
      </c>
      <c r="D38" s="749">
        <v>7417.0336882405963</v>
      </c>
      <c r="E38" s="630">
        <v>19498.410718951265</v>
      </c>
      <c r="F38" s="630">
        <v>9161.3755846018212</v>
      </c>
      <c r="G38" s="630">
        <v>3003.3860425478329</v>
      </c>
      <c r="H38" s="630">
        <v>39226.439727924502</v>
      </c>
      <c r="I38" s="749">
        <v>2406.5010800394607</v>
      </c>
      <c r="J38" s="749">
        <v>5098.2771861173296</v>
      </c>
      <c r="K38" s="630">
        <v>12621.882875710475</v>
      </c>
      <c r="L38" s="630">
        <v>1409.486779326839</v>
      </c>
      <c r="M38" s="630">
        <v>1816.0043347054086</v>
      </c>
      <c r="N38" s="749">
        <v>23352.152255899513</v>
      </c>
      <c r="O38" s="630">
        <v>62578.591983824022</v>
      </c>
      <c r="P38" s="630">
        <v>7022.9124158422646</v>
      </c>
      <c r="Q38" s="770"/>
      <c r="R38" s="770"/>
      <c r="S38" s="770"/>
    </row>
    <row r="39" spans="1:19" s="321" customFormat="1" ht="15" customHeight="1">
      <c r="A39" s="747"/>
      <c r="B39" s="748" t="s">
        <v>420</v>
      </c>
      <c r="C39" s="749">
        <v>157.06578928513451</v>
      </c>
      <c r="D39" s="749">
        <v>7657.1315296206449</v>
      </c>
      <c r="E39" s="630">
        <v>19192.377278979227</v>
      </c>
      <c r="F39" s="630">
        <v>9272.1441901671424</v>
      </c>
      <c r="G39" s="630">
        <v>2866.876535323056</v>
      </c>
      <c r="H39" s="630">
        <v>39145.615323375205</v>
      </c>
      <c r="I39" s="749">
        <v>3495.642057090829</v>
      </c>
      <c r="J39" s="749">
        <v>5130.1909292823457</v>
      </c>
      <c r="K39" s="630">
        <v>13543.003194395274</v>
      </c>
      <c r="L39" s="630">
        <v>1696.5234574205033</v>
      </c>
      <c r="M39" s="630">
        <v>1459.3563909418604</v>
      </c>
      <c r="N39" s="749">
        <v>25324.69602913081</v>
      </c>
      <c r="O39" s="630">
        <v>64470.311352506018</v>
      </c>
      <c r="P39" s="630">
        <v>7688.6106485724295</v>
      </c>
      <c r="Q39" s="770"/>
      <c r="R39" s="770"/>
      <c r="S39" s="770"/>
    </row>
    <row r="40" spans="1:19" s="321" customFormat="1" ht="15" customHeight="1">
      <c r="A40" s="747"/>
      <c r="B40" s="748" t="s">
        <v>421</v>
      </c>
      <c r="C40" s="749">
        <v>306.05807866603703</v>
      </c>
      <c r="D40" s="749">
        <v>7334.5342430003175</v>
      </c>
      <c r="E40" s="630">
        <v>19690.630372833206</v>
      </c>
      <c r="F40" s="630">
        <v>9339.9909893289641</v>
      </c>
      <c r="G40" s="630">
        <v>2720.7050861925713</v>
      </c>
      <c r="H40" s="630">
        <v>39391.918770021097</v>
      </c>
      <c r="I40" s="749">
        <v>3503.2244934031114</v>
      </c>
      <c r="J40" s="749">
        <v>5793.8920997313771</v>
      </c>
      <c r="K40" s="630">
        <v>13683.586610246293</v>
      </c>
      <c r="L40" s="630">
        <v>1928.2042715052107</v>
      </c>
      <c r="M40" s="630">
        <v>1005.9614042757405</v>
      </c>
      <c r="N40" s="749">
        <v>25914.868879161735</v>
      </c>
      <c r="O40" s="630">
        <v>65306.787649182836</v>
      </c>
      <c r="P40" s="630">
        <v>7295.4870349226348</v>
      </c>
      <c r="Q40" s="770"/>
      <c r="R40" s="770"/>
      <c r="S40" s="770"/>
    </row>
    <row r="41" spans="1:19" s="321" customFormat="1" ht="15" customHeight="1">
      <c r="A41" s="747"/>
      <c r="B41" s="748" t="s">
        <v>422</v>
      </c>
      <c r="C41" s="749">
        <v>265.87039202295529</v>
      </c>
      <c r="D41" s="749">
        <v>6519.9213675391366</v>
      </c>
      <c r="E41" s="630">
        <v>19738.592529765083</v>
      </c>
      <c r="F41" s="630">
        <v>9962.4925205343097</v>
      </c>
      <c r="G41" s="630">
        <v>2735.3679316653393</v>
      </c>
      <c r="H41" s="630">
        <v>39222.264741526815</v>
      </c>
      <c r="I41" s="749">
        <v>3796.6359534162234</v>
      </c>
      <c r="J41" s="749">
        <v>5973.7030812941684</v>
      </c>
      <c r="K41" s="630">
        <v>13768.389554654335</v>
      </c>
      <c r="L41" s="630">
        <v>1941.8797235263464</v>
      </c>
      <c r="M41" s="630">
        <v>968.18571560299279</v>
      </c>
      <c r="N41" s="749">
        <v>26448.794028494071</v>
      </c>
      <c r="O41" s="630">
        <v>65671.0587700209</v>
      </c>
      <c r="P41" s="630">
        <v>7626.7947334898272</v>
      </c>
      <c r="Q41" s="770"/>
      <c r="R41" s="770"/>
      <c r="S41" s="770"/>
    </row>
    <row r="42" spans="1:19" s="321" customFormat="1" ht="15" customHeight="1">
      <c r="A42" s="747"/>
      <c r="B42" s="748" t="s">
        <v>423</v>
      </c>
      <c r="C42" s="749">
        <v>405.84655689320539</v>
      </c>
      <c r="D42" s="749">
        <v>6866.1485138944417</v>
      </c>
      <c r="E42" s="630">
        <v>19899.664698316221</v>
      </c>
      <c r="F42" s="630">
        <v>9877.77838670663</v>
      </c>
      <c r="G42" s="630">
        <v>3068.7606608401966</v>
      </c>
      <c r="H42" s="630">
        <v>40118.198816650693</v>
      </c>
      <c r="I42" s="749">
        <v>3246.7640760384497</v>
      </c>
      <c r="J42" s="749">
        <v>6435.2108020325777</v>
      </c>
      <c r="K42" s="630">
        <v>13646.286972336551</v>
      </c>
      <c r="L42" s="630">
        <v>1795.4990523982369</v>
      </c>
      <c r="M42" s="630">
        <v>1297.5835603635924</v>
      </c>
      <c r="N42" s="749">
        <v>26421.364463169408</v>
      </c>
      <c r="O42" s="630">
        <v>66539.563279820111</v>
      </c>
      <c r="P42" s="630">
        <v>7309.5356580212019</v>
      </c>
      <c r="Q42" s="770"/>
      <c r="R42" s="770"/>
      <c r="S42" s="770"/>
    </row>
    <row r="43" spans="1:19" s="321" customFormat="1" ht="15" customHeight="1">
      <c r="A43" s="747"/>
      <c r="B43" s="748" t="s">
        <v>412</v>
      </c>
      <c r="C43" s="749">
        <v>296.67788166773158</v>
      </c>
      <c r="D43" s="749">
        <v>8267.907375653429</v>
      </c>
      <c r="E43" s="630">
        <v>19545.982578519022</v>
      </c>
      <c r="F43" s="630">
        <v>10246.644878897025</v>
      </c>
      <c r="G43" s="630">
        <v>2744.5866295317524</v>
      </c>
      <c r="H43" s="630">
        <v>41101.819344268952</v>
      </c>
      <c r="I43" s="749">
        <v>3696.9124154219448</v>
      </c>
      <c r="J43" s="749">
        <v>6311.1819142419499</v>
      </c>
      <c r="K43" s="630">
        <v>12112.753111061185</v>
      </c>
      <c r="L43" s="630">
        <v>1391.5638991827052</v>
      </c>
      <c r="M43" s="630">
        <v>1409.4736436397175</v>
      </c>
      <c r="N43" s="749">
        <v>24921.984983547503</v>
      </c>
      <c r="O43" s="630">
        <v>66023.754327816452</v>
      </c>
      <c r="P43" s="630">
        <v>7098.7276960266536</v>
      </c>
      <c r="Q43" s="770"/>
      <c r="R43" s="770"/>
      <c r="S43" s="770"/>
    </row>
    <row r="44" spans="1:19" ht="19.5" customHeight="1">
      <c r="A44" s="380" t="s">
        <v>1069</v>
      </c>
      <c r="B44" s="1259"/>
      <c r="C44" s="1259"/>
      <c r="D44" s="1259"/>
      <c r="E44" s="1259"/>
      <c r="F44" s="220"/>
      <c r="G44" s="220"/>
      <c r="H44" s="220"/>
      <c r="I44" s="220"/>
      <c r="J44" s="220"/>
      <c r="K44" s="220"/>
      <c r="L44" s="220"/>
      <c r="M44" s="220"/>
      <c r="N44" s="220"/>
      <c r="O44" s="726"/>
      <c r="P44" s="1476" t="s">
        <v>1070</v>
      </c>
    </row>
    <row r="45" spans="1:19">
      <c r="A45" s="381" t="s">
        <v>1071</v>
      </c>
      <c r="F45" s="25"/>
      <c r="O45" s="1477"/>
      <c r="P45" s="1477" t="s">
        <v>1072</v>
      </c>
    </row>
    <row r="46" spans="1:19">
      <c r="A46" s="381" t="s">
        <v>1073</v>
      </c>
      <c r="O46" s="1477"/>
      <c r="P46" s="1477" t="s">
        <v>1074</v>
      </c>
    </row>
    <row r="48" spans="1:19">
      <c r="A48" s="382" t="s">
        <v>1109</v>
      </c>
      <c r="B48" s="1262"/>
      <c r="C48" s="1262"/>
      <c r="D48" s="1262"/>
      <c r="E48" s="1262"/>
      <c r="F48" s="1262"/>
      <c r="G48" s="1262"/>
      <c r="H48" s="1262"/>
      <c r="I48" s="1262"/>
      <c r="J48" s="1262"/>
      <c r="K48" s="1262"/>
      <c r="L48" s="1262"/>
      <c r="M48" s="1262"/>
      <c r="N48" s="1262"/>
      <c r="O48" s="1262"/>
      <c r="P48" s="1262"/>
    </row>
    <row r="49" spans="3:16">
      <c r="C49" s="1483"/>
      <c r="D49" s="1483"/>
      <c r="E49" s="1483"/>
      <c r="F49" s="1483"/>
      <c r="G49" s="1483"/>
      <c r="H49" s="1483"/>
      <c r="I49" s="1483"/>
      <c r="J49" s="1483"/>
      <c r="K49" s="1483"/>
      <c r="L49" s="1483"/>
      <c r="M49" s="1483"/>
      <c r="N49" s="1483"/>
      <c r="O49" s="1483"/>
      <c r="P49" s="1483"/>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tabSelected="1" zoomScale="85" zoomScaleNormal="85" workbookViewId="0">
      <pane ySplit="12" topLeftCell="A24" activePane="bottomLeft" state="frozen"/>
      <selection activeCell="N29" sqref="N29"/>
      <selection pane="bottomLeft" activeCell="N29" sqref="N29"/>
    </sheetView>
  </sheetViews>
  <sheetFormatPr defaultColWidth="8.85546875" defaultRowHeight="12.75"/>
  <cols>
    <col min="1" max="2" width="9.7109375" customWidth="1"/>
    <col min="3" max="3" width="11.42578125" customWidth="1"/>
    <col min="4" max="4" width="12.7109375" customWidth="1"/>
    <col min="5" max="5" width="14" customWidth="1"/>
    <col min="6" max="6" width="14.7109375" customWidth="1"/>
    <col min="7" max="7" width="10.7109375" customWidth="1"/>
    <col min="8" max="8" width="14.28515625" customWidth="1"/>
    <col min="9" max="9" width="12" customWidth="1"/>
    <col min="10" max="10" width="12.7109375" customWidth="1"/>
    <col min="11" max="11" width="14" customWidth="1"/>
    <col min="12" max="12" width="12.7109375" customWidth="1"/>
    <col min="13" max="13" width="9.7109375" bestFit="1" customWidth="1"/>
    <col min="14" max="14" width="12" customWidth="1"/>
    <col min="15" max="15" width="12.7109375" customWidth="1"/>
    <col min="16" max="16" width="10.7109375" customWidth="1"/>
  </cols>
  <sheetData>
    <row r="1" spans="1:19" s="8" customFormat="1" ht="18" customHeight="1">
      <c r="A1" s="16" t="s">
        <v>1738</v>
      </c>
      <c r="B1" s="10"/>
      <c r="C1" s="10"/>
      <c r="D1" s="10"/>
      <c r="E1" s="10"/>
      <c r="F1" s="10"/>
      <c r="G1" s="10"/>
      <c r="H1" s="10"/>
      <c r="I1" s="10"/>
      <c r="J1" s="10"/>
      <c r="K1" s="10"/>
      <c r="L1" s="10"/>
      <c r="M1" s="10"/>
      <c r="N1" s="10"/>
      <c r="O1" s="10"/>
      <c r="P1" s="10"/>
    </row>
    <row r="2" spans="1:19" s="8" customFormat="1" ht="18" customHeight="1">
      <c r="A2" s="1463" t="s">
        <v>1107</v>
      </c>
      <c r="B2" s="1464"/>
      <c r="C2" s="1464"/>
      <c r="D2" s="1464"/>
      <c r="E2" s="1464"/>
      <c r="F2" s="1464"/>
      <c r="G2" s="1464"/>
      <c r="H2" s="1464"/>
      <c r="I2" s="1464"/>
      <c r="J2" s="1464"/>
      <c r="K2" s="1464"/>
      <c r="L2" s="1464"/>
      <c r="M2" s="1464"/>
      <c r="N2" s="1464"/>
      <c r="O2" s="1464"/>
      <c r="P2" s="1464"/>
    </row>
    <row r="3" spans="1:19" s="8" customFormat="1" ht="18" customHeight="1">
      <c r="A3" s="1465" t="s">
        <v>1108</v>
      </c>
      <c r="B3" s="1464"/>
      <c r="C3" s="1464"/>
      <c r="D3" s="1464"/>
      <c r="E3" s="1464"/>
      <c r="F3" s="1464"/>
      <c r="G3" s="1464"/>
      <c r="H3" s="1464"/>
      <c r="I3" s="1464"/>
      <c r="J3" s="1464"/>
      <c r="K3" s="1464"/>
      <c r="L3" s="1464"/>
      <c r="M3" s="1464"/>
      <c r="N3" s="1464"/>
      <c r="O3" s="1464"/>
      <c r="P3" s="1464"/>
    </row>
    <row r="4" spans="1:19" s="8" customFormat="1" ht="18" customHeight="1">
      <c r="A4" s="16" t="s">
        <v>374</v>
      </c>
      <c r="B4" s="10"/>
      <c r="C4" s="10"/>
      <c r="D4" s="10"/>
      <c r="E4" s="10"/>
      <c r="F4" s="10"/>
      <c r="G4" s="10"/>
      <c r="H4" s="10"/>
      <c r="I4" s="10"/>
      <c r="J4" s="10"/>
      <c r="K4" s="10"/>
      <c r="L4" s="10"/>
      <c r="M4" s="10"/>
      <c r="N4" s="10"/>
      <c r="O4" s="10"/>
      <c r="P4" s="10"/>
    </row>
    <row r="5" spans="1:19" s="25" customFormat="1" ht="20.25" customHeight="1">
      <c r="A5" s="1466" t="s">
        <v>373</v>
      </c>
      <c r="B5" s="3"/>
      <c r="C5" s="3"/>
      <c r="D5" s="3"/>
      <c r="E5" s="3"/>
      <c r="F5" s="3"/>
      <c r="G5" s="3"/>
      <c r="H5" s="3"/>
      <c r="I5" s="3"/>
      <c r="J5" s="3"/>
      <c r="K5" s="3"/>
      <c r="L5" s="3"/>
      <c r="M5" s="3"/>
      <c r="N5" s="3"/>
      <c r="O5" s="3"/>
      <c r="P5" s="3"/>
    </row>
    <row r="6" spans="1:19" ht="13.7" customHeight="1">
      <c r="A6" s="8" t="s">
        <v>812</v>
      </c>
      <c r="O6" s="8"/>
      <c r="P6" s="8" t="s">
        <v>1110</v>
      </c>
    </row>
    <row r="7" spans="1:19" s="41" customFormat="1" ht="23.25" customHeight="1">
      <c r="A7" s="44"/>
      <c r="B7" s="45"/>
      <c r="C7" s="264" t="s">
        <v>851</v>
      </c>
      <c r="D7" s="40"/>
      <c r="E7" s="123"/>
      <c r="F7" s="123"/>
      <c r="G7" s="123"/>
      <c r="H7" s="1467" t="s">
        <v>852</v>
      </c>
      <c r="I7" s="1468" t="s">
        <v>1080</v>
      </c>
      <c r="J7" s="122"/>
      <c r="K7" s="123"/>
      <c r="L7" s="123"/>
      <c r="M7" s="123"/>
      <c r="N7" s="1467" t="s">
        <v>1081</v>
      </c>
      <c r="O7" s="1469"/>
      <c r="P7" s="1469"/>
    </row>
    <row r="8" spans="1:19" s="39" customFormat="1" ht="16.5" customHeight="1">
      <c r="A8" s="370" t="s">
        <v>379</v>
      </c>
      <c r="B8" s="81"/>
      <c r="D8" s="270" t="s">
        <v>500</v>
      </c>
      <c r="E8" s="270"/>
      <c r="F8" s="270" t="s">
        <v>386</v>
      </c>
      <c r="G8" s="371"/>
      <c r="I8" s="270"/>
      <c r="J8" s="270"/>
      <c r="K8" s="371" t="s">
        <v>1056</v>
      </c>
      <c r="L8" s="270" t="s">
        <v>386</v>
      </c>
      <c r="M8" s="372"/>
      <c r="O8" s="63" t="s">
        <v>854</v>
      </c>
      <c r="P8" s="270" t="s">
        <v>1057</v>
      </c>
    </row>
    <row r="9" spans="1:19" s="39" customFormat="1" ht="16.5" customHeight="1">
      <c r="A9" s="62" t="s">
        <v>387</v>
      </c>
      <c r="B9" s="74"/>
      <c r="C9" s="270" t="s">
        <v>432</v>
      </c>
      <c r="D9" s="271" t="s">
        <v>815</v>
      </c>
      <c r="E9" s="271" t="s">
        <v>391</v>
      </c>
      <c r="F9" s="271" t="s">
        <v>1082</v>
      </c>
      <c r="G9" s="95" t="s">
        <v>816</v>
      </c>
      <c r="H9" s="270" t="s">
        <v>1083</v>
      </c>
      <c r="I9" s="270" t="s">
        <v>432</v>
      </c>
      <c r="J9" s="79" t="s">
        <v>871</v>
      </c>
      <c r="K9" s="270" t="s">
        <v>1058</v>
      </c>
      <c r="L9" s="271" t="s">
        <v>1082</v>
      </c>
      <c r="M9" s="372" t="s">
        <v>392</v>
      </c>
      <c r="N9" s="270" t="s">
        <v>382</v>
      </c>
      <c r="O9" s="270" t="s">
        <v>374</v>
      </c>
      <c r="P9" s="63" t="s">
        <v>1059</v>
      </c>
    </row>
    <row r="10" spans="1:19" s="39" customFormat="1" ht="16.5" customHeight="1">
      <c r="A10" s="82"/>
      <c r="B10" s="74"/>
      <c r="C10" s="374"/>
      <c r="D10" s="107" t="s">
        <v>818</v>
      </c>
      <c r="E10" s="107" t="s">
        <v>467</v>
      </c>
      <c r="F10" s="107" t="s">
        <v>404</v>
      </c>
      <c r="G10" s="383"/>
      <c r="H10" s="228"/>
      <c r="I10" s="374"/>
      <c r="J10" s="107"/>
      <c r="K10" s="228" t="s">
        <v>1062</v>
      </c>
      <c r="L10" s="107" t="s">
        <v>404</v>
      </c>
      <c r="M10" s="375"/>
      <c r="N10" s="228"/>
      <c r="O10" s="374" t="s">
        <v>393</v>
      </c>
      <c r="P10" s="374" t="s">
        <v>1063</v>
      </c>
    </row>
    <row r="11" spans="1:19" s="39" customFormat="1" ht="16.5" customHeight="1">
      <c r="A11" s="82"/>
      <c r="B11" s="74"/>
      <c r="C11" s="374" t="s">
        <v>406</v>
      </c>
      <c r="D11" s="107" t="s">
        <v>819</v>
      </c>
      <c r="E11" s="107" t="s">
        <v>506</v>
      </c>
      <c r="F11" s="107" t="s">
        <v>411</v>
      </c>
      <c r="G11" s="107" t="s">
        <v>400</v>
      </c>
      <c r="H11" s="228" t="s">
        <v>393</v>
      </c>
      <c r="I11" s="228" t="s">
        <v>406</v>
      </c>
      <c r="J11" s="107" t="s">
        <v>819</v>
      </c>
      <c r="K11" s="63" t="s">
        <v>1067</v>
      </c>
      <c r="L11" s="107" t="s">
        <v>411</v>
      </c>
      <c r="M11" s="375" t="s">
        <v>400</v>
      </c>
      <c r="N11" s="228" t="s">
        <v>393</v>
      </c>
      <c r="O11" s="228" t="s">
        <v>373</v>
      </c>
      <c r="P11" s="228" t="s">
        <v>796</v>
      </c>
    </row>
    <row r="12" spans="1:19" s="39" customFormat="1" ht="16.5" customHeight="1">
      <c r="A12" s="87"/>
      <c r="B12" s="98"/>
      <c r="C12" s="378" t="s">
        <v>842</v>
      </c>
      <c r="D12" s="139"/>
      <c r="E12" s="379"/>
      <c r="F12" s="384"/>
      <c r="G12" s="139"/>
      <c r="H12" s="138"/>
      <c r="I12" s="138"/>
      <c r="J12" s="139"/>
      <c r="K12" s="130"/>
      <c r="L12" s="117"/>
      <c r="M12" s="139"/>
      <c r="N12" s="138"/>
      <c r="O12" s="138" t="s">
        <v>841</v>
      </c>
      <c r="P12" s="138" t="s">
        <v>1068</v>
      </c>
    </row>
    <row r="13" spans="1:19" s="306" customFormat="1" ht="20.25" customHeight="1">
      <c r="A13" s="405">
        <v>2015</v>
      </c>
      <c r="B13" s="497"/>
      <c r="C13" s="1470">
        <v>2493.2296900471383</v>
      </c>
      <c r="D13" s="1470">
        <v>9095.0999406128321</v>
      </c>
      <c r="E13" s="1470">
        <v>1022.366587295185</v>
      </c>
      <c r="F13" s="1470">
        <v>3275.1364228779848</v>
      </c>
      <c r="G13" s="1470">
        <v>748.38780354489381</v>
      </c>
      <c r="H13" s="1470">
        <v>16634.170444378033</v>
      </c>
      <c r="I13" s="1470">
        <v>2266.7927742960314</v>
      </c>
      <c r="J13" s="1470">
        <v>1084.1339149047376</v>
      </c>
      <c r="K13" s="1470">
        <v>768.69198213070138</v>
      </c>
      <c r="L13" s="1470">
        <v>4407.5056466954065</v>
      </c>
      <c r="M13" s="1471">
        <v>181.17465715515158</v>
      </c>
      <c r="N13" s="1470">
        <v>8708.2989751820296</v>
      </c>
      <c r="O13" s="1472">
        <v>25342.46941956006</v>
      </c>
      <c r="P13" s="652">
        <v>504.49199158510646</v>
      </c>
      <c r="Q13" s="321"/>
      <c r="R13" s="321"/>
      <c r="S13" s="321"/>
    </row>
    <row r="14" spans="1:19" s="408" customFormat="1" ht="14.25" customHeight="1">
      <c r="A14" s="356">
        <v>2016</v>
      </c>
      <c r="B14" s="551"/>
      <c r="C14" s="1473">
        <v>2808.1265450605624</v>
      </c>
      <c r="D14" s="1473">
        <v>9657.9580489980453</v>
      </c>
      <c r="E14" s="1474">
        <v>1543.2992124664511</v>
      </c>
      <c r="F14" s="1474">
        <v>3124.2201250677854</v>
      </c>
      <c r="G14" s="1474">
        <v>650.68248832766426</v>
      </c>
      <c r="H14" s="1474">
        <v>17784.276419920512</v>
      </c>
      <c r="I14" s="1474">
        <v>2170.6594328236256</v>
      </c>
      <c r="J14" s="1473">
        <v>1316.8800125930354</v>
      </c>
      <c r="K14" s="1474">
        <v>754.59398919997318</v>
      </c>
      <c r="L14" s="1474">
        <v>3946.7296395681483</v>
      </c>
      <c r="M14" s="1474">
        <v>317.25815851613697</v>
      </c>
      <c r="N14" s="1474">
        <v>8506.2012327009215</v>
      </c>
      <c r="O14" s="1474">
        <v>26290.47765262143</v>
      </c>
      <c r="P14" s="652">
        <v>500.0573229558936</v>
      </c>
      <c r="Q14" s="321"/>
      <c r="R14" s="321"/>
      <c r="S14" s="321"/>
    </row>
    <row r="15" spans="1:19" s="408" customFormat="1" ht="14.25" customHeight="1">
      <c r="A15" s="356">
        <v>2017</v>
      </c>
      <c r="B15" s="551"/>
      <c r="C15" s="1473">
        <v>2782.4644292720213</v>
      </c>
      <c r="D15" s="1473">
        <v>10523.743100082333</v>
      </c>
      <c r="E15" s="1474">
        <v>1449.1910483419003</v>
      </c>
      <c r="F15" s="1474">
        <v>3422.8719105847936</v>
      </c>
      <c r="G15" s="1474">
        <v>684.43174972046609</v>
      </c>
      <c r="H15" s="1474">
        <v>18862.702238001511</v>
      </c>
      <c r="I15" s="1474">
        <v>2189.6096609167271</v>
      </c>
      <c r="J15" s="1473">
        <v>1567.0330521168528</v>
      </c>
      <c r="K15" s="1474">
        <v>408.67949108830442</v>
      </c>
      <c r="L15" s="1474">
        <v>3433.0369736222387</v>
      </c>
      <c r="M15" s="1474">
        <v>284.45918301779483</v>
      </c>
      <c r="N15" s="1474">
        <v>7882.8183607619176</v>
      </c>
      <c r="O15" s="1474">
        <v>26745.520598763429</v>
      </c>
      <c r="P15" s="652">
        <v>726.69582643533954</v>
      </c>
      <c r="Q15" s="321"/>
      <c r="R15" s="321"/>
      <c r="S15" s="321"/>
    </row>
    <row r="16" spans="1:19" s="321" customFormat="1" ht="14.25" customHeight="1">
      <c r="A16" s="747">
        <v>2018</v>
      </c>
      <c r="B16" s="748"/>
      <c r="C16" s="749">
        <v>3298.3922684051067</v>
      </c>
      <c r="D16" s="749">
        <v>10658.32677088996</v>
      </c>
      <c r="E16" s="630">
        <v>1457.8572165731014</v>
      </c>
      <c r="F16" s="630">
        <v>3287.5838046594868</v>
      </c>
      <c r="G16" s="630">
        <v>917.54257493251066</v>
      </c>
      <c r="H16" s="630">
        <v>19619.722635460166</v>
      </c>
      <c r="I16" s="630">
        <v>2411.7194159203059</v>
      </c>
      <c r="J16" s="749">
        <v>1877.0206727024197</v>
      </c>
      <c r="K16" s="630">
        <v>368.46042397555516</v>
      </c>
      <c r="L16" s="630">
        <v>3356.4228835296044</v>
      </c>
      <c r="M16" s="630">
        <v>294.87963241310479</v>
      </c>
      <c r="N16" s="630">
        <v>8308.4730285409896</v>
      </c>
      <c r="O16" s="630">
        <v>27928.195664001156</v>
      </c>
      <c r="P16" s="652">
        <v>863.93560726087571</v>
      </c>
    </row>
    <row r="17" spans="1:19" s="321" customFormat="1" ht="14.25" customHeight="1">
      <c r="A17" s="747">
        <v>2019</v>
      </c>
      <c r="B17" s="748"/>
      <c r="C17" s="749">
        <v>2648.1251509171325</v>
      </c>
      <c r="D17" s="749">
        <v>12215.44044754835</v>
      </c>
      <c r="E17" s="630">
        <v>1465.4896821406587</v>
      </c>
      <c r="F17" s="630">
        <v>3528.6022478184514</v>
      </c>
      <c r="G17" s="630">
        <v>1091.1179279307084</v>
      </c>
      <c r="H17" s="630">
        <v>20948.745456355307</v>
      </c>
      <c r="I17" s="630">
        <v>5246.9232433291145</v>
      </c>
      <c r="J17" s="749">
        <v>1981.6908049802964</v>
      </c>
      <c r="K17" s="630">
        <v>471.99059004027674</v>
      </c>
      <c r="L17" s="630">
        <v>3197.5152318289965</v>
      </c>
      <c r="M17" s="630">
        <v>235.7177895254012</v>
      </c>
      <c r="N17" s="630">
        <v>11133.887659704085</v>
      </c>
      <c r="O17" s="630">
        <v>32082.633116059391</v>
      </c>
      <c r="P17" s="652">
        <v>759.70140558993626</v>
      </c>
    </row>
    <row r="18" spans="1:19" s="321" customFormat="1" ht="14.25" customHeight="1">
      <c r="A18" s="747">
        <v>2020</v>
      </c>
      <c r="B18" s="748"/>
      <c r="C18" s="749">
        <v>2816.7169051047181</v>
      </c>
      <c r="D18" s="749">
        <v>13113.569616804331</v>
      </c>
      <c r="E18" s="630">
        <v>1172.6932473231223</v>
      </c>
      <c r="F18" s="630">
        <v>2941.6005236347742</v>
      </c>
      <c r="G18" s="630">
        <v>1308.0551920424421</v>
      </c>
      <c r="H18" s="630">
        <v>21352.655484909385</v>
      </c>
      <c r="I18" s="630">
        <v>4024.0438308358389</v>
      </c>
      <c r="J18" s="749">
        <v>2604.4013560606354</v>
      </c>
      <c r="K18" s="630">
        <v>604.85678452347008</v>
      </c>
      <c r="L18" s="630">
        <v>2718.0570703134777</v>
      </c>
      <c r="M18" s="630">
        <v>307.3380540978518</v>
      </c>
      <c r="N18" s="630">
        <v>10258.677095831274</v>
      </c>
      <c r="O18" s="630">
        <v>31611.382580740654</v>
      </c>
      <c r="P18" s="652">
        <v>819.92092452229599</v>
      </c>
    </row>
    <row r="19" spans="1:19" s="321" customFormat="1" ht="14.25" customHeight="1">
      <c r="A19" s="747">
        <v>2021</v>
      </c>
      <c r="B19" s="748"/>
      <c r="C19" s="749">
        <v>3245.7588134885691</v>
      </c>
      <c r="D19" s="749">
        <v>14533.68937072066</v>
      </c>
      <c r="E19" s="630">
        <v>1086.9578953738028</v>
      </c>
      <c r="F19" s="630">
        <v>2737.9019001063134</v>
      </c>
      <c r="G19" s="630">
        <v>1018.0906603466869</v>
      </c>
      <c r="H19" s="630">
        <v>22622.458640036035</v>
      </c>
      <c r="I19" s="630">
        <v>5826.2275112204197</v>
      </c>
      <c r="J19" s="749">
        <v>3314.4066355169757</v>
      </c>
      <c r="K19" s="630">
        <v>734.85057526395326</v>
      </c>
      <c r="L19" s="630">
        <v>1837.063740502321</v>
      </c>
      <c r="M19" s="630">
        <v>219.7144119713642</v>
      </c>
      <c r="N19" s="630">
        <v>11932.262874475033</v>
      </c>
      <c r="O19" s="630">
        <v>34554.801514509956</v>
      </c>
      <c r="P19" s="652">
        <v>640.04642634880315</v>
      </c>
    </row>
    <row r="20" spans="1:19" s="321" customFormat="1" ht="14.25" customHeight="1">
      <c r="A20" s="747">
        <v>2022</v>
      </c>
      <c r="B20" s="748"/>
      <c r="C20" s="749">
        <v>3876.7492942223089</v>
      </c>
      <c r="D20" s="630">
        <v>14311.411305187155</v>
      </c>
      <c r="E20" s="630">
        <v>965.11924333900538</v>
      </c>
      <c r="F20" s="630">
        <v>3530.1717745519736</v>
      </c>
      <c r="G20" s="630">
        <v>1420.7930555898947</v>
      </c>
      <c r="H20" s="630">
        <v>24104.244672890338</v>
      </c>
      <c r="I20" s="630">
        <v>6877.1166952142748</v>
      </c>
      <c r="J20" s="749">
        <v>3146.7126503923055</v>
      </c>
      <c r="K20" s="630">
        <v>787.3988433238776</v>
      </c>
      <c r="L20" s="630">
        <v>577.0597078589783</v>
      </c>
      <c r="M20" s="630">
        <v>572.55347112472168</v>
      </c>
      <c r="N20" s="630">
        <v>11960.921367914159</v>
      </c>
      <c r="O20" s="630">
        <v>36065.066040804501</v>
      </c>
      <c r="P20" s="652">
        <v>548.76655183907974</v>
      </c>
    </row>
    <row r="21" spans="1:19" s="321" customFormat="1" ht="14.25" customHeight="1">
      <c r="A21" s="747">
        <v>2023</v>
      </c>
      <c r="B21" s="748"/>
      <c r="C21" s="749">
        <v>3355.7990370976386</v>
      </c>
      <c r="D21" s="749">
        <v>14516.281554268764</v>
      </c>
      <c r="E21" s="630">
        <v>1019.2075178131645</v>
      </c>
      <c r="F21" s="630">
        <v>3403.3167497559962</v>
      </c>
      <c r="G21" s="630">
        <v>1463.3493064448742</v>
      </c>
      <c r="H21" s="630">
        <v>23757.944165380439</v>
      </c>
      <c r="I21" s="630">
        <v>7103.0113365120742</v>
      </c>
      <c r="J21" s="749">
        <v>5105.8678003462264</v>
      </c>
      <c r="K21" s="630">
        <v>857.39851003021454</v>
      </c>
      <c r="L21" s="630">
        <v>555.52267761903204</v>
      </c>
      <c r="M21" s="630">
        <v>854.71192167085132</v>
      </c>
      <c r="N21" s="630">
        <v>14476.462246178398</v>
      </c>
      <c r="O21" s="630">
        <v>38234.416411558843</v>
      </c>
      <c r="P21" s="652">
        <v>454.26916329993622</v>
      </c>
    </row>
    <row r="22" spans="1:19" s="321" customFormat="1" ht="14.25" customHeight="1">
      <c r="A22" s="907">
        <v>2024</v>
      </c>
      <c r="B22" s="999"/>
      <c r="C22" s="1000">
        <f t="shared" ref="C22:P22" si="0">C27</f>
        <v>4562.3217298076315</v>
      </c>
      <c r="D22" s="1000">
        <f t="shared" si="0"/>
        <v>19936.770069994003</v>
      </c>
      <c r="E22" s="1001">
        <f t="shared" si="0"/>
        <v>1593.563847750612</v>
      </c>
      <c r="F22" s="1001">
        <f t="shared" si="0"/>
        <v>3626.0125184576232</v>
      </c>
      <c r="G22" s="1001">
        <f t="shared" si="0"/>
        <v>1360.5001635101908</v>
      </c>
      <c r="H22" s="1001">
        <f t="shared" si="0"/>
        <v>31079.16832952006</v>
      </c>
      <c r="I22" s="1001">
        <f t="shared" si="0"/>
        <v>17736.727415640569</v>
      </c>
      <c r="J22" s="1000">
        <f t="shared" si="0"/>
        <v>7357.8589559839838</v>
      </c>
      <c r="K22" s="1001">
        <f t="shared" si="0"/>
        <v>677.02146712126023</v>
      </c>
      <c r="L22" s="1001">
        <f t="shared" si="0"/>
        <v>5799.2745308849589</v>
      </c>
      <c r="M22" s="1001">
        <f t="shared" si="0"/>
        <v>704.32554133858866</v>
      </c>
      <c r="N22" s="1001">
        <f t="shared" si="0"/>
        <v>32275.207910969362</v>
      </c>
      <c r="O22" s="1001">
        <f t="shared" si="0"/>
        <v>63354.376240489422</v>
      </c>
      <c r="P22" s="1475">
        <f t="shared" si="0"/>
        <v>7099.9859692193722</v>
      </c>
    </row>
    <row r="23" spans="1:19" s="321" customFormat="1" ht="21" customHeight="1">
      <c r="A23" s="747">
        <v>2023</v>
      </c>
      <c r="B23" s="748" t="s">
        <v>238</v>
      </c>
      <c r="C23" s="749">
        <v>3355.7990370976386</v>
      </c>
      <c r="D23" s="749">
        <v>14516.281554268764</v>
      </c>
      <c r="E23" s="630">
        <v>1019.2075178131645</v>
      </c>
      <c r="F23" s="630">
        <v>3403.3167497559962</v>
      </c>
      <c r="G23" s="630">
        <v>1463.3493064448742</v>
      </c>
      <c r="H23" s="630">
        <v>23757.944165380439</v>
      </c>
      <c r="I23" s="630">
        <v>7103.0113365120742</v>
      </c>
      <c r="J23" s="749">
        <v>5105.8678003462264</v>
      </c>
      <c r="K23" s="630">
        <v>857.39851003021454</v>
      </c>
      <c r="L23" s="630">
        <v>555.52267761903204</v>
      </c>
      <c r="M23" s="630">
        <v>854.71192167085132</v>
      </c>
      <c r="N23" s="630">
        <v>14476.462246178398</v>
      </c>
      <c r="O23" s="630">
        <v>38234.416411558843</v>
      </c>
      <c r="P23" s="652">
        <v>454.26916329993622</v>
      </c>
    </row>
    <row r="24" spans="1:19" s="321" customFormat="1" ht="21" customHeight="1">
      <c r="A24" s="747">
        <v>2024</v>
      </c>
      <c r="B24" s="748" t="s">
        <v>239</v>
      </c>
      <c r="C24" s="749">
        <v>3768.0465295934455</v>
      </c>
      <c r="D24" s="749">
        <v>19628.619957813018</v>
      </c>
      <c r="E24" s="630">
        <v>1259.3076584294158</v>
      </c>
      <c r="F24" s="630">
        <v>3477.172359248495</v>
      </c>
      <c r="G24" s="630">
        <v>2292.4596735201653</v>
      </c>
      <c r="H24" s="630">
        <v>30425.596178604541</v>
      </c>
      <c r="I24" s="630">
        <v>15170.661941046625</v>
      </c>
      <c r="J24" s="749">
        <v>7618.6097136344424</v>
      </c>
      <c r="K24" s="630">
        <v>998.94133749830019</v>
      </c>
      <c r="L24" s="630">
        <v>5772.0794292221726</v>
      </c>
      <c r="M24" s="630">
        <v>1016.5953573243465</v>
      </c>
      <c r="N24" s="630">
        <v>30576.88777872589</v>
      </c>
      <c r="O24" s="630">
        <v>61002.483957330434</v>
      </c>
      <c r="P24" s="652">
        <v>4735.035073834064</v>
      </c>
    </row>
    <row r="25" spans="1:19" s="321" customFormat="1" ht="15" customHeight="1">
      <c r="A25" s="747"/>
      <c r="B25" s="748" t="s">
        <v>240</v>
      </c>
      <c r="C25" s="749">
        <v>4223.3182859601202</v>
      </c>
      <c r="D25" s="749">
        <v>19905.569637026336</v>
      </c>
      <c r="E25" s="630">
        <v>1355.893866060133</v>
      </c>
      <c r="F25" s="630">
        <v>3370.5225278299172</v>
      </c>
      <c r="G25" s="630">
        <v>1598.7243011239507</v>
      </c>
      <c r="H25" s="630">
        <v>30454.028618000462</v>
      </c>
      <c r="I25" s="630">
        <v>16546.460251607063</v>
      </c>
      <c r="J25" s="749">
        <v>7771.5684879357323</v>
      </c>
      <c r="K25" s="630">
        <v>628.95118638307463</v>
      </c>
      <c r="L25" s="630">
        <v>5192.2041104544796</v>
      </c>
      <c r="M25" s="630">
        <v>1109.5008843083958</v>
      </c>
      <c r="N25" s="630">
        <v>31248.754920688742</v>
      </c>
      <c r="O25" s="630">
        <v>61702.783538689204</v>
      </c>
      <c r="P25" s="652">
        <v>5853.5287673456805</v>
      </c>
    </row>
    <row r="26" spans="1:19" s="321" customFormat="1" ht="15" customHeight="1">
      <c r="A26" s="747"/>
      <c r="B26" s="748" t="s">
        <v>237</v>
      </c>
      <c r="C26" s="749">
        <v>4602.3040107294382</v>
      </c>
      <c r="D26" s="749">
        <v>20377.4300162459</v>
      </c>
      <c r="E26" s="630">
        <v>1588.5648083490692</v>
      </c>
      <c r="F26" s="630">
        <v>3477.5340150437787</v>
      </c>
      <c r="G26" s="630">
        <v>1759.5522010900063</v>
      </c>
      <c r="H26" s="630">
        <v>31805.385051458194</v>
      </c>
      <c r="I26" s="630">
        <v>15479.084720333196</v>
      </c>
      <c r="J26" s="749">
        <v>7366.0241449047335</v>
      </c>
      <c r="K26" s="630">
        <v>706.70281009499172</v>
      </c>
      <c r="L26" s="630">
        <v>5416.440257044088</v>
      </c>
      <c r="M26" s="630">
        <v>1536.8574827639441</v>
      </c>
      <c r="N26" s="630">
        <v>30505.10941514096</v>
      </c>
      <c r="O26" s="630">
        <v>62310.494466599135</v>
      </c>
      <c r="P26" s="652">
        <v>5986.1897349339097</v>
      </c>
    </row>
    <row r="27" spans="1:19" s="321" customFormat="1" ht="15" customHeight="1">
      <c r="A27" s="747"/>
      <c r="B27" s="748" t="s">
        <v>238</v>
      </c>
      <c r="C27" s="749">
        <v>4562.3217298076315</v>
      </c>
      <c r="D27" s="749">
        <v>19936.770069994003</v>
      </c>
      <c r="E27" s="630">
        <v>1593.563847750612</v>
      </c>
      <c r="F27" s="630">
        <v>3626.0125184576232</v>
      </c>
      <c r="G27" s="630">
        <v>1360.5001635101908</v>
      </c>
      <c r="H27" s="630">
        <v>31079.16832952006</v>
      </c>
      <c r="I27" s="630">
        <v>17736.727415640569</v>
      </c>
      <c r="J27" s="749">
        <v>7357.8589559839838</v>
      </c>
      <c r="K27" s="630">
        <v>677.02146712126023</v>
      </c>
      <c r="L27" s="630">
        <v>5799.2745308849589</v>
      </c>
      <c r="M27" s="630">
        <v>704.32554133858866</v>
      </c>
      <c r="N27" s="630">
        <v>32275.207910969362</v>
      </c>
      <c r="O27" s="630">
        <v>63354.376240489422</v>
      </c>
      <c r="P27" s="652">
        <v>7099.9859692193722</v>
      </c>
    </row>
    <row r="28" spans="1:19" s="321" customFormat="1" ht="21" customHeight="1">
      <c r="A28" s="747">
        <v>2025</v>
      </c>
      <c r="B28" s="748" t="s">
        <v>239</v>
      </c>
      <c r="C28" s="749">
        <f t="shared" ref="C28:P28" si="1">C36</f>
        <v>5699.4442318190668</v>
      </c>
      <c r="D28" s="749">
        <f t="shared" si="1"/>
        <v>19937.105545862887</v>
      </c>
      <c r="E28" s="630">
        <f t="shared" si="1"/>
        <v>1513.3904585456385</v>
      </c>
      <c r="F28" s="630">
        <f t="shared" si="1"/>
        <v>3232.0817427092165</v>
      </c>
      <c r="G28" s="630">
        <f t="shared" si="1"/>
        <v>2009.6329206256423</v>
      </c>
      <c r="H28" s="630">
        <f t="shared" si="1"/>
        <v>32391.624899562448</v>
      </c>
      <c r="I28" s="630">
        <f t="shared" si="1"/>
        <v>15775.613840548498</v>
      </c>
      <c r="J28" s="749">
        <f t="shared" si="1"/>
        <v>6722.3657276824924</v>
      </c>
      <c r="K28" s="630">
        <f t="shared" si="1"/>
        <v>788.22835129553869</v>
      </c>
      <c r="L28" s="630">
        <f t="shared" si="1"/>
        <v>5468.1974600100002</v>
      </c>
      <c r="M28" s="630">
        <f t="shared" si="1"/>
        <v>370.14424267327962</v>
      </c>
      <c r="N28" s="630">
        <f t="shared" si="1"/>
        <v>29124.529622209808</v>
      </c>
      <c r="O28" s="630">
        <f t="shared" si="1"/>
        <v>61516.104521772264</v>
      </c>
      <c r="P28" s="652">
        <f t="shared" si="1"/>
        <v>7914.1785332618256</v>
      </c>
    </row>
    <row r="29" spans="1:19" s="321" customFormat="1" ht="15" customHeight="1">
      <c r="A29" s="747"/>
      <c r="B29" s="748" t="s">
        <v>240</v>
      </c>
      <c r="C29" s="749">
        <f t="shared" ref="C29:P29" si="2">C39</f>
        <v>5759.4064604318282</v>
      </c>
      <c r="D29" s="749">
        <f t="shared" si="2"/>
        <v>20013.796662639001</v>
      </c>
      <c r="E29" s="630">
        <f t="shared" si="2"/>
        <v>1405.2976167792563</v>
      </c>
      <c r="F29" s="630">
        <f t="shared" si="2"/>
        <v>3487.7965950408598</v>
      </c>
      <c r="G29" s="630">
        <f t="shared" si="2"/>
        <v>1531.5401166807576</v>
      </c>
      <c r="H29" s="630">
        <f t="shared" si="2"/>
        <v>32197.847451571703</v>
      </c>
      <c r="I29" s="630">
        <f t="shared" si="2"/>
        <v>17929.553531658446</v>
      </c>
      <c r="J29" s="749">
        <f t="shared" si="2"/>
        <v>7097.315652403815</v>
      </c>
      <c r="K29" s="630">
        <f t="shared" si="2"/>
        <v>1025.7562867582783</v>
      </c>
      <c r="L29" s="630">
        <f t="shared" si="2"/>
        <v>5927.5188164748433</v>
      </c>
      <c r="M29" s="630">
        <f t="shared" si="2"/>
        <v>292.29646471656287</v>
      </c>
      <c r="N29" s="630">
        <f t="shared" si="2"/>
        <v>32272.460752011943</v>
      </c>
      <c r="O29" s="630">
        <f t="shared" si="2"/>
        <v>64470.288203583637</v>
      </c>
      <c r="P29" s="652">
        <f t="shared" si="2"/>
        <v>7761.1637619448184</v>
      </c>
    </row>
    <row r="30" spans="1:19" s="321" customFormat="1" ht="15" customHeight="1">
      <c r="A30" s="907"/>
      <c r="B30" s="999" t="s">
        <v>237</v>
      </c>
      <c r="C30" s="1000">
        <f t="shared" ref="C30:P30" si="3">C42</f>
        <v>5880.0501049236827</v>
      </c>
      <c r="D30" s="1000">
        <f t="shared" si="3"/>
        <v>20092.048809434069</v>
      </c>
      <c r="E30" s="1001">
        <f t="shared" si="3"/>
        <v>1380.5200631453999</v>
      </c>
      <c r="F30" s="1001">
        <f t="shared" si="3"/>
        <v>3627.2970871792568</v>
      </c>
      <c r="G30" s="1001">
        <f t="shared" si="3"/>
        <v>1486.2753438507189</v>
      </c>
      <c r="H30" s="1001">
        <f t="shared" si="3"/>
        <v>32466.191408533123</v>
      </c>
      <c r="I30" s="1001">
        <f t="shared" si="3"/>
        <v>18266.141163692773</v>
      </c>
      <c r="J30" s="1000">
        <f t="shared" si="3"/>
        <v>8223.3757204002723</v>
      </c>
      <c r="K30" s="1001">
        <f t="shared" si="3"/>
        <v>1192.8481617984883</v>
      </c>
      <c r="L30" s="1001">
        <f t="shared" si="3"/>
        <v>6074.9583086717385</v>
      </c>
      <c r="M30" s="1001">
        <f t="shared" si="3"/>
        <v>316.12091436945542</v>
      </c>
      <c r="N30" s="1001">
        <f t="shared" si="3"/>
        <v>34073.444268932733</v>
      </c>
      <c r="O30" s="1001">
        <f t="shared" si="3"/>
        <v>66539.635677465849</v>
      </c>
      <c r="P30" s="1475">
        <f t="shared" si="3"/>
        <v>7349.6691770874295</v>
      </c>
    </row>
    <row r="31" spans="1:19" s="321" customFormat="1" ht="21" customHeight="1">
      <c r="A31" s="747">
        <v>2024</v>
      </c>
      <c r="B31" s="748" t="s">
        <v>412</v>
      </c>
      <c r="C31" s="749">
        <v>5165.4757064355572</v>
      </c>
      <c r="D31" s="749">
        <v>20206.295018978337</v>
      </c>
      <c r="E31" s="630">
        <v>1579.9026828468882</v>
      </c>
      <c r="F31" s="630">
        <v>3615.2431828480958</v>
      </c>
      <c r="G31" s="630">
        <v>1342.6554212741003</v>
      </c>
      <c r="H31" s="630">
        <v>31909.552012382985</v>
      </c>
      <c r="I31" s="630">
        <v>17045.796656985578</v>
      </c>
      <c r="J31" s="749">
        <v>7490.2481588103201</v>
      </c>
      <c r="K31" s="630">
        <v>546.72698602157845</v>
      </c>
      <c r="L31" s="630">
        <v>5446.7411117219544</v>
      </c>
      <c r="M31" s="630">
        <v>189.35546256897345</v>
      </c>
      <c r="N31" s="630">
        <v>30718.838376108404</v>
      </c>
      <c r="O31" s="630">
        <v>62628.410388491378</v>
      </c>
      <c r="P31" s="652">
        <v>7040.0789156776218</v>
      </c>
      <c r="Q31" s="770"/>
      <c r="R31" s="770"/>
      <c r="S31" s="770"/>
    </row>
    <row r="32" spans="1:19" s="321" customFormat="1" ht="16.5" customHeight="1">
      <c r="A32" s="747"/>
      <c r="B32" s="748" t="s">
        <v>413</v>
      </c>
      <c r="C32" s="749">
        <v>5154.315801932511</v>
      </c>
      <c r="D32" s="749">
        <v>19903.576667016943</v>
      </c>
      <c r="E32" s="630">
        <v>1565.5937779292815</v>
      </c>
      <c r="F32" s="630">
        <v>3589.1400313752119</v>
      </c>
      <c r="G32" s="630">
        <v>1427.4210742087826</v>
      </c>
      <c r="H32" s="630">
        <v>31640.037352462728</v>
      </c>
      <c r="I32" s="630">
        <v>17299.316330517577</v>
      </c>
      <c r="J32" s="749">
        <v>7597.5672824259482</v>
      </c>
      <c r="K32" s="630">
        <v>593.82420116454932</v>
      </c>
      <c r="L32" s="630">
        <v>5690.9565774414878</v>
      </c>
      <c r="M32" s="630">
        <v>223.50647596299584</v>
      </c>
      <c r="N32" s="630">
        <v>31405.170867512559</v>
      </c>
      <c r="O32" s="630">
        <v>63045.238219975276</v>
      </c>
      <c r="P32" s="652">
        <v>7542.0863282668142</v>
      </c>
      <c r="Q32" s="770"/>
      <c r="R32" s="770"/>
      <c r="S32" s="770"/>
    </row>
    <row r="33" spans="1:19" s="321" customFormat="1" ht="16.5" customHeight="1">
      <c r="A33" s="747"/>
      <c r="B33" s="748" t="s">
        <v>414</v>
      </c>
      <c r="C33" s="749">
        <v>4562.3217298076315</v>
      </c>
      <c r="D33" s="749">
        <v>19936.770069994003</v>
      </c>
      <c r="E33" s="630">
        <v>1593.563847750612</v>
      </c>
      <c r="F33" s="630">
        <v>3626.0125184576232</v>
      </c>
      <c r="G33" s="630">
        <v>1360.5001635101908</v>
      </c>
      <c r="H33" s="630">
        <v>31079.16832952006</v>
      </c>
      <c r="I33" s="630">
        <v>17736.727415640569</v>
      </c>
      <c r="J33" s="749">
        <v>7357.8589559839838</v>
      </c>
      <c r="K33" s="630">
        <v>677.02146712126023</v>
      </c>
      <c r="L33" s="630">
        <v>5799.2745308849589</v>
      </c>
      <c r="M33" s="630">
        <v>704.32554133858866</v>
      </c>
      <c r="N33" s="630">
        <v>32275.207910969362</v>
      </c>
      <c r="O33" s="630">
        <v>63354.376240489422</v>
      </c>
      <c r="P33" s="652">
        <v>7099.9859692193722</v>
      </c>
      <c r="Q33" s="770"/>
      <c r="R33" s="770"/>
      <c r="S33" s="770"/>
    </row>
    <row r="34" spans="1:19" s="321" customFormat="1" ht="21" customHeight="1">
      <c r="A34" s="747">
        <v>2025</v>
      </c>
      <c r="B34" s="748" t="s">
        <v>415</v>
      </c>
      <c r="C34" s="749">
        <v>5175.3702419057854</v>
      </c>
      <c r="D34" s="749">
        <v>19395.040935688678</v>
      </c>
      <c r="E34" s="630">
        <v>1600.0939380830796</v>
      </c>
      <c r="F34" s="630">
        <v>3739.3032005167092</v>
      </c>
      <c r="G34" s="630">
        <v>1580.6925300929768</v>
      </c>
      <c r="H34" s="630">
        <v>31490.530846287227</v>
      </c>
      <c r="I34" s="630">
        <v>15985.898835602364</v>
      </c>
      <c r="J34" s="749">
        <v>6512.3791227970714</v>
      </c>
      <c r="K34" s="630">
        <v>678.83535624146839</v>
      </c>
      <c r="L34" s="630">
        <v>6255.0676621042612</v>
      </c>
      <c r="M34" s="630">
        <v>394.02590231717306</v>
      </c>
      <c r="N34" s="630">
        <v>29826.206879062334</v>
      </c>
      <c r="O34" s="630">
        <v>61316.737725349565</v>
      </c>
      <c r="P34" s="652">
        <v>8854.1693970040742</v>
      </c>
      <c r="Q34" s="770"/>
      <c r="R34" s="770"/>
      <c r="S34" s="770"/>
    </row>
    <row r="35" spans="1:19" s="321" customFormat="1" ht="15" customHeight="1">
      <c r="A35" s="747"/>
      <c r="B35" s="748" t="s">
        <v>416</v>
      </c>
      <c r="C35" s="749">
        <v>5499.9666613439476</v>
      </c>
      <c r="D35" s="749">
        <v>19746.193522939298</v>
      </c>
      <c r="E35" s="630">
        <v>1670.9040727061451</v>
      </c>
      <c r="F35" s="630">
        <v>3252.3587339269361</v>
      </c>
      <c r="G35" s="630">
        <v>1591.2120611535317</v>
      </c>
      <c r="H35" s="630">
        <v>31760.655052069858</v>
      </c>
      <c r="I35" s="630">
        <v>15711.053134193278</v>
      </c>
      <c r="J35" s="749">
        <v>6599.056231047829</v>
      </c>
      <c r="K35" s="630">
        <v>743.88442881503465</v>
      </c>
      <c r="L35" s="630">
        <v>5999.2333815008196</v>
      </c>
      <c r="M35" s="630">
        <v>325.55578339969895</v>
      </c>
      <c r="N35" s="630">
        <v>29378.872958956657</v>
      </c>
      <c r="O35" s="630">
        <v>61139.558011026522</v>
      </c>
      <c r="P35" s="652">
        <v>8107.4525025190524</v>
      </c>
      <c r="Q35" s="770"/>
      <c r="R35" s="770"/>
      <c r="S35" s="770"/>
    </row>
    <row r="36" spans="1:19" s="321" customFormat="1" ht="15" customHeight="1">
      <c r="A36" s="747"/>
      <c r="B36" s="748" t="s">
        <v>417</v>
      </c>
      <c r="C36" s="749">
        <v>5699.4442318190668</v>
      </c>
      <c r="D36" s="749">
        <v>19937.105545862887</v>
      </c>
      <c r="E36" s="630">
        <v>1513.3904585456385</v>
      </c>
      <c r="F36" s="630">
        <v>3232.0817427092165</v>
      </c>
      <c r="G36" s="630">
        <v>2009.6329206256423</v>
      </c>
      <c r="H36" s="630">
        <v>32391.624899562448</v>
      </c>
      <c r="I36" s="630">
        <v>15775.613840548498</v>
      </c>
      <c r="J36" s="749">
        <v>6722.3657276824924</v>
      </c>
      <c r="K36" s="630">
        <v>788.22835129553869</v>
      </c>
      <c r="L36" s="630">
        <v>5468.1974600100002</v>
      </c>
      <c r="M36" s="630">
        <v>370.14424267327962</v>
      </c>
      <c r="N36" s="630">
        <v>29124.529622209808</v>
      </c>
      <c r="O36" s="630">
        <v>61516.104521772264</v>
      </c>
      <c r="P36" s="652">
        <v>7914.1785332618256</v>
      </c>
      <c r="Q36" s="770"/>
      <c r="R36" s="770"/>
      <c r="S36" s="770"/>
    </row>
    <row r="37" spans="1:19" s="321" customFormat="1" ht="15" customHeight="1">
      <c r="A37" s="747"/>
      <c r="B37" s="748" t="s">
        <v>418</v>
      </c>
      <c r="C37" s="749">
        <v>5947.1921634789769</v>
      </c>
      <c r="D37" s="749">
        <v>20131.787823262694</v>
      </c>
      <c r="E37" s="630">
        <v>1643.1782744026059</v>
      </c>
      <c r="F37" s="630">
        <v>3307.5399007101719</v>
      </c>
      <c r="G37" s="630">
        <v>1340.1822577959219</v>
      </c>
      <c r="H37" s="630">
        <v>32369.900419650374</v>
      </c>
      <c r="I37" s="630">
        <v>16434.266052278523</v>
      </c>
      <c r="J37" s="749">
        <v>6555.0262007415195</v>
      </c>
      <c r="K37" s="630">
        <v>1015.9833270625678</v>
      </c>
      <c r="L37" s="630">
        <v>5804.5148734516733</v>
      </c>
      <c r="M37" s="630">
        <v>345.05089037717988</v>
      </c>
      <c r="N37" s="630">
        <v>30154.86134391146</v>
      </c>
      <c r="O37" s="630">
        <v>62524.76176356183</v>
      </c>
      <c r="P37" s="652">
        <v>7066.4504675869912</v>
      </c>
      <c r="Q37" s="770"/>
      <c r="R37" s="770"/>
      <c r="S37" s="770"/>
    </row>
    <row r="38" spans="1:19" s="321" customFormat="1" ht="15" customHeight="1">
      <c r="A38" s="747"/>
      <c r="B38" s="748" t="s">
        <v>419</v>
      </c>
      <c r="C38" s="749">
        <v>5823.4467544886147</v>
      </c>
      <c r="D38" s="749">
        <v>20271.873814085018</v>
      </c>
      <c r="E38" s="630">
        <v>1533.0752458369416</v>
      </c>
      <c r="F38" s="630">
        <v>3316.5367051936632</v>
      </c>
      <c r="G38" s="630">
        <v>1464.6244181902687</v>
      </c>
      <c r="H38" s="630">
        <v>32409.536937794499</v>
      </c>
      <c r="I38" s="630">
        <v>16666.335596410438</v>
      </c>
      <c r="J38" s="749">
        <v>6519.3868892264363</v>
      </c>
      <c r="K38" s="630">
        <v>785.04246557114288</v>
      </c>
      <c r="L38" s="630">
        <v>5730.9858458029848</v>
      </c>
      <c r="M38" s="630">
        <v>467.40366104524571</v>
      </c>
      <c r="N38" s="630">
        <v>30169.144458056253</v>
      </c>
      <c r="O38" s="630">
        <v>62578.641395850747</v>
      </c>
      <c r="P38" s="652">
        <v>7108.4059396885332</v>
      </c>
      <c r="Q38" s="770"/>
      <c r="R38" s="770"/>
      <c r="S38" s="770"/>
    </row>
    <row r="39" spans="1:19" s="321" customFormat="1" ht="15" customHeight="1">
      <c r="A39" s="747"/>
      <c r="B39" s="748" t="s">
        <v>420</v>
      </c>
      <c r="C39" s="749">
        <v>5759.4064604318282</v>
      </c>
      <c r="D39" s="749">
        <v>20013.796662639001</v>
      </c>
      <c r="E39" s="630">
        <v>1405.2976167792563</v>
      </c>
      <c r="F39" s="630">
        <v>3487.7965950408598</v>
      </c>
      <c r="G39" s="630">
        <v>1531.5401166807576</v>
      </c>
      <c r="H39" s="630">
        <v>32197.847451571703</v>
      </c>
      <c r="I39" s="630">
        <v>17929.553531658446</v>
      </c>
      <c r="J39" s="749">
        <v>7097.315652403815</v>
      </c>
      <c r="K39" s="630">
        <v>1025.7562867582783</v>
      </c>
      <c r="L39" s="630">
        <v>5927.5188164748433</v>
      </c>
      <c r="M39" s="630">
        <v>292.29646471656287</v>
      </c>
      <c r="N39" s="630">
        <v>32272.460752011943</v>
      </c>
      <c r="O39" s="630">
        <v>64470.288203583637</v>
      </c>
      <c r="P39" s="652">
        <v>7761.1637619448184</v>
      </c>
      <c r="Q39" s="770"/>
      <c r="R39" s="770"/>
      <c r="S39" s="770"/>
    </row>
    <row r="40" spans="1:19" s="321" customFormat="1" ht="15" customHeight="1">
      <c r="A40" s="747"/>
      <c r="B40" s="748" t="s">
        <v>421</v>
      </c>
      <c r="C40" s="749">
        <v>6031.0213226840624</v>
      </c>
      <c r="D40" s="749">
        <v>19551.028257805287</v>
      </c>
      <c r="E40" s="630">
        <v>1530.6885597907717</v>
      </c>
      <c r="F40" s="630">
        <v>3565.8460345079848</v>
      </c>
      <c r="G40" s="630">
        <v>1543.7571498482091</v>
      </c>
      <c r="H40" s="630">
        <v>32222.33132463631</v>
      </c>
      <c r="I40" s="630">
        <v>17828.805819746038</v>
      </c>
      <c r="J40" s="749">
        <v>7695.2617726303133</v>
      </c>
      <c r="K40" s="630">
        <v>1279.1144423574283</v>
      </c>
      <c r="L40" s="630">
        <v>6003.4364762356108</v>
      </c>
      <c r="M40" s="630">
        <v>277.85832632808274</v>
      </c>
      <c r="N40" s="630">
        <v>33084.46683729747</v>
      </c>
      <c r="O40" s="630">
        <v>65306.798161933781</v>
      </c>
      <c r="P40" s="652">
        <v>7357.2193948115146</v>
      </c>
      <c r="Q40" s="770"/>
      <c r="R40" s="770"/>
      <c r="S40" s="770"/>
    </row>
    <row r="41" spans="1:19" s="321" customFormat="1" ht="15" customHeight="1">
      <c r="A41" s="747"/>
      <c r="B41" s="748" t="s">
        <v>422</v>
      </c>
      <c r="C41" s="749">
        <v>5981.4584712719898</v>
      </c>
      <c r="D41" s="749">
        <v>19626.364134964151</v>
      </c>
      <c r="E41" s="630">
        <v>1417.2177024611715</v>
      </c>
      <c r="F41" s="630">
        <v>3552.1308634062575</v>
      </c>
      <c r="G41" s="630">
        <v>1524.5157056924602</v>
      </c>
      <c r="H41" s="630">
        <v>32101.686877796026</v>
      </c>
      <c r="I41" s="630">
        <v>18091.24324157336</v>
      </c>
      <c r="J41" s="749">
        <v>7916.2985242706882</v>
      </c>
      <c r="K41" s="630">
        <v>1279.1144423574283</v>
      </c>
      <c r="L41" s="630">
        <v>5985.7635561343695</v>
      </c>
      <c r="M41" s="630">
        <v>297.02676347228146</v>
      </c>
      <c r="N41" s="630">
        <v>33569.436527808131</v>
      </c>
      <c r="O41" s="630">
        <v>65671.143405604162</v>
      </c>
      <c r="P41" s="652">
        <v>7679.7223960506826</v>
      </c>
      <c r="Q41" s="770"/>
      <c r="R41" s="770"/>
      <c r="S41" s="770"/>
    </row>
    <row r="42" spans="1:19" s="321" customFormat="1" ht="15" customHeight="1">
      <c r="A42" s="747"/>
      <c r="B42" s="748" t="s">
        <v>423</v>
      </c>
      <c r="C42" s="749">
        <v>5880.0501049236827</v>
      </c>
      <c r="D42" s="749">
        <v>20092.048809434069</v>
      </c>
      <c r="E42" s="630">
        <v>1380.5200631453999</v>
      </c>
      <c r="F42" s="630">
        <v>3627.2970871792568</v>
      </c>
      <c r="G42" s="630">
        <v>1486.2753438507189</v>
      </c>
      <c r="H42" s="630">
        <v>32466.191408533123</v>
      </c>
      <c r="I42" s="630">
        <v>18266.141163692773</v>
      </c>
      <c r="J42" s="749">
        <v>8223.3757204002723</v>
      </c>
      <c r="K42" s="630">
        <v>1192.8481617984883</v>
      </c>
      <c r="L42" s="630">
        <v>6074.9583086717385</v>
      </c>
      <c r="M42" s="630">
        <v>316.12091436945542</v>
      </c>
      <c r="N42" s="630">
        <v>34073.444268932733</v>
      </c>
      <c r="O42" s="630">
        <v>66539.635677465849</v>
      </c>
      <c r="P42" s="652">
        <v>7349.6691770874295</v>
      </c>
      <c r="Q42" s="770"/>
      <c r="R42" s="770"/>
      <c r="S42" s="770"/>
    </row>
    <row r="43" spans="1:19" s="321" customFormat="1" ht="15" customHeight="1">
      <c r="A43" s="747"/>
      <c r="B43" s="748" t="s">
        <v>412</v>
      </c>
      <c r="C43" s="749">
        <v>5764.1164106948454</v>
      </c>
      <c r="D43" s="749">
        <v>19813.344155729905</v>
      </c>
      <c r="E43" s="630">
        <v>1316.757093442553</v>
      </c>
      <c r="F43" s="630">
        <v>3751.1524472792953</v>
      </c>
      <c r="G43" s="630">
        <v>1529.3461138872387</v>
      </c>
      <c r="H43" s="630">
        <v>32174.726221033838</v>
      </c>
      <c r="I43" s="630">
        <v>17622.367624646096</v>
      </c>
      <c r="J43" s="749">
        <v>8604.9351384701858</v>
      </c>
      <c r="K43" s="630">
        <v>1261.0534601714307</v>
      </c>
      <c r="L43" s="630">
        <v>6034.7164253678511</v>
      </c>
      <c r="M43" s="630">
        <v>326.02633864885695</v>
      </c>
      <c r="N43" s="630">
        <v>33849.098987304416</v>
      </c>
      <c r="O43" s="630">
        <v>66023.825208338254</v>
      </c>
      <c r="P43" s="652">
        <v>7136.3698914346933</v>
      </c>
      <c r="Q43" s="770"/>
      <c r="R43" s="770"/>
      <c r="S43" s="770"/>
    </row>
    <row r="44" spans="1:19" ht="19.5" customHeight="1">
      <c r="A44" s="380" t="s">
        <v>1069</v>
      </c>
      <c r="B44" s="1259"/>
      <c r="C44" s="1259"/>
      <c r="D44" s="1259"/>
      <c r="E44" s="1259"/>
      <c r="F44" s="1259"/>
      <c r="G44" s="1259"/>
      <c r="H44" s="1259"/>
      <c r="I44" s="1259"/>
      <c r="J44" s="1259"/>
      <c r="K44" s="1259"/>
      <c r="L44" s="1259"/>
      <c r="M44" s="1259"/>
      <c r="N44" s="220"/>
      <c r="O44" s="726"/>
      <c r="P44" s="1476" t="s">
        <v>1070</v>
      </c>
    </row>
    <row r="45" spans="1:19" ht="14.25">
      <c r="A45" s="381" t="s">
        <v>1071</v>
      </c>
      <c r="J45" s="766"/>
      <c r="O45" s="1477"/>
      <c r="P45" s="1477" t="s">
        <v>1072</v>
      </c>
    </row>
    <row r="46" spans="1:19">
      <c r="A46" s="381" t="s">
        <v>1073</v>
      </c>
      <c r="O46" s="1477"/>
      <c r="P46" s="1477" t="s">
        <v>1074</v>
      </c>
    </row>
    <row r="48" spans="1:19">
      <c r="A48" s="382" t="s">
        <v>1111</v>
      </c>
      <c r="B48" s="1262"/>
      <c r="C48" s="1262"/>
      <c r="D48" s="1262"/>
      <c r="E48" s="1262"/>
      <c r="F48" s="1262"/>
      <c r="G48" s="1262"/>
      <c r="H48" s="1262"/>
      <c r="I48" s="1262"/>
      <c r="J48" s="1262"/>
      <c r="K48" s="1262"/>
      <c r="L48" s="1262"/>
      <c r="M48" s="1262"/>
      <c r="N48" s="1262"/>
      <c r="O48" s="1262"/>
      <c r="P48" s="1262"/>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tabSelected="1" zoomScale="85" zoomScaleNormal="85" workbookViewId="0">
      <pane ySplit="12" topLeftCell="A23" activePane="bottomLeft" state="frozen"/>
      <selection activeCell="N29" sqref="N29"/>
      <selection pane="bottomLeft" activeCell="N29" sqref="N29"/>
    </sheetView>
  </sheetViews>
  <sheetFormatPr defaultColWidth="9.140625" defaultRowHeight="12.75"/>
  <cols>
    <col min="1" max="2" width="9.7109375" style="1251" customWidth="1"/>
    <col min="3" max="3" width="12.7109375" style="1251" customWidth="1"/>
    <col min="4" max="4" width="10.28515625" style="1251" customWidth="1"/>
    <col min="5" max="5" width="12.7109375" style="1251" customWidth="1"/>
    <col min="6" max="6" width="11.7109375" style="1251" customWidth="1"/>
    <col min="7" max="8" width="10.7109375" style="1251" customWidth="1"/>
    <col min="9" max="9" width="10.28515625" style="1251" customWidth="1"/>
    <col min="10" max="10" width="11.85546875" style="1251" customWidth="1"/>
    <col min="11" max="11" width="12.7109375" style="1251" customWidth="1"/>
    <col min="12" max="12" width="10.28515625" style="1251" customWidth="1"/>
    <col min="13" max="13" width="12.7109375" style="1251" customWidth="1"/>
    <col min="14" max="14" width="11.7109375" style="1251" customWidth="1"/>
    <col min="15" max="16" width="10.7109375" style="1251" customWidth="1"/>
    <col min="17" max="17" width="10.28515625" style="1251" customWidth="1"/>
    <col min="18" max="18" width="8.28515625" style="1251" customWidth="1"/>
    <col min="19" max="16384" width="9.140625" style="1251"/>
  </cols>
  <sheetData>
    <row r="1" spans="1:21" s="381" customFormat="1" ht="18">
      <c r="A1" s="277" t="s">
        <v>1737</v>
      </c>
      <c r="B1" s="1458"/>
      <c r="C1" s="1458"/>
      <c r="D1" s="1458"/>
      <c r="E1" s="1458"/>
      <c r="F1" s="1458"/>
      <c r="G1" s="1458"/>
      <c r="H1" s="1458"/>
      <c r="I1" s="1458"/>
      <c r="J1" s="1458"/>
      <c r="K1" s="1458"/>
      <c r="L1" s="1458"/>
      <c r="M1" s="1458"/>
      <c r="N1" s="1458"/>
      <c r="O1" s="1458"/>
      <c r="P1" s="1458"/>
      <c r="Q1" s="1458"/>
    </row>
    <row r="2" spans="1:21" s="381" customFormat="1" ht="18">
      <c r="A2" s="1462" t="s">
        <v>1112</v>
      </c>
      <c r="B2" s="1458"/>
      <c r="C2" s="1458"/>
      <c r="D2" s="1458"/>
      <c r="E2" s="1458"/>
      <c r="F2" s="1458"/>
      <c r="G2" s="1458"/>
      <c r="H2" s="1458"/>
      <c r="I2" s="1458"/>
      <c r="J2" s="1458"/>
      <c r="K2" s="1458"/>
      <c r="L2" s="1458"/>
      <c r="M2" s="1458"/>
      <c r="N2" s="1458"/>
      <c r="O2" s="1458"/>
      <c r="P2" s="1458"/>
      <c r="Q2" s="1458"/>
    </row>
    <row r="3" spans="1:21" s="381" customFormat="1" ht="18">
      <c r="A3" s="1459" t="s">
        <v>1113</v>
      </c>
      <c r="B3" s="1458"/>
      <c r="C3" s="1458"/>
      <c r="D3" s="1458"/>
      <c r="E3" s="1458"/>
      <c r="F3" s="1458"/>
      <c r="G3" s="1458"/>
      <c r="H3" s="1458"/>
      <c r="I3" s="1458"/>
      <c r="J3" s="1458"/>
      <c r="K3" s="1458"/>
      <c r="L3" s="1458"/>
      <c r="M3" s="1458"/>
      <c r="N3" s="1458"/>
      <c r="O3" s="382"/>
      <c r="P3" s="1458"/>
      <c r="Q3" s="1458"/>
    </row>
    <row r="4" spans="1:21" s="306" customFormat="1" ht="14.25">
      <c r="A4" s="306" t="s">
        <v>812</v>
      </c>
      <c r="B4" s="319"/>
      <c r="Q4" s="1256" t="s">
        <v>813</v>
      </c>
    </row>
    <row r="5" spans="1:21" s="306" customFormat="1" ht="14.25" hidden="1">
      <c r="B5" s="319"/>
      <c r="Q5" s="1256"/>
    </row>
    <row r="6" spans="1:21" s="306" customFormat="1" ht="14.25" hidden="1">
      <c r="B6" s="319"/>
      <c r="Q6" s="1256"/>
    </row>
    <row r="7" spans="1:21" s="306" customFormat="1" ht="14.25" hidden="1">
      <c r="B7" s="319"/>
      <c r="Q7" s="1256"/>
    </row>
    <row r="8" spans="1:21" s="161" customFormat="1" ht="23.85"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828</v>
      </c>
      <c r="D9" s="182" t="s">
        <v>981</v>
      </c>
      <c r="E9" s="177" t="s">
        <v>982</v>
      </c>
      <c r="F9" s="166"/>
      <c r="G9" s="177"/>
      <c r="H9" s="166"/>
      <c r="I9" s="177"/>
      <c r="J9" s="193"/>
      <c r="K9" s="182" t="s">
        <v>828</v>
      </c>
      <c r="L9" s="182" t="s">
        <v>981</v>
      </c>
      <c r="M9" s="177" t="s">
        <v>982</v>
      </c>
      <c r="N9" s="166"/>
      <c r="O9" s="177"/>
      <c r="P9" s="166"/>
      <c r="Q9" s="177"/>
    </row>
    <row r="10" spans="1:21" s="176" customFormat="1" ht="18" customHeight="1">
      <c r="A10" s="163" t="s">
        <v>379</v>
      </c>
      <c r="B10" s="165"/>
      <c r="C10" s="182" t="s">
        <v>983</v>
      </c>
      <c r="D10" s="182" t="s">
        <v>984</v>
      </c>
      <c r="E10" s="177" t="s">
        <v>501</v>
      </c>
      <c r="F10" s="162" t="s">
        <v>985</v>
      </c>
      <c r="G10" s="177" t="s">
        <v>986</v>
      </c>
      <c r="H10" s="177" t="s">
        <v>987</v>
      </c>
      <c r="I10" s="177" t="s">
        <v>392</v>
      </c>
      <c r="J10" s="193" t="s">
        <v>382</v>
      </c>
      <c r="K10" s="182" t="s">
        <v>983</v>
      </c>
      <c r="L10" s="182" t="s">
        <v>984</v>
      </c>
      <c r="M10" s="177" t="s">
        <v>501</v>
      </c>
      <c r="N10" s="162" t="s">
        <v>985</v>
      </c>
      <c r="O10" s="177" t="s">
        <v>986</v>
      </c>
      <c r="P10" s="177" t="s">
        <v>987</v>
      </c>
      <c r="Q10" s="177" t="s">
        <v>392</v>
      </c>
    </row>
    <row r="11" spans="1:21" s="164" customFormat="1" ht="18" customHeight="1">
      <c r="A11" s="178" t="s">
        <v>387</v>
      </c>
      <c r="B11" s="165"/>
      <c r="C11" s="254" t="s">
        <v>988</v>
      </c>
      <c r="D11" s="256" t="s">
        <v>989</v>
      </c>
      <c r="E11" s="257" t="s">
        <v>990</v>
      </c>
      <c r="F11" s="258" t="s">
        <v>991</v>
      </c>
      <c r="G11" s="258" t="s">
        <v>992</v>
      </c>
      <c r="H11" s="258" t="s">
        <v>993</v>
      </c>
      <c r="I11" s="258" t="s">
        <v>400</v>
      </c>
      <c r="J11" s="259" t="s">
        <v>393</v>
      </c>
      <c r="K11" s="254" t="s">
        <v>988</v>
      </c>
      <c r="L11" s="256" t="s">
        <v>989</v>
      </c>
      <c r="M11" s="260" t="s">
        <v>990</v>
      </c>
      <c r="N11" s="258" t="s">
        <v>991</v>
      </c>
      <c r="O11" s="258" t="s">
        <v>992</v>
      </c>
      <c r="P11" s="258" t="s">
        <v>993</v>
      </c>
      <c r="Q11" s="258" t="s">
        <v>400</v>
      </c>
    </row>
    <row r="12" spans="1:21" s="164" customFormat="1" ht="18" customHeight="1">
      <c r="A12" s="179"/>
      <c r="B12" s="170"/>
      <c r="C12" s="255" t="s">
        <v>994</v>
      </c>
      <c r="D12" s="255"/>
      <c r="E12" s="261" t="s">
        <v>995</v>
      </c>
      <c r="F12" s="262" t="s">
        <v>841</v>
      </c>
      <c r="G12" s="262"/>
      <c r="H12" s="262"/>
      <c r="I12" s="262"/>
      <c r="J12" s="263"/>
      <c r="K12" s="255" t="s">
        <v>994</v>
      </c>
      <c r="L12" s="255"/>
      <c r="M12" s="262" t="s">
        <v>995</v>
      </c>
      <c r="N12" s="262" t="s">
        <v>841</v>
      </c>
      <c r="O12" s="262"/>
      <c r="P12" s="262"/>
      <c r="Q12" s="262"/>
    </row>
    <row r="13" spans="1:21" s="180" customFormat="1" ht="27" customHeight="1">
      <c r="A13" s="850">
        <v>2015</v>
      </c>
      <c r="B13" s="851"/>
      <c r="C13" s="385">
        <v>15727.796240389836</v>
      </c>
      <c r="D13" s="385">
        <v>3684.9441993672572</v>
      </c>
      <c r="E13" s="386">
        <v>1289.4603344094792</v>
      </c>
      <c r="F13" s="386">
        <v>1357.9455028476268</v>
      </c>
      <c r="G13" s="386">
        <v>2453.5373129035793</v>
      </c>
      <c r="H13" s="386">
        <v>676.87388958059205</v>
      </c>
      <c r="I13" s="386">
        <v>151.98678516446807</v>
      </c>
      <c r="J13" s="634">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998"/>
    </row>
    <row r="14" spans="1:21" s="998" customFormat="1" ht="18" customHeight="1">
      <c r="A14" s="850">
        <v>2016</v>
      </c>
      <c r="B14" s="851"/>
      <c r="C14" s="385">
        <v>16915.870636761112</v>
      </c>
      <c r="D14" s="385">
        <v>3738.7233965944033</v>
      </c>
      <c r="E14" s="386">
        <v>1290.7583252354243</v>
      </c>
      <c r="F14" s="386">
        <v>1341.7605968333933</v>
      </c>
      <c r="G14" s="386">
        <v>2218.7744604677996</v>
      </c>
      <c r="H14" s="386">
        <v>612.86765593321309</v>
      </c>
      <c r="I14" s="386">
        <v>171.56334655839095</v>
      </c>
      <c r="J14" s="634">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998" customFormat="1" ht="18" customHeight="1">
      <c r="A15" s="850">
        <v>2017</v>
      </c>
      <c r="B15" s="851"/>
      <c r="C15" s="385">
        <v>18432.709030170547</v>
      </c>
      <c r="D15" s="385">
        <v>2865.5700775625482</v>
      </c>
      <c r="E15" s="386">
        <v>1809.5480220937636</v>
      </c>
      <c r="F15" s="386">
        <v>932.18692299415534</v>
      </c>
      <c r="G15" s="386">
        <v>1981.4173135986537</v>
      </c>
      <c r="H15" s="386">
        <v>612.25750694573287</v>
      </c>
      <c r="I15" s="386">
        <v>111.76840006063679</v>
      </c>
      <c r="J15" s="634">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998" customFormat="1" ht="18" customHeight="1">
      <c r="A16" s="850">
        <v>2018</v>
      </c>
      <c r="B16" s="851"/>
      <c r="C16" s="385">
        <v>20393.124016193731</v>
      </c>
      <c r="D16" s="385">
        <v>2884.2357736747476</v>
      </c>
      <c r="E16" s="385">
        <v>1666.7575897744146</v>
      </c>
      <c r="F16" s="385">
        <v>855.85782442056234</v>
      </c>
      <c r="G16" s="385">
        <v>1406.5961209812149</v>
      </c>
      <c r="H16" s="385">
        <v>588.72433772389945</v>
      </c>
      <c r="I16" s="385">
        <v>132.88033882308676</v>
      </c>
      <c r="J16" s="634">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998" customFormat="1" ht="18" customHeight="1">
      <c r="A17" s="850">
        <v>2019</v>
      </c>
      <c r="B17" s="851"/>
      <c r="C17" s="385">
        <v>23552.28119473876</v>
      </c>
      <c r="D17" s="385">
        <v>3110.6735767465689</v>
      </c>
      <c r="E17" s="385">
        <v>1623.5195529504001</v>
      </c>
      <c r="F17" s="385">
        <v>1709.0431877292126</v>
      </c>
      <c r="G17" s="385">
        <v>1398.1926550595988</v>
      </c>
      <c r="H17" s="385">
        <v>617.26589346202991</v>
      </c>
      <c r="I17" s="385">
        <v>71.558650050930936</v>
      </c>
      <c r="J17" s="634">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998" customFormat="1" ht="18" customHeight="1">
      <c r="A18" s="850">
        <v>2020</v>
      </c>
      <c r="B18" s="851"/>
      <c r="C18" s="385">
        <v>23601.118171711008</v>
      </c>
      <c r="D18" s="385">
        <v>2730.0935360605836</v>
      </c>
      <c r="E18" s="385">
        <v>1506.6075883880833</v>
      </c>
      <c r="F18" s="385">
        <v>1565.0255963192205</v>
      </c>
      <c r="G18" s="385">
        <v>1448.3863198724164</v>
      </c>
      <c r="H18" s="385">
        <v>648.71153596720308</v>
      </c>
      <c r="I18" s="385">
        <v>111.48937847034576</v>
      </c>
      <c r="J18" s="634">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998" customFormat="1" ht="18" customHeight="1">
      <c r="A19" s="850">
        <v>2021</v>
      </c>
      <c r="B19" s="851"/>
      <c r="C19" s="385">
        <v>26473.372563242312</v>
      </c>
      <c r="D19" s="385">
        <v>3258.5639318622998</v>
      </c>
      <c r="E19" s="385">
        <v>861.95875885256726</v>
      </c>
      <c r="F19" s="385">
        <v>2488.9226764650712</v>
      </c>
      <c r="G19" s="385">
        <v>1062.6583625777816</v>
      </c>
      <c r="H19" s="385">
        <v>286.45235958026149</v>
      </c>
      <c r="I19" s="385">
        <v>122.70345194789324</v>
      </c>
      <c r="J19" s="634">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998" customFormat="1" ht="18" customHeight="1">
      <c r="A20" s="850">
        <v>2022</v>
      </c>
      <c r="B20" s="851"/>
      <c r="C20" s="385">
        <v>26788.956822715747</v>
      </c>
      <c r="D20" s="386">
        <v>3677.6370362191919</v>
      </c>
      <c r="E20" s="385">
        <v>724.3390627572453</v>
      </c>
      <c r="F20" s="385">
        <v>3252.772414884425</v>
      </c>
      <c r="G20" s="385">
        <v>1309.5187396788594</v>
      </c>
      <c r="H20" s="385">
        <v>227.18150363268208</v>
      </c>
      <c r="I20" s="385">
        <v>84.657128353989776</v>
      </c>
      <c r="J20" s="634">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998" customFormat="1" ht="18" customHeight="1">
      <c r="A21" s="850">
        <v>2023</v>
      </c>
      <c r="B21" s="851"/>
      <c r="C21" s="385">
        <v>28245.0958159697</v>
      </c>
      <c r="D21" s="385">
        <v>3654.1317282963441</v>
      </c>
      <c r="E21" s="385">
        <v>946.22078191032858</v>
      </c>
      <c r="F21" s="385">
        <v>3668.5918989521219</v>
      </c>
      <c r="G21" s="385">
        <v>1545.1655927968395</v>
      </c>
      <c r="H21" s="385">
        <v>147.93438408348715</v>
      </c>
      <c r="I21" s="385">
        <v>27.262403103729884</v>
      </c>
      <c r="J21" s="634">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998" customFormat="1" ht="18" customHeight="1">
      <c r="A22" s="993">
        <v>2024</v>
      </c>
      <c r="B22" s="994"/>
      <c r="C22" s="995">
        <f t="shared" ref="C22:Q22" si="0">C27</f>
        <v>35666.166580377969</v>
      </c>
      <c r="D22" s="995">
        <f t="shared" si="0"/>
        <v>11908.69736138275</v>
      </c>
      <c r="E22" s="995">
        <f t="shared" si="0"/>
        <v>2607.6842712068897</v>
      </c>
      <c r="F22" s="995">
        <f t="shared" si="0"/>
        <v>6975.4494418132863</v>
      </c>
      <c r="G22" s="995">
        <f t="shared" si="0"/>
        <v>4415.5863569453668</v>
      </c>
      <c r="H22" s="995">
        <f t="shared" si="0"/>
        <v>1380.0864249703741</v>
      </c>
      <c r="I22" s="995">
        <f t="shared" si="0"/>
        <v>400.72818193368875</v>
      </c>
      <c r="J22" s="997">
        <f t="shared" si="0"/>
        <v>63354.448618630326</v>
      </c>
      <c r="K22" s="995">
        <f t="shared" si="0"/>
        <v>31079.174129476036</v>
      </c>
      <c r="L22" s="995">
        <f t="shared" si="0"/>
        <v>17838.281410897907</v>
      </c>
      <c r="M22" s="995">
        <f t="shared" si="0"/>
        <v>3718.7411874902173</v>
      </c>
      <c r="N22" s="995">
        <f t="shared" si="0"/>
        <v>2488.9286083254688</v>
      </c>
      <c r="O22" s="995">
        <f t="shared" si="0"/>
        <v>6574.8407911432851</v>
      </c>
      <c r="P22" s="995">
        <f t="shared" si="0"/>
        <v>1529.9598550351161</v>
      </c>
      <c r="Q22" s="996">
        <f t="shared" si="0"/>
        <v>124.52263626229251</v>
      </c>
      <c r="R22" s="352"/>
      <c r="S22" s="352"/>
      <c r="U22" s="180"/>
    </row>
    <row r="23" spans="1:21" s="998" customFormat="1" ht="21" customHeight="1">
      <c r="A23" s="850">
        <v>2023</v>
      </c>
      <c r="B23" s="851" t="s">
        <v>238</v>
      </c>
      <c r="C23" s="385">
        <v>28245.0958159697</v>
      </c>
      <c r="D23" s="385">
        <v>3654.1317282963441</v>
      </c>
      <c r="E23" s="385">
        <v>946.22078191032858</v>
      </c>
      <c r="F23" s="385">
        <v>3668.5918989521219</v>
      </c>
      <c r="G23" s="385">
        <v>1545.1655927968395</v>
      </c>
      <c r="H23" s="385">
        <v>147.93438408348715</v>
      </c>
      <c r="I23" s="385">
        <v>27.262403103729884</v>
      </c>
      <c r="J23" s="634">
        <v>38234.382605112551</v>
      </c>
      <c r="K23" s="385">
        <v>23757.932858925506</v>
      </c>
      <c r="L23" s="385">
        <v>9031.3945705547521</v>
      </c>
      <c r="M23" s="385">
        <v>1533.2130792050843</v>
      </c>
      <c r="N23" s="385">
        <v>1292.485231204681</v>
      </c>
      <c r="O23" s="385">
        <v>1953.4846860099246</v>
      </c>
      <c r="P23" s="385">
        <v>618.073442214235</v>
      </c>
      <c r="Q23" s="386">
        <v>47.798736998374807</v>
      </c>
      <c r="R23" s="352"/>
      <c r="S23" s="352"/>
      <c r="U23" s="180"/>
    </row>
    <row r="24" spans="1:21" s="998" customFormat="1" ht="21" customHeight="1">
      <c r="A24" s="850">
        <v>2024</v>
      </c>
      <c r="B24" s="851" t="s">
        <v>239</v>
      </c>
      <c r="C24" s="385">
        <v>34666.117652379624</v>
      </c>
      <c r="D24" s="385">
        <v>11972.677706350474</v>
      </c>
      <c r="E24" s="385">
        <v>1982.4920029486655</v>
      </c>
      <c r="F24" s="385">
        <v>6160.6115596882828</v>
      </c>
      <c r="G24" s="385">
        <v>4470.5520120760675</v>
      </c>
      <c r="H24" s="385">
        <v>1331.3271713793179</v>
      </c>
      <c r="I24" s="385">
        <v>418.67332501282363</v>
      </c>
      <c r="J24" s="634">
        <v>61002.451429835259</v>
      </c>
      <c r="K24" s="385">
        <v>30425.559677098099</v>
      </c>
      <c r="L24" s="385">
        <v>18029.627682271297</v>
      </c>
      <c r="M24" s="385">
        <v>3012.3460695605713</v>
      </c>
      <c r="N24" s="385">
        <v>2319.0639383782054</v>
      </c>
      <c r="O24" s="385">
        <v>5502.1709422253271</v>
      </c>
      <c r="P24" s="385">
        <v>1610.5696843821459</v>
      </c>
      <c r="Q24" s="386">
        <v>103.11343591962213</v>
      </c>
      <c r="R24" s="352"/>
      <c r="S24" s="352"/>
      <c r="U24" s="180"/>
    </row>
    <row r="25" spans="1:21" s="998" customFormat="1" ht="15" customHeight="1">
      <c r="A25" s="850"/>
      <c r="B25" s="851" t="s">
        <v>240</v>
      </c>
      <c r="C25" s="385">
        <v>35460.243678652703</v>
      </c>
      <c r="D25" s="385">
        <v>11891.612024044454</v>
      </c>
      <c r="E25" s="385">
        <v>1836.0142459775482</v>
      </c>
      <c r="F25" s="385">
        <v>6244.3511943905069</v>
      </c>
      <c r="G25" s="385">
        <v>4128.8513751869232</v>
      </c>
      <c r="H25" s="385">
        <v>1749.2186659528086</v>
      </c>
      <c r="I25" s="385">
        <v>392.46893136623112</v>
      </c>
      <c r="J25" s="634">
        <v>61702.760115571175</v>
      </c>
      <c r="K25" s="385">
        <v>30453.955270576014</v>
      </c>
      <c r="L25" s="385">
        <v>18773.685402320225</v>
      </c>
      <c r="M25" s="385">
        <v>2886.6784358674927</v>
      </c>
      <c r="N25" s="385">
        <v>2047.3349171350796</v>
      </c>
      <c r="O25" s="385">
        <v>5800.20535743654</v>
      </c>
      <c r="P25" s="385">
        <v>1646.8727144520622</v>
      </c>
      <c r="Q25" s="386">
        <v>94.028017783763062</v>
      </c>
      <c r="R25" s="352"/>
      <c r="S25" s="352"/>
      <c r="U25" s="180"/>
    </row>
    <row r="26" spans="1:21" s="998" customFormat="1" ht="15" customHeight="1">
      <c r="A26" s="850"/>
      <c r="B26" s="851" t="s">
        <v>237</v>
      </c>
      <c r="C26" s="385">
        <v>35935.192611948165</v>
      </c>
      <c r="D26" s="385">
        <v>11831.157568871629</v>
      </c>
      <c r="E26" s="385">
        <v>1984.0156293004084</v>
      </c>
      <c r="F26" s="385">
        <v>6993.0955797329907</v>
      </c>
      <c r="G26" s="385">
        <v>4056.836924852124</v>
      </c>
      <c r="H26" s="385">
        <v>1134.541586639052</v>
      </c>
      <c r="I26" s="385">
        <v>375.66465723191618</v>
      </c>
      <c r="J26" s="634">
        <v>62310.474558576287</v>
      </c>
      <c r="K26" s="385">
        <v>31805.392807007731</v>
      </c>
      <c r="L26" s="385">
        <v>17919.954757575197</v>
      </c>
      <c r="M26" s="385">
        <v>3212.9328598095494</v>
      </c>
      <c r="N26" s="385">
        <v>1988.1036626044652</v>
      </c>
      <c r="O26" s="385">
        <v>5713.9812263077029</v>
      </c>
      <c r="P26" s="385">
        <v>1603.3455707081632</v>
      </c>
      <c r="Q26" s="386">
        <v>66.763674563466338</v>
      </c>
      <c r="R26" s="352"/>
      <c r="S26" s="352"/>
      <c r="U26" s="180"/>
    </row>
    <row r="27" spans="1:21" s="998" customFormat="1" ht="15" customHeight="1">
      <c r="A27" s="850"/>
      <c r="B27" s="851" t="s">
        <v>238</v>
      </c>
      <c r="C27" s="385">
        <v>35666.166580377969</v>
      </c>
      <c r="D27" s="385">
        <v>11908.69736138275</v>
      </c>
      <c r="E27" s="385">
        <v>2607.6842712068897</v>
      </c>
      <c r="F27" s="385">
        <v>6975.4494418132863</v>
      </c>
      <c r="G27" s="385">
        <v>4415.5863569453668</v>
      </c>
      <c r="H27" s="385">
        <v>1380.0864249703741</v>
      </c>
      <c r="I27" s="385">
        <v>400.72818193368875</v>
      </c>
      <c r="J27" s="634">
        <v>63354.448618630326</v>
      </c>
      <c r="K27" s="385">
        <v>31079.174129476036</v>
      </c>
      <c r="L27" s="385">
        <v>17838.281410897907</v>
      </c>
      <c r="M27" s="385">
        <v>3718.7411874902173</v>
      </c>
      <c r="N27" s="385">
        <v>2488.9286083254688</v>
      </c>
      <c r="O27" s="385">
        <v>6574.8407911432851</v>
      </c>
      <c r="P27" s="385">
        <v>1529.9598550351161</v>
      </c>
      <c r="Q27" s="386">
        <v>124.52263626229251</v>
      </c>
      <c r="R27" s="352"/>
      <c r="S27" s="352"/>
      <c r="U27" s="180"/>
    </row>
    <row r="28" spans="1:21" s="998" customFormat="1" ht="21" customHeight="1">
      <c r="A28" s="850">
        <v>2025</v>
      </c>
      <c r="B28" s="851" t="s">
        <v>239</v>
      </c>
      <c r="C28" s="385">
        <f t="shared" ref="C28:Q28" si="1">C36</f>
        <v>37174.860514398039</v>
      </c>
      <c r="D28" s="385">
        <f t="shared" si="1"/>
        <v>11801.089049713642</v>
      </c>
      <c r="E28" s="385">
        <f t="shared" si="1"/>
        <v>2545.1247007401398</v>
      </c>
      <c r="F28" s="385">
        <f t="shared" si="1"/>
        <v>4535.4961811068624</v>
      </c>
      <c r="G28" s="385">
        <f t="shared" si="1"/>
        <v>3797.0488836860604</v>
      </c>
      <c r="H28" s="385">
        <f t="shared" si="1"/>
        <v>1296.5586355617386</v>
      </c>
      <c r="I28" s="385">
        <f t="shared" si="1"/>
        <v>365.92623757687397</v>
      </c>
      <c r="J28" s="634">
        <f t="shared" si="1"/>
        <v>61516.104202783361</v>
      </c>
      <c r="K28" s="385">
        <f t="shared" si="1"/>
        <v>32391.597633826983</v>
      </c>
      <c r="L28" s="385">
        <f t="shared" si="1"/>
        <v>16643.729910823939</v>
      </c>
      <c r="M28" s="385">
        <f t="shared" si="1"/>
        <v>3328.2529583183032</v>
      </c>
      <c r="N28" s="385">
        <f t="shared" si="1"/>
        <v>1885.8360991990387</v>
      </c>
      <c r="O28" s="385">
        <f t="shared" si="1"/>
        <v>5598.1128569223847</v>
      </c>
      <c r="P28" s="385">
        <f t="shared" si="1"/>
        <v>1535.6053595418707</v>
      </c>
      <c r="Q28" s="386">
        <f t="shared" si="1"/>
        <v>132.96938415083423</v>
      </c>
      <c r="R28" s="352"/>
      <c r="S28" s="352"/>
      <c r="U28" s="180"/>
    </row>
    <row r="29" spans="1:21" s="998" customFormat="1" ht="15" customHeight="1">
      <c r="A29" s="850"/>
      <c r="B29" s="851" t="s">
        <v>240</v>
      </c>
      <c r="C29" s="385">
        <f t="shared" ref="C29:Q29" si="2">C39</f>
        <v>39145.589016989863</v>
      </c>
      <c r="D29" s="385">
        <f t="shared" si="2"/>
        <v>12639.522560265539</v>
      </c>
      <c r="E29" s="385">
        <f t="shared" si="2"/>
        <v>3235.0354931325242</v>
      </c>
      <c r="F29" s="385">
        <f t="shared" si="2"/>
        <v>4109.8876316677452</v>
      </c>
      <c r="G29" s="385">
        <f t="shared" si="2"/>
        <v>3847.6656202660415</v>
      </c>
      <c r="H29" s="385">
        <f t="shared" si="2"/>
        <v>1145.6975710733814</v>
      </c>
      <c r="I29" s="385">
        <f t="shared" si="2"/>
        <v>346.9410391700585</v>
      </c>
      <c r="J29" s="634">
        <f t="shared" si="2"/>
        <v>64470.338932565159</v>
      </c>
      <c r="K29" s="385">
        <f t="shared" si="2"/>
        <v>32197.829038017346</v>
      </c>
      <c r="L29" s="385">
        <f t="shared" si="2"/>
        <v>18366.796072158773</v>
      </c>
      <c r="M29" s="385">
        <f t="shared" si="2"/>
        <v>3876.9992541387487</v>
      </c>
      <c r="N29" s="385">
        <f t="shared" si="2"/>
        <v>1593.9539555634683</v>
      </c>
      <c r="O29" s="385">
        <f t="shared" si="2"/>
        <v>6709.6760347666932</v>
      </c>
      <c r="P29" s="385">
        <f t="shared" si="2"/>
        <v>1606.4455608731653</v>
      </c>
      <c r="Q29" s="386">
        <f t="shared" si="2"/>
        <v>118.63901704696764</v>
      </c>
      <c r="R29" s="352"/>
      <c r="S29" s="352"/>
      <c r="U29" s="180"/>
    </row>
    <row r="30" spans="1:21" s="998" customFormat="1" ht="15" customHeight="1">
      <c r="A30" s="993"/>
      <c r="B30" s="994" t="s">
        <v>237</v>
      </c>
      <c r="C30" s="995">
        <f t="shared" ref="C30:Q30" si="3">C42</f>
        <v>40118.169060660432</v>
      </c>
      <c r="D30" s="995">
        <f t="shared" si="3"/>
        <v>12853.441122411488</v>
      </c>
      <c r="E30" s="995">
        <f t="shared" si="3"/>
        <v>3535.7632305995617</v>
      </c>
      <c r="F30" s="995">
        <f t="shared" si="3"/>
        <v>4583.2330833241977</v>
      </c>
      <c r="G30" s="995">
        <f t="shared" si="3"/>
        <v>4106.5144368518459</v>
      </c>
      <c r="H30" s="995">
        <f t="shared" si="3"/>
        <v>1011.3085320434973</v>
      </c>
      <c r="I30" s="995">
        <f t="shared" si="3"/>
        <v>331.21213175691082</v>
      </c>
      <c r="J30" s="997">
        <f t="shared" si="3"/>
        <v>66539.641597647933</v>
      </c>
      <c r="K30" s="995">
        <f t="shared" si="3"/>
        <v>32466.166937688144</v>
      </c>
      <c r="L30" s="995">
        <f t="shared" si="3"/>
        <v>19158.429659085668</v>
      </c>
      <c r="M30" s="995">
        <f t="shared" si="3"/>
        <v>4157.4782230516857</v>
      </c>
      <c r="N30" s="995">
        <f t="shared" si="3"/>
        <v>1720.0315594059125</v>
      </c>
      <c r="O30" s="995">
        <f t="shared" si="3"/>
        <v>7230.8392378506924</v>
      </c>
      <c r="P30" s="995">
        <f t="shared" si="3"/>
        <v>1661.3583561665107</v>
      </c>
      <c r="Q30" s="996">
        <f t="shared" si="3"/>
        <v>145.33762439931161</v>
      </c>
      <c r="R30" s="352"/>
      <c r="S30" s="352"/>
      <c r="U30" s="180"/>
    </row>
    <row r="31" spans="1:21" s="148" customFormat="1" ht="21" customHeight="1">
      <c r="A31" s="849">
        <v>2024</v>
      </c>
      <c r="B31" s="440" t="s">
        <v>412</v>
      </c>
      <c r="C31" s="385">
        <v>36187.960838818341</v>
      </c>
      <c r="D31" s="385">
        <v>11605.779639706165</v>
      </c>
      <c r="E31" s="385">
        <v>1885.5230067100219</v>
      </c>
      <c r="F31" s="385">
        <v>7296.9708981002868</v>
      </c>
      <c r="G31" s="385">
        <v>4131.0902095315741</v>
      </c>
      <c r="H31" s="385">
        <v>1154.2852558972443</v>
      </c>
      <c r="I31" s="386">
        <v>366.728402704632</v>
      </c>
      <c r="J31" s="634">
        <v>62628.438251468258</v>
      </c>
      <c r="K31" s="385">
        <v>31909.57820067132</v>
      </c>
      <c r="L31" s="385">
        <v>18346.04696171606</v>
      </c>
      <c r="M31" s="385">
        <v>3059.0897930887013</v>
      </c>
      <c r="N31" s="385">
        <v>1884.7599421043556</v>
      </c>
      <c r="O31" s="385">
        <v>5800.6815779802191</v>
      </c>
      <c r="P31" s="385">
        <v>1554.2443264134743</v>
      </c>
      <c r="Q31" s="386">
        <v>74.017449494127945</v>
      </c>
      <c r="R31" s="352"/>
      <c r="S31" s="352"/>
    </row>
    <row r="32" spans="1:21" s="148" customFormat="1" ht="16.5" customHeight="1">
      <c r="A32" s="849"/>
      <c r="B32" s="440" t="s">
        <v>413</v>
      </c>
      <c r="C32" s="385">
        <v>36531.398376905214</v>
      </c>
      <c r="D32" s="385">
        <v>12235.530106864971</v>
      </c>
      <c r="E32" s="385">
        <v>1828.1180671179957</v>
      </c>
      <c r="F32" s="385">
        <v>6301.655433255909</v>
      </c>
      <c r="G32" s="385">
        <v>4425.0975468346132</v>
      </c>
      <c r="H32" s="385">
        <v>1306.1183361047665</v>
      </c>
      <c r="I32" s="386">
        <f>$J32-SUM(C32:H32)</f>
        <v>417.31048563581135</v>
      </c>
      <c r="J32" s="634">
        <v>63045.228352719285</v>
      </c>
      <c r="K32" s="385">
        <v>31640.046992603558</v>
      </c>
      <c r="L32" s="385">
        <v>18033.497567310173</v>
      </c>
      <c r="M32" s="385">
        <v>2978.2642970184529</v>
      </c>
      <c r="N32" s="385">
        <v>2324.4522539924278</v>
      </c>
      <c r="O32" s="385">
        <v>6389.2444107349083</v>
      </c>
      <c r="P32" s="385">
        <v>1554.1988333893946</v>
      </c>
      <c r="Q32" s="386">
        <f t="shared" ref="Q32:Q37" si="4">$J32-SUM(K32:P32)</f>
        <v>125.52399767036695</v>
      </c>
      <c r="R32" s="352"/>
      <c r="S32" s="352"/>
    </row>
    <row r="33" spans="1:19" s="148" customFormat="1" ht="16.5" customHeight="1">
      <c r="A33" s="849"/>
      <c r="B33" s="440" t="s">
        <v>414</v>
      </c>
      <c r="C33" s="385">
        <v>35666.166580377969</v>
      </c>
      <c r="D33" s="385">
        <v>11908.69736138275</v>
      </c>
      <c r="E33" s="385">
        <v>2607.6842712068897</v>
      </c>
      <c r="F33" s="385">
        <v>6975.4494418132863</v>
      </c>
      <c r="G33" s="385">
        <v>4415.5863569453668</v>
      </c>
      <c r="H33" s="385">
        <v>1380.0864249703741</v>
      </c>
      <c r="I33" s="386">
        <f>$J33-SUM(C33:H33)-0.05</f>
        <v>400.72818193368875</v>
      </c>
      <c r="J33" s="634">
        <v>63354.448618630326</v>
      </c>
      <c r="K33" s="385">
        <v>31079.174129476036</v>
      </c>
      <c r="L33" s="385">
        <v>17838.281410897907</v>
      </c>
      <c r="M33" s="385">
        <v>3718.7411874902173</v>
      </c>
      <c r="N33" s="385">
        <v>2488.9286083254688</v>
      </c>
      <c r="O33" s="385">
        <v>6574.8407911432851</v>
      </c>
      <c r="P33" s="385">
        <v>1529.9598550351161</v>
      </c>
      <c r="Q33" s="386">
        <f t="shared" si="4"/>
        <v>124.52263626229251</v>
      </c>
      <c r="R33" s="352"/>
      <c r="S33" s="352"/>
    </row>
    <row r="34" spans="1:19" s="148" customFormat="1" ht="21" customHeight="1">
      <c r="A34" s="849">
        <v>2025</v>
      </c>
      <c r="B34" s="440" t="s">
        <v>415</v>
      </c>
      <c r="C34" s="385">
        <v>36378.763774273495</v>
      </c>
      <c r="D34" s="385">
        <v>11448.907366842539</v>
      </c>
      <c r="E34" s="385">
        <v>2807.2936181649629</v>
      </c>
      <c r="F34" s="385">
        <v>4782.2383406728413</v>
      </c>
      <c r="G34" s="385">
        <v>4339.4764247642343</v>
      </c>
      <c r="H34" s="385">
        <v>1182.1232709913493</v>
      </c>
      <c r="I34" s="386">
        <f t="shared" ref="I34:I39" si="5">$J34-SUM(C34:H34)</f>
        <v>377.9061328294556</v>
      </c>
      <c r="J34" s="634">
        <v>61316.708928538872</v>
      </c>
      <c r="K34" s="385">
        <v>31490.471560984275</v>
      </c>
      <c r="L34" s="385">
        <v>16245.002333891112</v>
      </c>
      <c r="M34" s="385">
        <v>3724.3213265351892</v>
      </c>
      <c r="N34" s="385">
        <v>1926.9199340622863</v>
      </c>
      <c r="O34" s="385">
        <v>6229.2347825986762</v>
      </c>
      <c r="P34" s="385">
        <v>1573.9607593236622</v>
      </c>
      <c r="Q34" s="386">
        <f t="shared" si="4"/>
        <v>126.79823114366445</v>
      </c>
      <c r="R34" s="352"/>
      <c r="S34" s="352"/>
    </row>
    <row r="35" spans="1:19" s="148" customFormat="1" ht="16.5" customHeight="1">
      <c r="A35" s="849"/>
      <c r="B35" s="440" t="s">
        <v>416</v>
      </c>
      <c r="C35" s="385">
        <v>36971.865705769458</v>
      </c>
      <c r="D35" s="385">
        <v>11527.766542539286</v>
      </c>
      <c r="E35" s="385">
        <v>2351.5765213721206</v>
      </c>
      <c r="F35" s="385">
        <v>4641.4632225688201</v>
      </c>
      <c r="G35" s="385">
        <v>4009.4216414939046</v>
      </c>
      <c r="H35" s="385">
        <v>1262.2416951500422</v>
      </c>
      <c r="I35" s="386">
        <f t="shared" si="5"/>
        <v>375.21585436603345</v>
      </c>
      <c r="J35" s="634">
        <v>61139.55118325966</v>
      </c>
      <c r="K35" s="385">
        <v>31760.657851469157</v>
      </c>
      <c r="L35" s="385">
        <v>16876.385337242387</v>
      </c>
      <c r="M35" s="385">
        <v>3251.753190908923</v>
      </c>
      <c r="N35" s="385">
        <v>1894.1123397305714</v>
      </c>
      <c r="O35" s="385">
        <v>5657.1770096050332</v>
      </c>
      <c r="P35" s="385">
        <v>1576.5189877370208</v>
      </c>
      <c r="Q35" s="386">
        <f t="shared" si="4"/>
        <v>122.94646656657278</v>
      </c>
      <c r="R35" s="352"/>
      <c r="S35" s="352"/>
    </row>
    <row r="36" spans="1:19" s="148" customFormat="1" ht="16.5" customHeight="1">
      <c r="A36" s="849"/>
      <c r="B36" s="440" t="s">
        <v>417</v>
      </c>
      <c r="C36" s="385">
        <v>37174.860514398039</v>
      </c>
      <c r="D36" s="385">
        <v>11801.089049713642</v>
      </c>
      <c r="E36" s="385">
        <v>2545.1247007401398</v>
      </c>
      <c r="F36" s="385">
        <v>4535.4961811068624</v>
      </c>
      <c r="G36" s="385">
        <v>3797.0488836860604</v>
      </c>
      <c r="H36" s="385">
        <v>1296.5586355617386</v>
      </c>
      <c r="I36" s="386">
        <f t="shared" si="5"/>
        <v>365.92623757687397</v>
      </c>
      <c r="J36" s="634">
        <v>61516.104202783361</v>
      </c>
      <c r="K36" s="385">
        <v>32391.597633826983</v>
      </c>
      <c r="L36" s="385">
        <v>16643.729910823939</v>
      </c>
      <c r="M36" s="385">
        <v>3328.2529583183032</v>
      </c>
      <c r="N36" s="385">
        <v>1885.8360991990387</v>
      </c>
      <c r="O36" s="385">
        <v>5598.1128569223847</v>
      </c>
      <c r="P36" s="385">
        <v>1535.6053595418707</v>
      </c>
      <c r="Q36" s="386">
        <f t="shared" si="4"/>
        <v>132.96938415083423</v>
      </c>
      <c r="R36" s="352"/>
      <c r="S36" s="352"/>
    </row>
    <row r="37" spans="1:19" s="148" customFormat="1" ht="16.5" customHeight="1">
      <c r="A37" s="849"/>
      <c r="B37" s="440" t="s">
        <v>418</v>
      </c>
      <c r="C37" s="385">
        <v>37862.182423168015</v>
      </c>
      <c r="D37" s="385">
        <v>11682.711052139783</v>
      </c>
      <c r="E37" s="385">
        <v>3098.785699281741</v>
      </c>
      <c r="F37" s="385">
        <v>4868.8639920643809</v>
      </c>
      <c r="G37" s="385">
        <v>3593.6124807953111</v>
      </c>
      <c r="H37" s="385">
        <v>1063.5185716559538</v>
      </c>
      <c r="I37" s="386">
        <f t="shared" si="5"/>
        <v>355.08343535196764</v>
      </c>
      <c r="J37" s="634">
        <v>62524.757654457157</v>
      </c>
      <c r="K37" s="385">
        <v>32369.915976775912</v>
      </c>
      <c r="L37" s="385">
        <v>17028.956825051635</v>
      </c>
      <c r="M37" s="385">
        <v>3754.0589458567615</v>
      </c>
      <c r="N37" s="385">
        <v>1920.0260208482389</v>
      </c>
      <c r="O37" s="385">
        <v>5750.266793142845</v>
      </c>
      <c r="P37" s="385">
        <v>1577.6325472310045</v>
      </c>
      <c r="Q37" s="386">
        <f t="shared" si="4"/>
        <v>123.90054555076495</v>
      </c>
      <c r="R37" s="352"/>
      <c r="S37" s="352"/>
    </row>
    <row r="38" spans="1:19" s="148" customFormat="1" ht="16.5" customHeight="1">
      <c r="A38" s="849"/>
      <c r="B38" s="440" t="s">
        <v>419</v>
      </c>
      <c r="C38" s="385">
        <v>39226.38395330705</v>
      </c>
      <c r="D38" s="385">
        <v>11852.636604400423</v>
      </c>
      <c r="E38" s="385">
        <v>2959.7797727325628</v>
      </c>
      <c r="F38" s="385">
        <v>3442.6643456582237</v>
      </c>
      <c r="G38" s="385">
        <v>3740.9713157331626</v>
      </c>
      <c r="H38" s="385">
        <v>997.7918156748259</v>
      </c>
      <c r="I38" s="386">
        <f t="shared" si="5"/>
        <v>358.33414183249261</v>
      </c>
      <c r="J38" s="634">
        <v>62578.561949338742</v>
      </c>
      <c r="K38" s="385">
        <v>32409.52960129749</v>
      </c>
      <c r="L38" s="385">
        <v>17023.612437668089</v>
      </c>
      <c r="M38" s="385">
        <v>3595.2980192197419</v>
      </c>
      <c r="N38" s="385">
        <v>1982.7942379011588</v>
      </c>
      <c r="O38" s="385">
        <v>5848.034537560181</v>
      </c>
      <c r="P38" s="385">
        <v>1593.3552118383604</v>
      </c>
      <c r="Q38" s="386">
        <f>$J38-SUM(K38:P38)+0.02</f>
        <v>125.95790385371539</v>
      </c>
      <c r="R38" s="352"/>
      <c r="S38" s="352"/>
    </row>
    <row r="39" spans="1:19" s="148" customFormat="1" ht="16.5" customHeight="1">
      <c r="A39" s="849"/>
      <c r="B39" s="440" t="s">
        <v>420</v>
      </c>
      <c r="C39" s="385">
        <v>39145.589016989863</v>
      </c>
      <c r="D39" s="385">
        <v>12639.522560265539</v>
      </c>
      <c r="E39" s="385">
        <v>3235.0354931325242</v>
      </c>
      <c r="F39" s="385">
        <v>4109.8876316677452</v>
      </c>
      <c r="G39" s="385">
        <v>3847.6656202660415</v>
      </c>
      <c r="H39" s="385">
        <v>1145.6975710733814</v>
      </c>
      <c r="I39" s="386">
        <f t="shared" si="5"/>
        <v>346.9410391700585</v>
      </c>
      <c r="J39" s="634">
        <v>64470.338932565159</v>
      </c>
      <c r="K39" s="385">
        <v>32197.829038017346</v>
      </c>
      <c r="L39" s="385">
        <v>18366.796072158773</v>
      </c>
      <c r="M39" s="385">
        <v>3876.9992541387487</v>
      </c>
      <c r="N39" s="385">
        <v>1593.9539555634683</v>
      </c>
      <c r="O39" s="385">
        <v>6709.6760347666932</v>
      </c>
      <c r="P39" s="385">
        <v>1606.4455608731653</v>
      </c>
      <c r="Q39" s="386">
        <f>$J39-SUM(K39:P39)</f>
        <v>118.63901704696764</v>
      </c>
      <c r="R39" s="352"/>
      <c r="S39" s="352"/>
    </row>
    <row r="40" spans="1:19" s="148" customFormat="1" ht="16.5" customHeight="1">
      <c r="A40" s="849"/>
      <c r="B40" s="440" t="s">
        <v>421</v>
      </c>
      <c r="C40" s="385">
        <v>39391.9254471401</v>
      </c>
      <c r="D40" s="385">
        <v>13020.263679575819</v>
      </c>
      <c r="E40" s="385">
        <v>3548.099264459247</v>
      </c>
      <c r="F40" s="385">
        <v>4045.9192698421366</v>
      </c>
      <c r="G40" s="385">
        <v>3983.123714714282</v>
      </c>
      <c r="H40" s="385">
        <v>975.35905633038908</v>
      </c>
      <c r="I40" s="386">
        <f t="shared" ref="I40" si="6">$J40-SUM(C40:H40)</f>
        <v>342.06596960753814</v>
      </c>
      <c r="J40" s="634">
        <v>65306.756401669518</v>
      </c>
      <c r="K40" s="385">
        <v>32222.320332717532</v>
      </c>
      <c r="L40" s="385">
        <v>18105.344132962913</v>
      </c>
      <c r="M40" s="385">
        <v>3987.366265395211</v>
      </c>
      <c r="N40" s="385">
        <v>2197.5916605435395</v>
      </c>
      <c r="O40" s="385">
        <v>7020.0582827718936</v>
      </c>
      <c r="P40" s="385">
        <v>1657.5731504009859</v>
      </c>
      <c r="Q40" s="386">
        <f>$J40-SUM(K40:P40)</f>
        <v>116.50257687744306</v>
      </c>
      <c r="R40" s="352"/>
      <c r="S40" s="352"/>
    </row>
    <row r="41" spans="1:19" s="148" customFormat="1" ht="16.5" customHeight="1">
      <c r="A41" s="849"/>
      <c r="B41" s="440" t="s">
        <v>422</v>
      </c>
      <c r="C41" s="385">
        <v>39222.25141864577</v>
      </c>
      <c r="D41" s="385">
        <v>13274.83844334519</v>
      </c>
      <c r="E41" s="385">
        <v>3528.765076912212</v>
      </c>
      <c r="F41" s="385">
        <v>4218.7447090602618</v>
      </c>
      <c r="G41" s="385">
        <v>4031.5823570604111</v>
      </c>
      <c r="H41" s="385">
        <v>1057.0109575572853</v>
      </c>
      <c r="I41" s="386">
        <f t="shared" ref="I41" si="7">$J41-SUM(C41:H41)</f>
        <v>337.90286205342272</v>
      </c>
      <c r="J41" s="634">
        <v>65671.095824634554</v>
      </c>
      <c r="K41" s="385">
        <v>32101.68317805016</v>
      </c>
      <c r="L41" s="385">
        <v>18198.634213325771</v>
      </c>
      <c r="M41" s="385">
        <v>3975.9173072998001</v>
      </c>
      <c r="N41" s="385">
        <v>2256.9853970368695</v>
      </c>
      <c r="O41" s="385">
        <v>7286.155774573479</v>
      </c>
      <c r="P41" s="385">
        <v>1721.4330955675491</v>
      </c>
      <c r="Q41" s="386">
        <f>$J41-SUM(K41:P41)</f>
        <v>130.28685878092074</v>
      </c>
      <c r="R41" s="352"/>
      <c r="S41" s="352"/>
    </row>
    <row r="42" spans="1:19" s="148" customFormat="1" ht="16.5" customHeight="1">
      <c r="A42" s="849"/>
      <c r="B42" s="440" t="s">
        <v>423</v>
      </c>
      <c r="C42" s="385">
        <v>40118.169060660432</v>
      </c>
      <c r="D42" s="385">
        <v>12853.441122411488</v>
      </c>
      <c r="E42" s="385">
        <v>3535.7632305995617</v>
      </c>
      <c r="F42" s="385">
        <v>4583.2330833241977</v>
      </c>
      <c r="G42" s="385">
        <v>4106.5144368518459</v>
      </c>
      <c r="H42" s="385">
        <v>1011.3085320434973</v>
      </c>
      <c r="I42" s="386">
        <f t="shared" ref="I42" si="8">$J42-SUM(C42:H42)</f>
        <v>331.21213175691082</v>
      </c>
      <c r="J42" s="634">
        <v>66539.641597647933</v>
      </c>
      <c r="K42" s="385">
        <v>32466.166937688144</v>
      </c>
      <c r="L42" s="385">
        <v>19158.429659085668</v>
      </c>
      <c r="M42" s="385">
        <v>4157.4782230516857</v>
      </c>
      <c r="N42" s="385">
        <v>1720.0315594059125</v>
      </c>
      <c r="O42" s="385">
        <v>7230.8392378506924</v>
      </c>
      <c r="P42" s="385">
        <v>1661.3583561665107</v>
      </c>
      <c r="Q42" s="386">
        <f>$J42-SUM(K42:P42)</f>
        <v>145.33762439931161</v>
      </c>
      <c r="R42" s="352"/>
      <c r="S42" s="352"/>
    </row>
    <row r="43" spans="1:19" s="148" customFormat="1" ht="16.5" customHeight="1">
      <c r="A43" s="849"/>
      <c r="B43" s="440" t="s">
        <v>412</v>
      </c>
      <c r="C43" s="385">
        <v>41101.792089371782</v>
      </c>
      <c r="D43" s="385">
        <v>11782.755040156455</v>
      </c>
      <c r="E43" s="385">
        <v>3528.4045672436082</v>
      </c>
      <c r="F43" s="385">
        <v>4156.6477975677399</v>
      </c>
      <c r="G43" s="385">
        <v>3940.9342703505731</v>
      </c>
      <c r="H43" s="385">
        <v>1188.1747123365753</v>
      </c>
      <c r="I43" s="386">
        <f t="shared" ref="I43" si="9">$J43-SUM(C43:H43)</f>
        <v>325.13323193613905</v>
      </c>
      <c r="J43" s="634">
        <v>66023.841708962878</v>
      </c>
      <c r="K43" s="385">
        <v>32174.711357992197</v>
      </c>
      <c r="L43" s="385">
        <v>19173.151601864258</v>
      </c>
      <c r="M43" s="385">
        <v>4303.5001225849501</v>
      </c>
      <c r="N43" s="385">
        <v>1843.0069966755377</v>
      </c>
      <c r="O43" s="385">
        <v>6773.7469991097987</v>
      </c>
      <c r="P43" s="385">
        <v>1605.1419144152107</v>
      </c>
      <c r="Q43" s="386">
        <f>$J43-SUM(K43:P43)</f>
        <v>150.58271632091783</v>
      </c>
      <c r="R43" s="352"/>
      <c r="S43" s="352"/>
    </row>
    <row r="44" spans="1:19" ht="20.25" customHeight="1">
      <c r="A44" s="253" t="s">
        <v>1114</v>
      </c>
      <c r="B44" s="1461"/>
      <c r="C44" s="1461"/>
      <c r="D44" s="1461"/>
      <c r="E44" s="1461"/>
      <c r="F44" s="1461"/>
      <c r="G44" s="1461"/>
      <c r="H44" s="1461"/>
      <c r="I44" s="1461"/>
      <c r="J44" s="1461"/>
      <c r="K44" s="1461"/>
      <c r="L44" s="1461"/>
      <c r="M44" s="1461"/>
      <c r="N44" s="380"/>
      <c r="O44" s="1461"/>
      <c r="P44" s="1461"/>
      <c r="Q44" s="252" t="s">
        <v>1115</v>
      </c>
    </row>
    <row r="45" spans="1:19" s="180" customFormat="1" ht="15">
      <c r="A45" s="306" t="s">
        <v>1000</v>
      </c>
      <c r="B45" s="306"/>
      <c r="C45" s="306"/>
      <c r="D45" s="306"/>
      <c r="E45" s="306"/>
      <c r="F45" s="306"/>
      <c r="G45" s="306"/>
      <c r="H45" s="306"/>
      <c r="I45" s="306"/>
      <c r="J45" s="276"/>
      <c r="K45" s="276"/>
      <c r="L45" s="276"/>
      <c r="M45" s="276"/>
      <c r="N45" s="276"/>
      <c r="O45" s="276"/>
      <c r="P45" s="276"/>
      <c r="Q45" s="627" t="s">
        <v>1001</v>
      </c>
    </row>
    <row r="47" spans="1:19" s="180" customFormat="1" ht="15">
      <c r="A47" s="276" t="s">
        <v>1116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tabSelected="1" zoomScale="85" zoomScaleNormal="85" workbookViewId="0">
      <pane ySplit="12" topLeftCell="A22" activePane="bottomLeft" state="frozen"/>
      <selection activeCell="N29" sqref="N29"/>
      <selection pane="bottomLeft" activeCell="N29" sqref="N29"/>
    </sheetView>
  </sheetViews>
  <sheetFormatPr defaultColWidth="9.140625" defaultRowHeight="12.75"/>
  <cols>
    <col min="1" max="2" width="9.7109375" style="1251" customWidth="1"/>
    <col min="3" max="3" width="11.42578125" style="1251" customWidth="1"/>
    <col min="4" max="4" width="12.85546875" style="1251" customWidth="1"/>
    <col min="5" max="5" width="12.7109375" style="1251" customWidth="1"/>
    <col min="6" max="6" width="10.28515625" style="1251" customWidth="1"/>
    <col min="7" max="7" width="11.85546875" style="1251" customWidth="1"/>
    <col min="8" max="8" width="12" style="1251" customWidth="1"/>
    <col min="9" max="9" width="10.28515625" style="1251" customWidth="1"/>
    <col min="10" max="10" width="12.7109375" style="1251" customWidth="1"/>
    <col min="11" max="11" width="11.42578125" style="1251" customWidth="1"/>
    <col min="12" max="12" width="12.85546875" style="1251" customWidth="1"/>
    <col min="13" max="13" width="11.7109375" style="1251" customWidth="1"/>
    <col min="14" max="14" width="10.28515625" style="1251" customWidth="1"/>
    <col min="15" max="15" width="11.7109375" style="1251" customWidth="1"/>
    <col min="16" max="16" width="12.28515625" style="1251" customWidth="1"/>
    <col min="17" max="17" width="10.7109375" style="1251" customWidth="1"/>
    <col min="18" max="16384" width="9.140625" style="1251"/>
  </cols>
  <sheetData>
    <row r="1" spans="1:19" s="381" customFormat="1" ht="18">
      <c r="A1" s="277" t="s">
        <v>1736</v>
      </c>
      <c r="B1" s="1458"/>
      <c r="C1" s="1458"/>
      <c r="D1" s="1458"/>
      <c r="E1" s="1458"/>
      <c r="F1" s="1458"/>
      <c r="G1" s="1458"/>
      <c r="H1" s="1458"/>
      <c r="I1" s="1458"/>
      <c r="J1" s="1458"/>
      <c r="K1" s="1458"/>
      <c r="L1" s="1458"/>
      <c r="M1" s="1458"/>
      <c r="N1" s="1458"/>
      <c r="O1" s="1458"/>
      <c r="P1" s="1458"/>
      <c r="Q1" s="1458"/>
    </row>
    <row r="2" spans="1:19" s="381" customFormat="1" ht="18">
      <c r="A2" s="1425" t="s">
        <v>1117</v>
      </c>
      <c r="B2" s="1458"/>
      <c r="C2" s="1458"/>
      <c r="D2" s="1458"/>
      <c r="E2" s="1458"/>
      <c r="F2" s="1458"/>
      <c r="G2" s="1458"/>
      <c r="H2" s="1458"/>
      <c r="I2" s="1458"/>
      <c r="J2" s="1458"/>
      <c r="K2" s="1458"/>
      <c r="L2" s="1458"/>
      <c r="M2" s="1458"/>
      <c r="N2" s="1458"/>
      <c r="O2" s="1458"/>
      <c r="P2" s="1458"/>
      <c r="Q2" s="1458"/>
    </row>
    <row r="3" spans="1:19" s="381" customFormat="1" ht="18">
      <c r="A3" s="1459" t="s">
        <v>1118</v>
      </c>
      <c r="B3" s="1458"/>
      <c r="C3" s="1458"/>
      <c r="D3" s="1458"/>
      <c r="E3" s="1458"/>
      <c r="F3" s="1458"/>
      <c r="G3" s="1458"/>
      <c r="H3" s="1458"/>
      <c r="I3" s="1458"/>
      <c r="J3" s="1458"/>
      <c r="K3" s="1458"/>
      <c r="L3" s="1458"/>
      <c r="M3" s="1458"/>
      <c r="N3" s="1458"/>
      <c r="O3" s="1458"/>
      <c r="P3" s="1458"/>
      <c r="Q3" s="1458"/>
    </row>
    <row r="4" spans="1:19" s="306" customFormat="1" ht="14.25">
      <c r="A4" s="306" t="s">
        <v>812</v>
      </c>
      <c r="B4" s="319"/>
      <c r="Q4" s="1256" t="s">
        <v>813</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1005</v>
      </c>
      <c r="D9" s="177" t="s">
        <v>1006</v>
      </c>
      <c r="E9" s="177" t="s">
        <v>1007</v>
      </c>
      <c r="F9" s="162" t="s">
        <v>1008</v>
      </c>
      <c r="G9" s="162"/>
      <c r="H9" s="177" t="s">
        <v>1009</v>
      </c>
      <c r="I9" s="177"/>
      <c r="J9" s="194"/>
      <c r="K9" s="182" t="s">
        <v>1005</v>
      </c>
      <c r="L9" s="177" t="s">
        <v>1006</v>
      </c>
      <c r="M9" s="177" t="s">
        <v>1007</v>
      </c>
      <c r="N9" s="162" t="s">
        <v>1008</v>
      </c>
      <c r="O9" s="162"/>
      <c r="P9" s="177" t="s">
        <v>1009</v>
      </c>
      <c r="Q9" s="177"/>
    </row>
    <row r="10" spans="1:19" s="176" customFormat="1" ht="18" customHeight="1">
      <c r="A10" s="163" t="s">
        <v>379</v>
      </c>
      <c r="B10" s="165"/>
      <c r="C10" s="182" t="s">
        <v>1010</v>
      </c>
      <c r="D10" s="177" t="s">
        <v>1011</v>
      </c>
      <c r="E10" s="177" t="s">
        <v>1012</v>
      </c>
      <c r="F10" s="162" t="s">
        <v>1013</v>
      </c>
      <c r="G10" s="162" t="s">
        <v>348</v>
      </c>
      <c r="H10" s="177" t="s">
        <v>1014</v>
      </c>
      <c r="I10" s="177" t="s">
        <v>392</v>
      </c>
      <c r="J10" s="193" t="s">
        <v>382</v>
      </c>
      <c r="K10" s="182" t="s">
        <v>1010</v>
      </c>
      <c r="L10" s="177" t="s">
        <v>1011</v>
      </c>
      <c r="M10" s="177" t="s">
        <v>1012</v>
      </c>
      <c r="N10" s="162" t="s">
        <v>1013</v>
      </c>
      <c r="O10" s="162" t="s">
        <v>348</v>
      </c>
      <c r="P10" s="177" t="s">
        <v>1014</v>
      </c>
      <c r="Q10" s="177" t="s">
        <v>392</v>
      </c>
    </row>
    <row r="11" spans="1:19" s="164" customFormat="1" ht="18" customHeight="1">
      <c r="A11" s="178" t="s">
        <v>387</v>
      </c>
      <c r="B11" s="165"/>
      <c r="C11" s="191" t="s">
        <v>1015</v>
      </c>
      <c r="D11" s="166" t="s">
        <v>1016</v>
      </c>
      <c r="E11" s="166" t="s">
        <v>1017</v>
      </c>
      <c r="F11" s="166" t="s">
        <v>1018</v>
      </c>
      <c r="G11" s="166" t="s">
        <v>545</v>
      </c>
      <c r="H11" s="166" t="s">
        <v>1019</v>
      </c>
      <c r="I11" s="168" t="s">
        <v>400</v>
      </c>
      <c r="J11" s="195" t="s">
        <v>393</v>
      </c>
      <c r="K11" s="191" t="s">
        <v>1015</v>
      </c>
      <c r="L11" s="166" t="s">
        <v>1016</v>
      </c>
      <c r="M11" s="166" t="s">
        <v>1017</v>
      </c>
      <c r="N11" s="166" t="s">
        <v>1018</v>
      </c>
      <c r="O11" s="166" t="s">
        <v>545</v>
      </c>
      <c r="P11" s="166" t="s">
        <v>1019</v>
      </c>
      <c r="Q11" s="168" t="s">
        <v>400</v>
      </c>
    </row>
    <row r="12" spans="1:19" s="164" customFormat="1" ht="18" customHeight="1">
      <c r="A12" s="179"/>
      <c r="B12" s="170"/>
      <c r="C12" s="192" t="s">
        <v>1020</v>
      </c>
      <c r="D12" s="198" t="s">
        <v>1021</v>
      </c>
      <c r="E12" s="198" t="s">
        <v>1022</v>
      </c>
      <c r="F12" s="198" t="s">
        <v>1023</v>
      </c>
      <c r="G12" s="198"/>
      <c r="H12" s="198" t="s">
        <v>1024</v>
      </c>
      <c r="I12" s="199"/>
      <c r="J12" s="196"/>
      <c r="K12" s="192" t="s">
        <v>1020</v>
      </c>
      <c r="L12" s="198" t="s">
        <v>1021</v>
      </c>
      <c r="M12" s="198" t="s">
        <v>1022</v>
      </c>
      <c r="N12" s="198" t="s">
        <v>1023</v>
      </c>
      <c r="O12" s="198"/>
      <c r="P12" s="198" t="s">
        <v>1024</v>
      </c>
      <c r="Q12" s="198"/>
    </row>
    <row r="13" spans="1:19" s="597" customFormat="1" ht="27" customHeight="1">
      <c r="A13" s="850">
        <v>2015</v>
      </c>
      <c r="B13" s="851"/>
      <c r="C13" s="385">
        <v>11498.575955875755</v>
      </c>
      <c r="D13" s="385">
        <v>1118.2062152859787</v>
      </c>
      <c r="E13" s="386">
        <v>10180.083323928267</v>
      </c>
      <c r="F13" s="386">
        <v>152.49154025801064</v>
      </c>
      <c r="G13" s="386">
        <v>505.40363875208516</v>
      </c>
      <c r="H13" s="386">
        <v>3.8903510595744512E-2</v>
      </c>
      <c r="I13" s="386">
        <v>1887.7083803411904</v>
      </c>
      <c r="J13" s="634">
        <v>25342.45795795188</v>
      </c>
      <c r="K13" s="386">
        <v>11770.050898440357</v>
      </c>
      <c r="L13" s="386">
        <v>691.19507130670195</v>
      </c>
      <c r="M13" s="386">
        <v>11856.096708306517</v>
      </c>
      <c r="N13" s="386">
        <v>140.20311325268085</v>
      </c>
      <c r="O13" s="1460">
        <v>580.38996185889368</v>
      </c>
      <c r="P13" s="386">
        <v>0.11223100982978725</v>
      </c>
      <c r="Q13" s="386">
        <v>304.42319819946789</v>
      </c>
      <c r="R13" s="352"/>
      <c r="S13" s="352"/>
    </row>
    <row r="14" spans="1:19" s="998" customFormat="1" ht="18" customHeight="1">
      <c r="A14" s="850">
        <v>2016</v>
      </c>
      <c r="B14" s="851"/>
      <c r="C14" s="385">
        <v>12221.832050879153</v>
      </c>
      <c r="D14" s="385">
        <v>988.8887977609437</v>
      </c>
      <c r="E14" s="386">
        <v>10733.120021225248</v>
      </c>
      <c r="F14" s="386">
        <v>163.84019281613826</v>
      </c>
      <c r="G14" s="386">
        <v>371.70641893705169</v>
      </c>
      <c r="H14" s="386">
        <v>0.58169855502127654</v>
      </c>
      <c r="I14" s="386">
        <v>1810.5778294911663</v>
      </c>
      <c r="J14" s="634">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998" customFormat="1" ht="18" customHeight="1">
      <c r="A15" s="850">
        <v>2017</v>
      </c>
      <c r="B15" s="851"/>
      <c r="C15" s="385">
        <v>12417.675752660667</v>
      </c>
      <c r="D15" s="385">
        <v>1297.9253813911946</v>
      </c>
      <c r="E15" s="386">
        <v>11046.520094957872</v>
      </c>
      <c r="F15" s="386">
        <v>114.27575935183383</v>
      </c>
      <c r="G15" s="386">
        <v>548.69374240537593</v>
      </c>
      <c r="H15" s="386">
        <v>0.77059188176750548</v>
      </c>
      <c r="I15" s="386">
        <v>1319.6385241983678</v>
      </c>
      <c r="J15" s="634">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998" customFormat="1" ht="18" customHeight="1">
      <c r="A16" s="850">
        <v>2018</v>
      </c>
      <c r="B16" s="851"/>
      <c r="C16" s="385">
        <v>12973.940703754573</v>
      </c>
      <c r="D16" s="385">
        <v>1667.7045393166379</v>
      </c>
      <c r="E16" s="386">
        <v>11036.396057784727</v>
      </c>
      <c r="F16" s="386">
        <v>208.88058757254089</v>
      </c>
      <c r="G16" s="386">
        <v>701.81380433791514</v>
      </c>
      <c r="H16" s="386">
        <v>0.71344325531383002</v>
      </c>
      <c r="I16" s="386">
        <v>1338.7758319056211</v>
      </c>
      <c r="J16" s="634">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998" customFormat="1" ht="18" customHeight="1">
      <c r="A17" s="850">
        <v>2019</v>
      </c>
      <c r="B17" s="851"/>
      <c r="C17" s="385">
        <v>14241.453063865696</v>
      </c>
      <c r="D17" s="385">
        <v>1563.0055445919013</v>
      </c>
      <c r="E17" s="386">
        <v>13641.58948086137</v>
      </c>
      <c r="F17" s="386">
        <v>151.74124397014916</v>
      </c>
      <c r="G17" s="386">
        <v>1203.0466399299019</v>
      </c>
      <c r="H17" s="386">
        <v>0.58498329270850868</v>
      </c>
      <c r="I17" s="386">
        <v>1281.2395931548135</v>
      </c>
      <c r="J17" s="634">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998" customFormat="1" ht="18" customHeight="1">
      <c r="A18" s="850">
        <v>2020</v>
      </c>
      <c r="B18" s="851"/>
      <c r="C18" s="385">
        <v>14844.281941947993</v>
      </c>
      <c r="D18" s="385">
        <v>1366.9276938842768</v>
      </c>
      <c r="E18" s="386">
        <v>13407.016916723633</v>
      </c>
      <c r="F18" s="386">
        <v>74.256769210476151</v>
      </c>
      <c r="G18" s="386">
        <v>726.20463473587051</v>
      </c>
      <c r="H18" s="386">
        <v>0.74016472638975861</v>
      </c>
      <c r="I18" s="386">
        <v>1191.9618352761242</v>
      </c>
      <c r="J18" s="634">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998" customFormat="1" ht="18" customHeight="1">
      <c r="A19" s="850">
        <v>2021</v>
      </c>
      <c r="B19" s="851"/>
      <c r="C19" s="385">
        <v>16211.615923287765</v>
      </c>
      <c r="D19" s="385">
        <v>853.24798040080839</v>
      </c>
      <c r="E19" s="386">
        <v>15947.952903213989</v>
      </c>
      <c r="F19" s="386">
        <v>66.641732232534153</v>
      </c>
      <c r="G19" s="386">
        <v>704.75758785337882</v>
      </c>
      <c r="H19" s="386">
        <v>0.86660790947714084</v>
      </c>
      <c r="I19" s="386">
        <v>769.66835644825107</v>
      </c>
      <c r="J19" s="634">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998" customFormat="1" ht="18" customHeight="1">
      <c r="A20" s="850">
        <v>2022</v>
      </c>
      <c r="B20" s="851"/>
      <c r="C20" s="385">
        <v>17281.718805588876</v>
      </c>
      <c r="D20" s="386">
        <v>849.08523247056678</v>
      </c>
      <c r="E20" s="386">
        <v>16915.974374001089</v>
      </c>
      <c r="F20" s="386">
        <v>47.806099602479975</v>
      </c>
      <c r="G20" s="386">
        <v>688.0743981131593</v>
      </c>
      <c r="H20" s="386">
        <v>0.70255470847414392</v>
      </c>
      <c r="I20" s="386">
        <v>281.65992137768097</v>
      </c>
      <c r="J20" s="634">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998" customFormat="1" ht="18" customHeight="1">
      <c r="A21" s="850">
        <v>2023</v>
      </c>
      <c r="B21" s="851"/>
      <c r="C21" s="385">
        <v>17253.050250269887</v>
      </c>
      <c r="D21" s="385">
        <v>1427.4208984515124</v>
      </c>
      <c r="E21" s="386">
        <v>18350.155125147703</v>
      </c>
      <c r="F21" s="386">
        <v>88.311896868702149</v>
      </c>
      <c r="G21" s="386">
        <v>767.91357610837599</v>
      </c>
      <c r="H21" s="386">
        <v>0.53275775289361715</v>
      </c>
      <c r="I21" s="386">
        <v>347.02742903016474</v>
      </c>
      <c r="J21" s="634">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998" customFormat="1" ht="18" customHeight="1">
      <c r="A22" s="993">
        <v>2024</v>
      </c>
      <c r="B22" s="994"/>
      <c r="C22" s="995">
        <f t="shared" ref="C22:Q22" si="0">C27</f>
        <v>21846.086171617131</v>
      </c>
      <c r="D22" s="995">
        <f t="shared" si="0"/>
        <v>2288.0066650142107</v>
      </c>
      <c r="E22" s="996">
        <f t="shared" si="0"/>
        <v>36696.238967598671</v>
      </c>
      <c r="F22" s="996">
        <f t="shared" si="0"/>
        <v>333.950699451731</v>
      </c>
      <c r="G22" s="996">
        <f t="shared" si="0"/>
        <v>1085.5125094299533</v>
      </c>
      <c r="H22" s="996">
        <f t="shared" si="0"/>
        <v>37.238493014154066</v>
      </c>
      <c r="I22" s="996">
        <f t="shared" si="0"/>
        <v>1067.4174840169649</v>
      </c>
      <c r="J22" s="997">
        <f t="shared" si="0"/>
        <v>63354.440990142815</v>
      </c>
      <c r="K22" s="995">
        <f t="shared" si="0"/>
        <v>21382.338917704499</v>
      </c>
      <c r="L22" s="995">
        <f t="shared" si="0"/>
        <v>7719.374220805139</v>
      </c>
      <c r="M22" s="996">
        <f t="shared" si="0"/>
        <v>30944.462766572982</v>
      </c>
      <c r="N22" s="996">
        <f t="shared" si="0"/>
        <v>397.74128785244636</v>
      </c>
      <c r="O22" s="996">
        <f t="shared" si="0"/>
        <v>1171.7607428206718</v>
      </c>
      <c r="P22" s="996">
        <f t="shared" si="0"/>
        <v>4.7271445146151416</v>
      </c>
      <c r="Q22" s="996">
        <f t="shared" si="0"/>
        <v>1733.9808062818092</v>
      </c>
      <c r="R22" s="352"/>
      <c r="S22" s="352"/>
    </row>
    <row r="23" spans="1:19" s="998" customFormat="1" ht="21" customHeight="1">
      <c r="A23" s="850">
        <v>2023</v>
      </c>
      <c r="B23" s="851" t="s">
        <v>238</v>
      </c>
      <c r="C23" s="385">
        <v>17253.050250269887</v>
      </c>
      <c r="D23" s="385">
        <v>1427.4208984515124</v>
      </c>
      <c r="E23" s="386">
        <v>18350.155125147703</v>
      </c>
      <c r="F23" s="386">
        <v>88.311896868702149</v>
      </c>
      <c r="G23" s="386">
        <v>767.91357610837599</v>
      </c>
      <c r="H23" s="386">
        <v>0.53275775289361715</v>
      </c>
      <c r="I23" s="386">
        <v>347.02742903016474</v>
      </c>
      <c r="J23" s="634">
        <v>38234.40193362924</v>
      </c>
      <c r="K23" s="385">
        <v>16200.750127781273</v>
      </c>
      <c r="L23" s="385">
        <v>6553.8085016038895</v>
      </c>
      <c r="M23" s="386">
        <v>13996.742001385028</v>
      </c>
      <c r="N23" s="386">
        <v>155.58920305021275</v>
      </c>
      <c r="O23" s="386">
        <v>837.73778287979781</v>
      </c>
      <c r="P23" s="386">
        <v>0.51975514893617025</v>
      </c>
      <c r="Q23" s="386">
        <v>489.25137618782935</v>
      </c>
      <c r="R23" s="352"/>
      <c r="S23" s="352"/>
    </row>
    <row r="24" spans="1:19" s="998" customFormat="1" ht="21" customHeight="1">
      <c r="A24" s="850">
        <v>2024</v>
      </c>
      <c r="B24" s="851" t="s">
        <v>239</v>
      </c>
      <c r="C24" s="385">
        <v>20949.107707089999</v>
      </c>
      <c r="D24" s="385">
        <v>2300.8103178102438</v>
      </c>
      <c r="E24" s="386">
        <v>36072.642477565685</v>
      </c>
      <c r="F24" s="386">
        <v>330.47876992023566</v>
      </c>
      <c r="G24" s="386">
        <v>1151.5133140432608</v>
      </c>
      <c r="H24" s="386">
        <v>1.7506840216409527</v>
      </c>
      <c r="I24" s="386">
        <v>196.18043255906088</v>
      </c>
      <c r="J24" s="634">
        <v>61002.493703010128</v>
      </c>
      <c r="K24" s="385">
        <v>20664.831797502171</v>
      </c>
      <c r="L24" s="385">
        <v>7028.7058431425166</v>
      </c>
      <c r="M24" s="386">
        <v>31096.761945027261</v>
      </c>
      <c r="N24" s="386">
        <v>375.92329110466653</v>
      </c>
      <c r="O24" s="386">
        <v>1161.3279168135318</v>
      </c>
      <c r="P24" s="386">
        <v>1.7610744199733763</v>
      </c>
      <c r="Q24" s="386">
        <v>673.16183432463686</v>
      </c>
      <c r="R24" s="352"/>
      <c r="S24" s="352"/>
    </row>
    <row r="25" spans="1:19" s="998" customFormat="1" ht="15" customHeight="1">
      <c r="A25" s="850"/>
      <c r="B25" s="851" t="s">
        <v>240</v>
      </c>
      <c r="C25" s="385">
        <v>21223.250832898051</v>
      </c>
      <c r="D25" s="385">
        <v>2358.5798353122545</v>
      </c>
      <c r="E25" s="386">
        <v>36289.482422309302</v>
      </c>
      <c r="F25" s="386">
        <v>309.49215112722254</v>
      </c>
      <c r="G25" s="386">
        <v>1260.4255015258652</v>
      </c>
      <c r="H25" s="386">
        <v>125.22186749645279</v>
      </c>
      <c r="I25" s="386">
        <v>136.31958265686666</v>
      </c>
      <c r="J25" s="634">
        <v>61702.772193326018</v>
      </c>
      <c r="K25" s="385">
        <v>20738.281302560594</v>
      </c>
      <c r="L25" s="385">
        <v>7318.3760823859475</v>
      </c>
      <c r="M25" s="386">
        <v>31208.982378998578</v>
      </c>
      <c r="N25" s="386">
        <v>359.86124376143977</v>
      </c>
      <c r="O25" s="386">
        <v>1300.820471476171</v>
      </c>
      <c r="P25" s="386">
        <v>7.3738718985669855</v>
      </c>
      <c r="Q25" s="386">
        <v>769.01769913222961</v>
      </c>
      <c r="R25" s="352"/>
      <c r="S25" s="352"/>
    </row>
    <row r="26" spans="1:19" s="998" customFormat="1" ht="15" customHeight="1">
      <c r="A26" s="850"/>
      <c r="B26" s="851" t="s">
        <v>237</v>
      </c>
      <c r="C26" s="385">
        <v>21502.276905059778</v>
      </c>
      <c r="D26" s="385">
        <v>2324.9426803315168</v>
      </c>
      <c r="E26" s="386">
        <v>36674.984606045487</v>
      </c>
      <c r="F26" s="386">
        <v>434.7587539446663</v>
      </c>
      <c r="G26" s="386">
        <v>1210.8751588368627</v>
      </c>
      <c r="H26" s="386">
        <v>48.147051000368435</v>
      </c>
      <c r="I26" s="386">
        <v>114.45493004332658</v>
      </c>
      <c r="J26" s="634">
        <v>62310.460085261999</v>
      </c>
      <c r="K26" s="385">
        <v>21179.369135503057</v>
      </c>
      <c r="L26" s="385">
        <v>7623.5895702660891</v>
      </c>
      <c r="M26" s="386">
        <v>30984.740197684579</v>
      </c>
      <c r="N26" s="386">
        <v>468.83849058495673</v>
      </c>
      <c r="O26" s="386">
        <v>1311.9594715613243</v>
      </c>
      <c r="P26" s="386">
        <v>1.5140094079428954</v>
      </c>
      <c r="Q26" s="386">
        <v>740.53529857833291</v>
      </c>
      <c r="R26" s="352"/>
      <c r="S26" s="352"/>
    </row>
    <row r="27" spans="1:19" s="998" customFormat="1" ht="15" customHeight="1">
      <c r="A27" s="850"/>
      <c r="B27" s="851" t="s">
        <v>238</v>
      </c>
      <c r="C27" s="385">
        <v>21846.086171617131</v>
      </c>
      <c r="D27" s="385">
        <v>2288.0066650142107</v>
      </c>
      <c r="E27" s="386">
        <v>36696.238967598671</v>
      </c>
      <c r="F27" s="386">
        <v>333.950699451731</v>
      </c>
      <c r="G27" s="386">
        <v>1085.5125094299533</v>
      </c>
      <c r="H27" s="386">
        <v>37.238493014154066</v>
      </c>
      <c r="I27" s="386">
        <v>1067.4174840169649</v>
      </c>
      <c r="J27" s="634">
        <v>63354.440990142815</v>
      </c>
      <c r="K27" s="385">
        <v>21382.338917704499</v>
      </c>
      <c r="L27" s="385">
        <v>7719.374220805139</v>
      </c>
      <c r="M27" s="386">
        <v>30944.462766572982</v>
      </c>
      <c r="N27" s="386">
        <v>397.74128785244636</v>
      </c>
      <c r="O27" s="386">
        <v>1171.7607428206718</v>
      </c>
      <c r="P27" s="386">
        <v>4.7271445146151416</v>
      </c>
      <c r="Q27" s="386">
        <v>1733.9808062818092</v>
      </c>
      <c r="R27" s="352"/>
      <c r="S27" s="352"/>
    </row>
    <row r="28" spans="1:19" s="998" customFormat="1" ht="21" customHeight="1">
      <c r="A28" s="850">
        <v>2025</v>
      </c>
      <c r="B28" s="851" t="s">
        <v>239</v>
      </c>
      <c r="C28" s="385">
        <f t="shared" ref="C28:Q28" si="1">C36</f>
        <v>21399.660351088995</v>
      </c>
      <c r="D28" s="385">
        <f t="shared" si="1"/>
        <v>3481.3008665758107</v>
      </c>
      <c r="E28" s="386">
        <f t="shared" si="1"/>
        <v>34067.88691254158</v>
      </c>
      <c r="F28" s="386">
        <f t="shared" si="1"/>
        <v>543.927315905809</v>
      </c>
      <c r="G28" s="386">
        <f t="shared" si="1"/>
        <v>765.74096667212427</v>
      </c>
      <c r="H28" s="386">
        <f t="shared" si="1"/>
        <v>157.01990852041041</v>
      </c>
      <c r="I28" s="386">
        <f t="shared" si="1"/>
        <v>1100.594775959692</v>
      </c>
      <c r="J28" s="634">
        <f t="shared" si="1"/>
        <v>61516.131097264428</v>
      </c>
      <c r="K28" s="385">
        <f t="shared" si="1"/>
        <v>21196.378104142743</v>
      </c>
      <c r="L28" s="385">
        <f t="shared" si="1"/>
        <v>6983.9952998573835</v>
      </c>
      <c r="M28" s="386">
        <f t="shared" si="1"/>
        <v>30434.043828840462</v>
      </c>
      <c r="N28" s="386">
        <f t="shared" si="1"/>
        <v>510.03887247445056</v>
      </c>
      <c r="O28" s="386">
        <f t="shared" si="1"/>
        <v>870.90147374876835</v>
      </c>
      <c r="P28" s="386">
        <f t="shared" si="1"/>
        <v>2.5476883161243853</v>
      </c>
      <c r="Q28" s="386">
        <f t="shared" si="1"/>
        <v>1518.3373537311347</v>
      </c>
      <c r="R28" s="352"/>
      <c r="S28" s="352"/>
    </row>
    <row r="29" spans="1:19" s="998" customFormat="1" ht="15" customHeight="1">
      <c r="A29" s="850"/>
      <c r="B29" s="851" t="s">
        <v>240</v>
      </c>
      <c r="C29" s="385">
        <f t="shared" ref="C29:Q29" si="2">C39</f>
        <v>22509.807409565088</v>
      </c>
      <c r="D29" s="385">
        <f t="shared" si="2"/>
        <v>3685.8113495456287</v>
      </c>
      <c r="E29" s="386">
        <f t="shared" si="2"/>
        <v>35299.429031525229</v>
      </c>
      <c r="F29" s="386">
        <f t="shared" si="2"/>
        <v>328.08218923994218</v>
      </c>
      <c r="G29" s="386">
        <f t="shared" si="2"/>
        <v>941.67556761142441</v>
      </c>
      <c r="H29" s="386">
        <f t="shared" si="2"/>
        <v>150.43798894260553</v>
      </c>
      <c r="I29" s="386">
        <f t="shared" si="2"/>
        <v>1555.1211310631832</v>
      </c>
      <c r="J29" s="634">
        <f t="shared" si="2"/>
        <v>64470.344667493104</v>
      </c>
      <c r="K29" s="385">
        <f t="shared" si="2"/>
        <v>21586.178501801627</v>
      </c>
      <c r="L29" s="385">
        <f t="shared" si="2"/>
        <v>6511.8380590795869</v>
      </c>
      <c r="M29" s="386">
        <f t="shared" si="2"/>
        <v>33062.774110946069</v>
      </c>
      <c r="N29" s="386">
        <f t="shared" si="2"/>
        <v>370.85668152364985</v>
      </c>
      <c r="O29" s="386">
        <f t="shared" si="2"/>
        <v>1191.4979744691182</v>
      </c>
      <c r="P29" s="386">
        <f t="shared" si="2"/>
        <v>2.6924844036695283</v>
      </c>
      <c r="Q29" s="386">
        <f t="shared" si="2"/>
        <v>1744.4460776007995</v>
      </c>
      <c r="R29" s="352"/>
      <c r="S29" s="352"/>
    </row>
    <row r="30" spans="1:19" s="998" customFormat="1" ht="15" customHeight="1">
      <c r="A30" s="993"/>
      <c r="B30" s="994" t="s">
        <v>237</v>
      </c>
      <c r="C30" s="995">
        <f t="shared" ref="C30:Q30" si="3">C42</f>
        <v>22314.02703052076</v>
      </c>
      <c r="D30" s="995">
        <f t="shared" si="3"/>
        <v>3298.5307183844207</v>
      </c>
      <c r="E30" s="996">
        <f t="shared" si="3"/>
        <v>37823.653255929785</v>
      </c>
      <c r="F30" s="996">
        <f t="shared" si="3"/>
        <v>270.80920780020176</v>
      </c>
      <c r="G30" s="996">
        <f t="shared" si="3"/>
        <v>1097.5984221623416</v>
      </c>
      <c r="H30" s="996">
        <f t="shared" si="3"/>
        <v>108.47881239165977</v>
      </c>
      <c r="I30" s="996">
        <f t="shared" si="3"/>
        <v>1626.5093661165704</v>
      </c>
      <c r="J30" s="997">
        <f t="shared" si="3"/>
        <v>66539.606813305742</v>
      </c>
      <c r="K30" s="995">
        <f t="shared" si="3"/>
        <v>21254.013817953688</v>
      </c>
      <c r="L30" s="995">
        <f t="shared" si="3"/>
        <v>7199.90838223438</v>
      </c>
      <c r="M30" s="996">
        <f t="shared" si="3"/>
        <v>34586.512159177757</v>
      </c>
      <c r="N30" s="996">
        <f t="shared" si="3"/>
        <v>293.79590943290424</v>
      </c>
      <c r="O30" s="996">
        <f t="shared" si="3"/>
        <v>1334.5084789967627</v>
      </c>
      <c r="P30" s="996">
        <f t="shared" si="3"/>
        <v>8.1630104632271898</v>
      </c>
      <c r="Q30" s="996">
        <f t="shared" si="3"/>
        <v>1862.7440996755115</v>
      </c>
      <c r="R30" s="352"/>
      <c r="S30" s="352"/>
    </row>
    <row r="31" spans="1:19" s="148" customFormat="1" ht="21" customHeight="1">
      <c r="A31" s="849">
        <v>2024</v>
      </c>
      <c r="B31" s="440" t="s">
        <v>412</v>
      </c>
      <c r="C31" s="653">
        <v>21572.771202890417</v>
      </c>
      <c r="D31" s="653">
        <v>2169.2421088544947</v>
      </c>
      <c r="E31" s="663">
        <v>36943.727996808368</v>
      </c>
      <c r="F31" s="663">
        <v>386.04117536089916</v>
      </c>
      <c r="G31" s="663">
        <v>1224.9011838022311</v>
      </c>
      <c r="H31" s="663">
        <v>37.069619289637615</v>
      </c>
      <c r="I31" s="663">
        <v>294.70741441099079</v>
      </c>
      <c r="J31" s="649">
        <v>62628.420701417032</v>
      </c>
      <c r="K31" s="653">
        <v>21257.135416951169</v>
      </c>
      <c r="L31" s="653">
        <v>8351.6932326877559</v>
      </c>
      <c r="M31" s="663">
        <v>30361.265524538157</v>
      </c>
      <c r="N31" s="663">
        <v>470.33005556190847</v>
      </c>
      <c r="O31" s="663">
        <v>1257.2618826308942</v>
      </c>
      <c r="P31" s="663">
        <v>1.7728697214381286</v>
      </c>
      <c r="Q31" s="663">
        <v>928.85657316342861</v>
      </c>
      <c r="R31" s="352"/>
      <c r="S31" s="352"/>
    </row>
    <row r="32" spans="1:19" s="148" customFormat="1" ht="16.5" customHeight="1">
      <c r="A32" s="849"/>
      <c r="B32" s="440" t="s">
        <v>413</v>
      </c>
      <c r="C32" s="653">
        <v>22055.385856677847</v>
      </c>
      <c r="D32" s="653">
        <v>2475.0469158323376</v>
      </c>
      <c r="E32" s="663">
        <v>36320.815764034276</v>
      </c>
      <c r="F32" s="663">
        <v>522.79321416507707</v>
      </c>
      <c r="G32" s="663">
        <v>1200.0354735638684</v>
      </c>
      <c r="H32" s="663">
        <v>1.6141579066095715</v>
      </c>
      <c r="I32" s="663">
        <v>469.60334600872676</v>
      </c>
      <c r="J32" s="649">
        <v>63045.224728188747</v>
      </c>
      <c r="K32" s="653">
        <v>21499.79144812575</v>
      </c>
      <c r="L32" s="653">
        <v>7621.9156623373747</v>
      </c>
      <c r="M32" s="663">
        <v>31162.538854660554</v>
      </c>
      <c r="N32" s="663">
        <v>469.69509173808058</v>
      </c>
      <c r="O32" s="663">
        <v>1181.1316332033252</v>
      </c>
      <c r="P32" s="663">
        <v>3.3072430502265977</v>
      </c>
      <c r="Q32" s="663">
        <v>1106.8965643539875</v>
      </c>
      <c r="R32" s="352"/>
      <c r="S32" s="352"/>
    </row>
    <row r="33" spans="1:19" s="148" customFormat="1" ht="16.5" customHeight="1">
      <c r="A33" s="849"/>
      <c r="B33" s="440" t="s">
        <v>414</v>
      </c>
      <c r="C33" s="653">
        <v>21846.086171617131</v>
      </c>
      <c r="D33" s="653">
        <v>2288.0066650142107</v>
      </c>
      <c r="E33" s="663">
        <v>36696.238967598671</v>
      </c>
      <c r="F33" s="663">
        <v>333.950699451731</v>
      </c>
      <c r="G33" s="663">
        <v>1085.5125094299533</v>
      </c>
      <c r="H33" s="663">
        <v>37.238493014154066</v>
      </c>
      <c r="I33" s="663">
        <v>1067.4174840169649</v>
      </c>
      <c r="J33" s="649">
        <v>63354.440990142815</v>
      </c>
      <c r="K33" s="653">
        <v>21382.338917704499</v>
      </c>
      <c r="L33" s="653">
        <v>7719.374220805139</v>
      </c>
      <c r="M33" s="663">
        <v>30944.462766572982</v>
      </c>
      <c r="N33" s="663">
        <v>397.74128785244636</v>
      </c>
      <c r="O33" s="663">
        <v>1171.7607428206718</v>
      </c>
      <c r="P33" s="663">
        <v>4.7271445146151416</v>
      </c>
      <c r="Q33" s="663">
        <v>1733.9808062818092</v>
      </c>
      <c r="R33" s="352"/>
      <c r="S33" s="352"/>
    </row>
    <row r="34" spans="1:19" s="148" customFormat="1" ht="21" customHeight="1">
      <c r="A34" s="849">
        <v>2025</v>
      </c>
      <c r="B34" s="440" t="s">
        <v>415</v>
      </c>
      <c r="C34" s="653">
        <v>21146.333538061597</v>
      </c>
      <c r="D34" s="653">
        <v>2234.2135154515886</v>
      </c>
      <c r="E34" s="663">
        <v>35480.356570751326</v>
      </c>
      <c r="F34" s="663">
        <v>386.63612706832197</v>
      </c>
      <c r="G34" s="663">
        <v>860.69276812132534</v>
      </c>
      <c r="H34" s="663">
        <v>38.599826947451618</v>
      </c>
      <c r="I34" s="663">
        <v>1169.8529521064779</v>
      </c>
      <c r="J34" s="649">
        <v>61316.685298508091</v>
      </c>
      <c r="K34" s="653">
        <v>20912.30287201552</v>
      </c>
      <c r="L34" s="653">
        <v>6171.0437976643079</v>
      </c>
      <c r="M34" s="663">
        <v>31417.857616097524</v>
      </c>
      <c r="N34" s="663">
        <v>444.40911573685173</v>
      </c>
      <c r="O34" s="663">
        <v>848.63435296501245</v>
      </c>
      <c r="P34" s="663">
        <v>5.9899096070260827</v>
      </c>
      <c r="Q34" s="663">
        <v>1516.4765608642583</v>
      </c>
      <c r="R34" s="352"/>
      <c r="S34" s="352"/>
    </row>
    <row r="35" spans="1:19" s="148" customFormat="1" ht="16.5" customHeight="1">
      <c r="A35" s="849"/>
      <c r="B35" s="440" t="s">
        <v>416</v>
      </c>
      <c r="C35" s="653">
        <v>21446.198868876945</v>
      </c>
      <c r="D35" s="653">
        <v>3181.2305098064339</v>
      </c>
      <c r="E35" s="663">
        <v>34642.929892103348</v>
      </c>
      <c r="F35" s="663">
        <v>373.7335136236361</v>
      </c>
      <c r="G35" s="663">
        <v>707.2560718385165</v>
      </c>
      <c r="H35" s="663">
        <v>33.956455004449822</v>
      </c>
      <c r="I35" s="663">
        <v>754.26372674115453</v>
      </c>
      <c r="J35" s="649">
        <v>61139.559037994492</v>
      </c>
      <c r="K35" s="653">
        <v>21216.159024001463</v>
      </c>
      <c r="L35" s="653">
        <v>6727.7268879714438</v>
      </c>
      <c r="M35" s="663">
        <v>30459.459995268444</v>
      </c>
      <c r="N35" s="663">
        <v>437.15448407174557</v>
      </c>
      <c r="O35" s="663">
        <v>780.06603742805055</v>
      </c>
      <c r="P35" s="663">
        <v>4.5646871438346048</v>
      </c>
      <c r="Q35" s="663">
        <v>1514.2550130672071</v>
      </c>
      <c r="R35" s="352"/>
      <c r="S35" s="352"/>
    </row>
    <row r="36" spans="1:19" s="148" customFormat="1" ht="16.5" customHeight="1">
      <c r="A36" s="849"/>
      <c r="B36" s="440" t="s">
        <v>417</v>
      </c>
      <c r="C36" s="653">
        <v>21399.660351088995</v>
      </c>
      <c r="D36" s="653">
        <v>3481.3008665758107</v>
      </c>
      <c r="E36" s="663">
        <v>34067.88691254158</v>
      </c>
      <c r="F36" s="663">
        <v>543.927315905809</v>
      </c>
      <c r="G36" s="663">
        <v>765.74096667212427</v>
      </c>
      <c r="H36" s="663">
        <v>157.01990852041041</v>
      </c>
      <c r="I36" s="663">
        <v>1100.594775959692</v>
      </c>
      <c r="J36" s="649">
        <v>61516.131097264428</v>
      </c>
      <c r="K36" s="653">
        <v>21196.378104142743</v>
      </c>
      <c r="L36" s="653">
        <v>6983.9952998573835</v>
      </c>
      <c r="M36" s="663">
        <v>30434.043828840462</v>
      </c>
      <c r="N36" s="663">
        <v>510.03887247445056</v>
      </c>
      <c r="O36" s="663">
        <v>870.90147374876835</v>
      </c>
      <c r="P36" s="663">
        <v>2.5476883161243853</v>
      </c>
      <c r="Q36" s="663">
        <v>1518.3373537311347</v>
      </c>
      <c r="R36" s="352"/>
      <c r="S36" s="352"/>
    </row>
    <row r="37" spans="1:19" s="148" customFormat="1" ht="16.5" customHeight="1">
      <c r="A37" s="849"/>
      <c r="B37" s="440" t="s">
        <v>418</v>
      </c>
      <c r="C37" s="653">
        <v>22276.059332060133</v>
      </c>
      <c r="D37" s="653">
        <v>3100.5129608099996</v>
      </c>
      <c r="E37" s="663">
        <v>34405.712973860667</v>
      </c>
      <c r="F37" s="663">
        <v>350.80506142240944</v>
      </c>
      <c r="G37" s="663">
        <v>788.12433632923944</v>
      </c>
      <c r="H37" s="663">
        <v>52.758655756561765</v>
      </c>
      <c r="I37" s="663">
        <v>1550.7952956180657</v>
      </c>
      <c r="J37" s="649">
        <v>62524.758615857078</v>
      </c>
      <c r="K37" s="653">
        <v>21543.087349624573</v>
      </c>
      <c r="L37" s="653">
        <v>6363.164180910102</v>
      </c>
      <c r="M37" s="663">
        <v>31669.522650320621</v>
      </c>
      <c r="N37" s="663">
        <v>478.50606177498889</v>
      </c>
      <c r="O37" s="663">
        <v>921.28246276912716</v>
      </c>
      <c r="P37" s="663">
        <v>3.9687232383574962</v>
      </c>
      <c r="Q37" s="663">
        <v>1545.2001178865116</v>
      </c>
      <c r="R37" s="352"/>
      <c r="S37" s="352"/>
    </row>
    <row r="38" spans="1:19" s="148" customFormat="1" ht="16.5" customHeight="1">
      <c r="A38" s="849"/>
      <c r="B38" s="440" t="s">
        <v>419</v>
      </c>
      <c r="C38" s="653">
        <v>22467.32129186167</v>
      </c>
      <c r="D38" s="653">
        <v>2923.1875423145616</v>
      </c>
      <c r="E38" s="663">
        <v>34748.158060925067</v>
      </c>
      <c r="F38" s="663">
        <v>361.32050065876246</v>
      </c>
      <c r="G38" s="663">
        <v>811.1582193999476</v>
      </c>
      <c r="H38" s="663">
        <v>14.8569298190403</v>
      </c>
      <c r="I38" s="663">
        <v>1252.5396890352272</v>
      </c>
      <c r="J38" s="649">
        <v>62578.562234014273</v>
      </c>
      <c r="K38" s="653">
        <v>21650.133207814128</v>
      </c>
      <c r="L38" s="653">
        <v>6585.9112387994537</v>
      </c>
      <c r="M38" s="663">
        <v>31521.24495082959</v>
      </c>
      <c r="N38" s="663">
        <v>364.43310681078481</v>
      </c>
      <c r="O38" s="663">
        <v>964.77166320186109</v>
      </c>
      <c r="P38" s="663">
        <v>2.9713508533620798</v>
      </c>
      <c r="Q38" s="663">
        <v>1489.2140805981576</v>
      </c>
      <c r="R38" s="352"/>
      <c r="S38" s="352"/>
    </row>
    <row r="39" spans="1:19" s="148" customFormat="1" ht="16.5" customHeight="1">
      <c r="A39" s="849"/>
      <c r="B39" s="440" t="s">
        <v>420</v>
      </c>
      <c r="C39" s="653">
        <v>22509.807409565088</v>
      </c>
      <c r="D39" s="653">
        <v>3685.8113495456287</v>
      </c>
      <c r="E39" s="663">
        <v>35299.429031525229</v>
      </c>
      <c r="F39" s="663">
        <v>328.08218923994218</v>
      </c>
      <c r="G39" s="663">
        <v>941.67556761142441</v>
      </c>
      <c r="H39" s="663">
        <v>150.43798894260553</v>
      </c>
      <c r="I39" s="663">
        <v>1555.1211310631832</v>
      </c>
      <c r="J39" s="649">
        <v>64470.344667493104</v>
      </c>
      <c r="K39" s="653">
        <v>21586.178501801627</v>
      </c>
      <c r="L39" s="653">
        <v>6511.8380590795869</v>
      </c>
      <c r="M39" s="663">
        <v>33062.774110946069</v>
      </c>
      <c r="N39" s="663">
        <v>370.85668152364985</v>
      </c>
      <c r="O39" s="663">
        <v>1191.4979744691182</v>
      </c>
      <c r="P39" s="663">
        <v>2.6924844036695283</v>
      </c>
      <c r="Q39" s="663">
        <v>1744.4460776007995</v>
      </c>
      <c r="R39" s="352"/>
      <c r="S39" s="352"/>
    </row>
    <row r="40" spans="1:19" s="148" customFormat="1" ht="16.5" customHeight="1">
      <c r="A40" s="849"/>
      <c r="B40" s="440" t="s">
        <v>421</v>
      </c>
      <c r="C40" s="653">
        <v>22262.588941237918</v>
      </c>
      <c r="D40" s="653">
        <v>3506.0024279133895</v>
      </c>
      <c r="E40" s="663">
        <v>36721.175487259316</v>
      </c>
      <c r="F40" s="663">
        <v>276.23141594526624</v>
      </c>
      <c r="G40" s="663">
        <v>925.7627916661329</v>
      </c>
      <c r="H40" s="663">
        <v>13.357546260016322</v>
      </c>
      <c r="I40" s="663">
        <v>1601.639713567602</v>
      </c>
      <c r="J40" s="649">
        <v>65306.778323849649</v>
      </c>
      <c r="K40" s="653">
        <v>21320.662438918676</v>
      </c>
      <c r="L40" s="653">
        <v>6525.5577648670214</v>
      </c>
      <c r="M40" s="663">
        <v>34220.537035397683</v>
      </c>
      <c r="N40" s="663">
        <v>297.73003894150804</v>
      </c>
      <c r="O40" s="663">
        <v>1101.5421722147214</v>
      </c>
      <c r="P40" s="663">
        <v>16.882563762191822</v>
      </c>
      <c r="Q40" s="663">
        <v>1823.9081708769945</v>
      </c>
      <c r="R40" s="352"/>
      <c r="S40" s="352"/>
    </row>
    <row r="41" spans="1:19" s="148" customFormat="1" ht="16.5" customHeight="1">
      <c r="A41" s="849"/>
      <c r="B41" s="440" t="s">
        <v>422</v>
      </c>
      <c r="C41" s="653">
        <v>22256.904614646635</v>
      </c>
      <c r="D41" s="653">
        <v>3397.4429263815778</v>
      </c>
      <c r="E41" s="663">
        <v>36956.108080352686</v>
      </c>
      <c r="F41" s="663">
        <v>347.76794386628711</v>
      </c>
      <c r="G41" s="663">
        <v>1003.5624555418203</v>
      </c>
      <c r="H41" s="663">
        <v>83.957701050925735</v>
      </c>
      <c r="I41" s="663">
        <v>1625.3147681287744</v>
      </c>
      <c r="J41" s="649">
        <v>65671.068489968718</v>
      </c>
      <c r="K41" s="653">
        <v>21110.245240447723</v>
      </c>
      <c r="L41" s="653">
        <v>6569.6836460106124</v>
      </c>
      <c r="M41" s="663">
        <v>34571.82171136215</v>
      </c>
      <c r="N41" s="663">
        <v>324.22490868208092</v>
      </c>
      <c r="O41" s="663">
        <v>1261.9459069559525</v>
      </c>
      <c r="P41" s="663">
        <v>6.4887875106789794</v>
      </c>
      <c r="Q41" s="663">
        <v>1826.752603477232</v>
      </c>
      <c r="R41" s="352"/>
      <c r="S41" s="352"/>
    </row>
    <row r="42" spans="1:19" s="148" customFormat="1" ht="16.5" customHeight="1">
      <c r="A42" s="849"/>
      <c r="B42" s="440" t="s">
        <v>423</v>
      </c>
      <c r="C42" s="653">
        <v>22314.02703052076</v>
      </c>
      <c r="D42" s="653">
        <v>3298.5307183844207</v>
      </c>
      <c r="E42" s="663">
        <v>37823.653255929785</v>
      </c>
      <c r="F42" s="663">
        <v>270.80920780020176</v>
      </c>
      <c r="G42" s="663">
        <v>1097.5984221623416</v>
      </c>
      <c r="H42" s="663">
        <v>108.47881239165977</v>
      </c>
      <c r="I42" s="663">
        <v>1626.5093661165704</v>
      </c>
      <c r="J42" s="649">
        <v>66539.606813305742</v>
      </c>
      <c r="K42" s="653">
        <v>21254.013817953688</v>
      </c>
      <c r="L42" s="653">
        <v>7199.90838223438</v>
      </c>
      <c r="M42" s="663">
        <v>34586.512159177757</v>
      </c>
      <c r="N42" s="663">
        <v>293.79590943290424</v>
      </c>
      <c r="O42" s="663">
        <v>1334.5084789967627</v>
      </c>
      <c r="P42" s="663">
        <v>8.1630104632271898</v>
      </c>
      <c r="Q42" s="663">
        <v>1862.7440996755115</v>
      </c>
      <c r="R42" s="352"/>
      <c r="S42" s="352"/>
    </row>
    <row r="43" spans="1:19" s="148" customFormat="1" ht="16.5" customHeight="1">
      <c r="A43" s="849"/>
      <c r="B43" s="440" t="s">
        <v>412</v>
      </c>
      <c r="C43" s="653">
        <v>23485.894919050628</v>
      </c>
      <c r="D43" s="653">
        <v>1411.5207036935012</v>
      </c>
      <c r="E43" s="663">
        <v>38039.681487595393</v>
      </c>
      <c r="F43" s="663">
        <v>318.04375856100694</v>
      </c>
      <c r="G43" s="663">
        <v>914.56480865938795</v>
      </c>
      <c r="H43" s="663">
        <v>235.89910244411504</v>
      </c>
      <c r="I43" s="663">
        <v>1618.2057511811988</v>
      </c>
      <c r="J43" s="649">
        <v>66023.810531185241</v>
      </c>
      <c r="K43" s="653">
        <v>21346.969640029325</v>
      </c>
      <c r="L43" s="653">
        <v>6539.7454966603436</v>
      </c>
      <c r="M43" s="663">
        <v>34664.597727008251</v>
      </c>
      <c r="N43" s="663">
        <v>299.61010387420129</v>
      </c>
      <c r="O43" s="663">
        <v>1323.7341096054113</v>
      </c>
      <c r="P43" s="663">
        <v>5.0821879868498039</v>
      </c>
      <c r="Q43" s="663">
        <v>1844.0753485826556</v>
      </c>
      <c r="R43" s="352"/>
      <c r="S43" s="352"/>
    </row>
    <row r="44" spans="1:19" ht="20.25" customHeight="1">
      <c r="A44" s="253"/>
      <c r="B44" s="1461"/>
      <c r="C44" s="1461"/>
      <c r="D44" s="1461"/>
      <c r="E44" s="1461"/>
      <c r="F44" s="1461"/>
      <c r="G44" s="1461"/>
      <c r="H44" s="1461"/>
      <c r="I44" s="1461"/>
      <c r="J44" s="1461"/>
      <c r="K44" s="1461"/>
      <c r="L44" s="1461"/>
      <c r="M44" s="1461"/>
      <c r="N44" s="1461"/>
      <c r="O44" s="1461"/>
      <c r="P44" s="1461"/>
      <c r="Q44" s="252"/>
    </row>
    <row r="45" spans="1:19" ht="14.25">
      <c r="A45" s="306"/>
      <c r="Q45" s="365"/>
    </row>
    <row r="46" spans="1:19" ht="14.25">
      <c r="A46" s="306"/>
      <c r="Q46" s="365"/>
    </row>
    <row r="47" spans="1:19" s="180" customFormat="1" ht="15">
      <c r="A47" s="276" t="s">
        <v>1119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tabSelected="1" topLeftCell="A2" zoomScale="80" zoomScaleNormal="80" workbookViewId="0">
      <selection activeCell="N29" sqref="N29"/>
    </sheetView>
  </sheetViews>
  <sheetFormatPr defaultColWidth="9.140625" defaultRowHeight="12.75"/>
  <cols>
    <col min="1" max="1" width="31.7109375" style="1423" customWidth="1"/>
    <col min="2" max="11" width="8.7109375" style="1423" customWidth="1"/>
    <col min="12" max="12" width="8.7109375" style="1427" customWidth="1"/>
    <col min="13" max="15" width="8.7109375" style="1423" customWidth="1"/>
    <col min="16" max="16" width="9.42578125" style="1423" customWidth="1"/>
    <col min="17" max="17" width="9.28515625" style="1423" customWidth="1"/>
    <col min="18" max="18" width="31.7109375" style="1423" customWidth="1"/>
    <col min="19" max="19" width="5.7109375" style="1423" customWidth="1"/>
    <col min="20" max="23" width="9.140625" style="1423" hidden="1" customWidth="1"/>
    <col min="24" max="24" width="11.140625" style="1423" hidden="1" customWidth="1"/>
    <col min="25" max="25" width="9.140625" style="1423" hidden="1" customWidth="1"/>
    <col min="26" max="26" width="9.140625" style="1423" customWidth="1"/>
    <col min="27" max="16384" width="9.140625" style="1423"/>
  </cols>
  <sheetData>
    <row r="1" spans="1:25" s="381" customFormat="1" ht="21.2" customHeight="1">
      <c r="A1" s="277" t="s">
        <v>1735</v>
      </c>
      <c r="B1" s="382"/>
      <c r="C1" s="382"/>
      <c r="D1" s="382"/>
      <c r="E1" s="382"/>
      <c r="F1" s="382"/>
      <c r="G1" s="382"/>
      <c r="H1" s="382"/>
      <c r="I1" s="382"/>
      <c r="J1" s="382"/>
      <c r="K1" s="382"/>
      <c r="L1" s="1424"/>
      <c r="M1" s="382"/>
      <c r="N1" s="382"/>
      <c r="O1" s="382"/>
      <c r="P1" s="382"/>
      <c r="Q1" s="382"/>
      <c r="R1" s="382"/>
    </row>
    <row r="2" spans="1:25" s="381" customFormat="1" ht="21.2" customHeight="1">
      <c r="A2" s="1425" t="s">
        <v>1120</v>
      </c>
      <c r="B2" s="382"/>
      <c r="C2" s="382"/>
      <c r="D2" s="382"/>
      <c r="E2" s="382"/>
      <c r="F2" s="382"/>
      <c r="G2" s="382"/>
      <c r="H2" s="382"/>
      <c r="I2" s="382"/>
      <c r="J2" s="382"/>
      <c r="K2" s="382"/>
      <c r="L2" s="1424"/>
      <c r="M2" s="382"/>
      <c r="N2" s="382"/>
      <c r="O2" s="382"/>
      <c r="P2" s="382"/>
      <c r="Q2" s="382"/>
      <c r="R2" s="382"/>
    </row>
    <row r="3" spans="1:25" s="381" customFormat="1" ht="21.2" customHeight="1">
      <c r="A3" s="277" t="s">
        <v>1121</v>
      </c>
      <c r="B3" s="382"/>
      <c r="C3" s="382"/>
      <c r="D3" s="382"/>
      <c r="E3" s="382"/>
      <c r="F3" s="382"/>
      <c r="G3" s="382"/>
      <c r="H3" s="382"/>
      <c r="I3" s="382"/>
      <c r="J3" s="382"/>
      <c r="K3" s="382"/>
      <c r="L3" s="1424"/>
      <c r="M3" s="382"/>
      <c r="N3" s="382"/>
      <c r="O3" s="382"/>
      <c r="P3" s="382"/>
      <c r="Q3" s="382"/>
      <c r="R3" s="382"/>
    </row>
    <row r="4" spans="1:25" s="381" customFormat="1" ht="21.2" customHeight="1">
      <c r="A4" s="277" t="s">
        <v>372</v>
      </c>
      <c r="B4" s="382"/>
      <c r="C4" s="382"/>
      <c r="D4" s="382"/>
      <c r="E4" s="382"/>
      <c r="F4" s="382"/>
      <c r="G4" s="382"/>
      <c r="H4" s="382"/>
      <c r="I4" s="382"/>
      <c r="J4" s="382"/>
      <c r="K4" s="382"/>
      <c r="L4" s="1424"/>
      <c r="M4" s="382"/>
      <c r="N4" s="382"/>
      <c r="O4" s="382"/>
      <c r="P4" s="382"/>
      <c r="Q4" s="382"/>
      <c r="R4" s="382"/>
    </row>
    <row r="5" spans="1:25" s="381" customFormat="1" ht="21.2" customHeight="1">
      <c r="A5" s="277" t="s">
        <v>371</v>
      </c>
      <c r="B5" s="382"/>
      <c r="C5" s="382"/>
      <c r="D5" s="382"/>
      <c r="E5" s="382"/>
      <c r="F5" s="382"/>
      <c r="G5" s="382"/>
      <c r="H5" s="382"/>
      <c r="I5" s="382"/>
      <c r="J5" s="382"/>
      <c r="K5" s="382"/>
      <c r="L5" s="1424"/>
      <c r="M5" s="382"/>
      <c r="N5" s="382"/>
      <c r="O5" s="382"/>
      <c r="P5" s="382"/>
      <c r="Q5" s="382"/>
      <c r="R5" s="382"/>
    </row>
    <row r="6" spans="1:25" s="381" customFormat="1" ht="21.2" hidden="1" customHeight="1">
      <c r="A6" s="277"/>
      <c r="B6" s="382"/>
      <c r="C6" s="382"/>
      <c r="D6" s="382"/>
      <c r="E6" s="382"/>
      <c r="F6" s="382"/>
      <c r="G6" s="382"/>
      <c r="H6" s="382"/>
      <c r="I6" s="382"/>
      <c r="J6" s="382"/>
      <c r="K6" s="382"/>
      <c r="L6" s="1424"/>
      <c r="M6" s="382"/>
      <c r="N6" s="382"/>
      <c r="O6" s="382"/>
      <c r="P6" s="382"/>
      <c r="Q6" s="382"/>
      <c r="R6" s="382"/>
    </row>
    <row r="7" spans="1:25" s="381" customFormat="1" ht="21.2" hidden="1" customHeight="1">
      <c r="A7" s="277"/>
      <c r="B7" s="382"/>
      <c r="C7" s="382"/>
      <c r="D7" s="382"/>
      <c r="E7" s="382"/>
      <c r="F7" s="382"/>
      <c r="G7" s="382"/>
      <c r="H7" s="382"/>
      <c r="I7" s="382"/>
      <c r="J7" s="382"/>
      <c r="K7" s="382"/>
      <c r="L7" s="1424"/>
      <c r="M7" s="382"/>
      <c r="N7" s="382"/>
      <c r="O7" s="382"/>
      <c r="P7" s="382"/>
      <c r="Q7" s="382"/>
      <c r="R7" s="382"/>
    </row>
    <row r="8" spans="1:25" s="381" customFormat="1" ht="4.7" customHeight="1">
      <c r="A8" s="277"/>
      <c r="B8" s="382"/>
      <c r="C8" s="382"/>
      <c r="D8" s="382"/>
      <c r="E8" s="382"/>
      <c r="F8" s="382"/>
      <c r="G8" s="382"/>
      <c r="H8" s="382"/>
      <c r="I8" s="382"/>
      <c r="J8" s="382"/>
      <c r="K8" s="382"/>
      <c r="L8" s="1424"/>
      <c r="M8" s="382"/>
      <c r="N8" s="382"/>
      <c r="O8" s="382"/>
      <c r="P8" s="382"/>
      <c r="Q8" s="382"/>
      <c r="R8" s="382"/>
    </row>
    <row r="9" spans="1:25" ht="15">
      <c r="A9" s="1426" t="s">
        <v>812</v>
      </c>
      <c r="R9" s="1428" t="s">
        <v>813</v>
      </c>
    </row>
    <row r="10" spans="1:25" ht="14.25" customHeight="1">
      <c r="A10" s="1925" t="s">
        <v>1122</v>
      </c>
      <c r="B10" s="1429" t="s">
        <v>1123</v>
      </c>
      <c r="C10" s="1430"/>
      <c r="D10" s="1430"/>
      <c r="E10" s="1430"/>
      <c r="F10" s="1431"/>
      <c r="G10" s="1432" t="s">
        <v>1124</v>
      </c>
      <c r="H10" s="1433"/>
      <c r="I10" s="1433"/>
      <c r="J10" s="1433"/>
      <c r="K10" s="1434"/>
      <c r="L10" s="1435" t="s">
        <v>1125</v>
      </c>
      <c r="M10" s="1433"/>
      <c r="N10" s="1433"/>
      <c r="O10" s="1433"/>
      <c r="P10" s="1434"/>
      <c r="Q10" s="1928" t="s">
        <v>1126</v>
      </c>
      <c r="R10" s="1925" t="s">
        <v>1127</v>
      </c>
    </row>
    <row r="11" spans="1:25" ht="14.25" customHeight="1">
      <c r="A11" s="1926"/>
      <c r="B11" s="1930" t="s">
        <v>1128</v>
      </c>
      <c r="C11" s="1931"/>
      <c r="D11" s="1931"/>
      <c r="E11" s="1931"/>
      <c r="F11" s="1931"/>
      <c r="G11" s="1930" t="s">
        <v>1129</v>
      </c>
      <c r="H11" s="1931"/>
      <c r="I11" s="1931"/>
      <c r="J11" s="1931"/>
      <c r="K11" s="1932"/>
      <c r="L11" s="1933" t="s">
        <v>1130</v>
      </c>
      <c r="M11" s="1934"/>
      <c r="N11" s="1934"/>
      <c r="O11" s="1934"/>
      <c r="P11" s="1935"/>
      <c r="Q11" s="1929"/>
      <c r="R11" s="1926"/>
    </row>
    <row r="12" spans="1:25" ht="14.25" customHeight="1">
      <c r="A12" s="1926"/>
      <c r="B12" s="1432" t="s">
        <v>1131</v>
      </c>
      <c r="C12" s="1433"/>
      <c r="D12" s="1432" t="s">
        <v>1132</v>
      </c>
      <c r="E12" s="1434"/>
      <c r="F12" s="1936" t="s">
        <v>382</v>
      </c>
      <c r="G12" s="1432" t="s">
        <v>1131</v>
      </c>
      <c r="H12" s="1433"/>
      <c r="I12" s="1432" t="s">
        <v>1132</v>
      </c>
      <c r="J12" s="1434"/>
      <c r="K12" s="1936" t="s">
        <v>382</v>
      </c>
      <c r="L12" s="1435" t="s">
        <v>1131</v>
      </c>
      <c r="M12" s="1433"/>
      <c r="N12" s="1432" t="s">
        <v>1132</v>
      </c>
      <c r="O12" s="1434"/>
      <c r="P12" s="1936" t="s">
        <v>382</v>
      </c>
      <c r="Q12" s="1929"/>
      <c r="R12" s="1926"/>
    </row>
    <row r="13" spans="1:25" ht="14.25" customHeight="1">
      <c r="A13" s="1926"/>
      <c r="B13" s="1436" t="s">
        <v>1133</v>
      </c>
      <c r="C13" s="1437"/>
      <c r="D13" s="1436" t="s">
        <v>1134</v>
      </c>
      <c r="E13" s="1438"/>
      <c r="F13" s="1937"/>
      <c r="G13" s="1436" t="s">
        <v>1133</v>
      </c>
      <c r="H13" s="1437"/>
      <c r="I13" s="1436" t="s">
        <v>1134</v>
      </c>
      <c r="J13" s="1438"/>
      <c r="K13" s="1937"/>
      <c r="L13" s="1439" t="s">
        <v>1133</v>
      </c>
      <c r="M13" s="1437"/>
      <c r="N13" s="1436" t="s">
        <v>1134</v>
      </c>
      <c r="O13" s="1438"/>
      <c r="P13" s="1937"/>
      <c r="Q13" s="1938" t="s">
        <v>793</v>
      </c>
      <c r="R13" s="1926"/>
    </row>
    <row r="14" spans="1:25" ht="14.25" customHeight="1">
      <c r="A14" s="1926"/>
      <c r="B14" s="1440" t="s">
        <v>473</v>
      </c>
      <c r="C14" s="1440" t="s">
        <v>1135</v>
      </c>
      <c r="D14" s="1440" t="s">
        <v>473</v>
      </c>
      <c r="E14" s="1440" t="s">
        <v>1135</v>
      </c>
      <c r="F14" s="1940" t="s">
        <v>393</v>
      </c>
      <c r="G14" s="1440" t="s">
        <v>473</v>
      </c>
      <c r="H14" s="1440" t="s">
        <v>1135</v>
      </c>
      <c r="I14" s="1440" t="s">
        <v>473</v>
      </c>
      <c r="J14" s="1440" t="s">
        <v>1135</v>
      </c>
      <c r="K14" s="1940" t="s">
        <v>393</v>
      </c>
      <c r="L14" s="1441" t="s">
        <v>473</v>
      </c>
      <c r="M14" s="1440" t="s">
        <v>1135</v>
      </c>
      <c r="N14" s="1440" t="s">
        <v>473</v>
      </c>
      <c r="O14" s="1440" t="s">
        <v>1135</v>
      </c>
      <c r="P14" s="1940" t="s">
        <v>393</v>
      </c>
      <c r="Q14" s="1929"/>
      <c r="R14" s="1926"/>
    </row>
    <row r="15" spans="1:25" ht="14.25" customHeight="1">
      <c r="A15" s="1927"/>
      <c r="B15" s="1442" t="s">
        <v>147</v>
      </c>
      <c r="C15" s="1442" t="s">
        <v>1136</v>
      </c>
      <c r="D15" s="1442" t="s">
        <v>147</v>
      </c>
      <c r="E15" s="1443" t="s">
        <v>1136</v>
      </c>
      <c r="F15" s="1941"/>
      <c r="G15" s="1442" t="s">
        <v>147</v>
      </c>
      <c r="H15" s="1442" t="s">
        <v>1136</v>
      </c>
      <c r="I15" s="1442" t="s">
        <v>147</v>
      </c>
      <c r="J15" s="1443" t="s">
        <v>1136</v>
      </c>
      <c r="K15" s="1941"/>
      <c r="L15" s="1444" t="s">
        <v>147</v>
      </c>
      <c r="M15" s="1442" t="s">
        <v>1136</v>
      </c>
      <c r="N15" s="1442" t="s">
        <v>147</v>
      </c>
      <c r="O15" s="1443" t="s">
        <v>1136</v>
      </c>
      <c r="P15" s="1941"/>
      <c r="Q15" s="1939"/>
      <c r="R15" s="1927"/>
      <c r="T15" s="1427">
        <f>$T$16-SUM($T$17:$T$33)</f>
        <v>0</v>
      </c>
      <c r="U15" s="1427">
        <f>$U$16-SUM($U$17:$U$33)</f>
        <v>0</v>
      </c>
      <c r="V15" s="1427">
        <f>$V$16-SUM($V$17:$V$33)</f>
        <v>0</v>
      </c>
      <c r="W15" s="1427">
        <f>$W$16-SUM($W$17:$W$33)</f>
        <v>0</v>
      </c>
      <c r="X15" s="1427">
        <f>$X$16-SUM($X$17:$X$33)</f>
        <v>0</v>
      </c>
      <c r="Y15" s="1427"/>
    </row>
    <row r="16" spans="1:25" ht="28.5" customHeight="1">
      <c r="A16" s="1445" t="s">
        <v>393</v>
      </c>
      <c r="B16" s="650">
        <v>171.80851063829786</v>
      </c>
      <c r="C16" s="650">
        <v>198.96275452404257</v>
      </c>
      <c r="D16" s="650">
        <v>0</v>
      </c>
      <c r="E16" s="650">
        <v>205.9258925929787</v>
      </c>
      <c r="F16" s="650">
        <v>576.69715775531904</v>
      </c>
      <c r="G16" s="650">
        <v>13401.095815972027</v>
      </c>
      <c r="H16" s="650">
        <v>6830.2453556569144</v>
      </c>
      <c r="I16" s="650">
        <v>60.483221456378828</v>
      </c>
      <c r="J16" s="650">
        <v>6555.8652411945059</v>
      </c>
      <c r="K16" s="650">
        <v>26847.689634279825</v>
      </c>
      <c r="L16" s="650">
        <v>10529.565497233758</v>
      </c>
      <c r="M16" s="650">
        <v>10074.424225122271</v>
      </c>
      <c r="N16" s="650">
        <v>26.11400789074872</v>
      </c>
      <c r="O16" s="650">
        <v>18465.938346202551</v>
      </c>
      <c r="P16" s="650">
        <v>39096.042076449325</v>
      </c>
      <c r="Q16" s="650">
        <v>66520.42886848448</v>
      </c>
      <c r="R16" s="1446" t="s">
        <v>382</v>
      </c>
      <c r="S16" s="1427"/>
      <c r="T16" s="1427">
        <f>ROUND(B16,1)</f>
        <v>171.8</v>
      </c>
      <c r="U16" s="1427">
        <f t="shared" ref="U16:X16" si="0">ROUND(C16,1)</f>
        <v>199</v>
      </c>
      <c r="V16" s="1427">
        <f t="shared" si="0"/>
        <v>0</v>
      </c>
      <c r="W16" s="1427">
        <f t="shared" si="0"/>
        <v>205.9</v>
      </c>
      <c r="X16" s="1447">
        <f t="shared" si="0"/>
        <v>576.70000000000005</v>
      </c>
      <c r="Y16" s="1427">
        <f>ROUND(X16,1)-ROUND(W16,1)-ROUND(V16,1)-ROUND(U16,1)-ROUND(T16,1)</f>
        <v>0</v>
      </c>
    </row>
    <row r="17" spans="1:25" ht="32.85" customHeight="1">
      <c r="A17" s="1448" t="s">
        <v>1137</v>
      </c>
      <c r="B17" s="650">
        <v>0</v>
      </c>
      <c r="C17" s="650">
        <v>0</v>
      </c>
      <c r="D17" s="650">
        <v>0</v>
      </c>
      <c r="E17" s="650">
        <v>0</v>
      </c>
      <c r="F17" s="650">
        <v>0</v>
      </c>
      <c r="G17" s="650">
        <v>927.27867242553191</v>
      </c>
      <c r="H17" s="650">
        <v>364.89361702127655</v>
      </c>
      <c r="I17" s="650">
        <v>0</v>
      </c>
      <c r="J17" s="650">
        <v>58.244680851063826</v>
      </c>
      <c r="K17" s="650">
        <v>1350.4169702978722</v>
      </c>
      <c r="L17" s="650">
        <v>749.11103496276621</v>
      </c>
      <c r="M17" s="650">
        <v>125.50235369637281</v>
      </c>
      <c r="N17" s="650">
        <v>0</v>
      </c>
      <c r="O17" s="650">
        <v>271.15081514914328</v>
      </c>
      <c r="P17" s="650">
        <v>1145.7642038082822</v>
      </c>
      <c r="Q17" s="650">
        <v>2496.1811741061547</v>
      </c>
      <c r="R17" s="1449" t="s">
        <v>1138</v>
      </c>
      <c r="S17" s="1427"/>
      <c r="T17" s="1427">
        <f t="shared" ref="T17:T33" si="1">ROUND(B17,1)</f>
        <v>0</v>
      </c>
      <c r="U17" s="1427">
        <f t="shared" ref="U17:U33" si="2">ROUND(C17,1)</f>
        <v>0</v>
      </c>
      <c r="V17" s="1427">
        <f t="shared" ref="V17:V33" si="3">ROUND(D17,1)</f>
        <v>0</v>
      </c>
      <c r="W17" s="1427">
        <f t="shared" ref="W17:W33" si="4">ROUND(E17,1)</f>
        <v>0</v>
      </c>
      <c r="X17" s="1447">
        <f t="shared" ref="X17:X33" si="5">ROUND(F17,1)</f>
        <v>0</v>
      </c>
      <c r="Y17" s="1427">
        <f t="shared" ref="Y17:Y33" si="6">ROUND(X17,1)-ROUND(W17,1)-ROUND(V17,1)-ROUND(U17,1)-ROUND(T17,1)</f>
        <v>0</v>
      </c>
    </row>
    <row r="18" spans="1:25" ht="17.25" customHeight="1">
      <c r="A18" s="1450" t="s">
        <v>1139</v>
      </c>
      <c r="B18" s="650">
        <v>0</v>
      </c>
      <c r="C18" s="650">
        <v>0</v>
      </c>
      <c r="D18" s="650">
        <v>0</v>
      </c>
      <c r="E18" s="650">
        <v>0</v>
      </c>
      <c r="F18" s="650">
        <v>0</v>
      </c>
      <c r="G18" s="650">
        <v>84.574468085106389</v>
      </c>
      <c r="H18" s="650">
        <v>1721.3189736767731</v>
      </c>
      <c r="I18" s="650">
        <v>0</v>
      </c>
      <c r="J18" s="650">
        <v>185.14102756648938</v>
      </c>
      <c r="K18" s="650">
        <v>1991.0444693283689</v>
      </c>
      <c r="L18" s="650">
        <v>1523.8982951538298</v>
      </c>
      <c r="M18" s="650">
        <v>6561.4712571769951</v>
      </c>
      <c r="N18" s="650">
        <v>0</v>
      </c>
      <c r="O18" s="650">
        <v>9487.6154853865246</v>
      </c>
      <c r="P18" s="650">
        <v>17572.98503771735</v>
      </c>
      <c r="Q18" s="650">
        <v>19564.029507045718</v>
      </c>
      <c r="R18" s="1451" t="s">
        <v>1140</v>
      </c>
      <c r="S18" s="1427"/>
      <c r="T18" s="1427">
        <f t="shared" si="1"/>
        <v>0</v>
      </c>
      <c r="U18" s="1427">
        <f t="shared" si="2"/>
        <v>0</v>
      </c>
      <c r="V18" s="1427">
        <f t="shared" si="3"/>
        <v>0</v>
      </c>
      <c r="W18" s="1427">
        <f t="shared" si="4"/>
        <v>0</v>
      </c>
      <c r="X18" s="1447">
        <f t="shared" si="5"/>
        <v>0</v>
      </c>
      <c r="Y18" s="1427">
        <f t="shared" si="6"/>
        <v>0</v>
      </c>
    </row>
    <row r="19" spans="1:25" ht="17.45" customHeight="1">
      <c r="A19" s="1450" t="s">
        <v>1141</v>
      </c>
      <c r="B19" s="650">
        <v>171.80851063829786</v>
      </c>
      <c r="C19" s="650">
        <v>85.162967290000012</v>
      </c>
      <c r="D19" s="650">
        <v>0</v>
      </c>
      <c r="E19" s="650">
        <v>159.40333940148938</v>
      </c>
      <c r="F19" s="650">
        <v>416.35481732978724</v>
      </c>
      <c r="G19" s="650">
        <v>6292.5812698580521</v>
      </c>
      <c r="H19" s="650">
        <v>2650.4183306645127</v>
      </c>
      <c r="I19" s="650">
        <v>23.108818680851059</v>
      </c>
      <c r="J19" s="650">
        <v>4627.2300939787356</v>
      </c>
      <c r="K19" s="650">
        <v>13593.338513182152</v>
      </c>
      <c r="L19" s="650">
        <v>2404.8288915319145</v>
      </c>
      <c r="M19" s="650">
        <v>998.62881313427317</v>
      </c>
      <c r="N19" s="650">
        <v>0.26758078723404294</v>
      </c>
      <c r="O19" s="650">
        <v>1081.8982959690261</v>
      </c>
      <c r="P19" s="650">
        <v>4485.6235814224474</v>
      </c>
      <c r="Q19" s="650">
        <v>18495.286911934385</v>
      </c>
      <c r="R19" s="1451" t="s">
        <v>1142</v>
      </c>
      <c r="S19" s="1427"/>
      <c r="T19" s="1427">
        <f t="shared" si="1"/>
        <v>171.8</v>
      </c>
      <c r="U19" s="1427">
        <f t="shared" si="2"/>
        <v>85.2</v>
      </c>
      <c r="V19" s="1427">
        <f t="shared" si="3"/>
        <v>0</v>
      </c>
      <c r="W19" s="1427">
        <f t="shared" si="4"/>
        <v>159.4</v>
      </c>
      <c r="X19" s="1447">
        <f t="shared" si="5"/>
        <v>416.4</v>
      </c>
      <c r="Y19" s="1427">
        <f t="shared" si="6"/>
        <v>0</v>
      </c>
    </row>
    <row r="20" spans="1:25" ht="17.45" customHeight="1">
      <c r="A20" s="1450" t="s">
        <v>1143</v>
      </c>
      <c r="B20" s="650">
        <v>0</v>
      </c>
      <c r="C20" s="650">
        <v>0</v>
      </c>
      <c r="D20" s="650">
        <v>0</v>
      </c>
      <c r="E20" s="650">
        <v>9.0425531914893611</v>
      </c>
      <c r="F20" s="650">
        <v>9.0425531914893611</v>
      </c>
      <c r="G20" s="650">
        <v>4594.2771396595717</v>
      </c>
      <c r="H20" s="650">
        <v>828.92241025688736</v>
      </c>
      <c r="I20" s="650">
        <v>35.471039162234057</v>
      </c>
      <c r="J20" s="650">
        <v>400.45099501505229</v>
      </c>
      <c r="K20" s="650">
        <v>5859.1515840937445</v>
      </c>
      <c r="L20" s="650">
        <v>957.60251111436173</v>
      </c>
      <c r="M20" s="650">
        <v>271.99338244743154</v>
      </c>
      <c r="N20" s="650">
        <v>15.139574468085108</v>
      </c>
      <c r="O20" s="650">
        <v>28.213995377334282</v>
      </c>
      <c r="P20" s="650">
        <v>1272.9394634072125</v>
      </c>
      <c r="Q20" s="650">
        <v>7141.1336006924466</v>
      </c>
      <c r="R20" s="1451" t="s">
        <v>1144</v>
      </c>
      <c r="S20" s="1427"/>
      <c r="T20" s="1427">
        <f t="shared" si="1"/>
        <v>0</v>
      </c>
      <c r="U20" s="1427">
        <f t="shared" si="2"/>
        <v>0</v>
      </c>
      <c r="V20" s="1427">
        <f t="shared" si="3"/>
        <v>0</v>
      </c>
      <c r="W20" s="1427">
        <f t="shared" si="4"/>
        <v>9</v>
      </c>
      <c r="X20" s="1447">
        <f t="shared" si="5"/>
        <v>9</v>
      </c>
      <c r="Y20" s="1427">
        <f t="shared" si="6"/>
        <v>0</v>
      </c>
    </row>
    <row r="21" spans="1:25" ht="17.45" customHeight="1">
      <c r="A21" s="1450" t="s">
        <v>1145</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451" t="s">
        <v>1146</v>
      </c>
      <c r="S21" s="1427"/>
      <c r="T21" s="1427">
        <f t="shared" si="1"/>
        <v>0</v>
      </c>
      <c r="U21" s="1427">
        <f t="shared" si="2"/>
        <v>0</v>
      </c>
      <c r="V21" s="1427">
        <f t="shared" si="3"/>
        <v>0</v>
      </c>
      <c r="W21" s="1427">
        <f t="shared" si="4"/>
        <v>0</v>
      </c>
      <c r="X21" s="1447">
        <f t="shared" si="5"/>
        <v>0</v>
      </c>
      <c r="Y21" s="1427">
        <f t="shared" si="6"/>
        <v>0</v>
      </c>
    </row>
    <row r="22" spans="1:25" ht="17.25" customHeight="1">
      <c r="A22" s="1450" t="s">
        <v>1147</v>
      </c>
      <c r="B22" s="650">
        <v>0</v>
      </c>
      <c r="C22" s="650">
        <v>113.82978723404254</v>
      </c>
      <c r="D22" s="650">
        <v>0</v>
      </c>
      <c r="E22" s="650">
        <v>2.6595744680851063</v>
      </c>
      <c r="F22" s="650">
        <v>116.48936170212765</v>
      </c>
      <c r="G22" s="650">
        <v>800.91672136587999</v>
      </c>
      <c r="H22" s="650">
        <v>593.33994669079959</v>
      </c>
      <c r="I22" s="650">
        <v>0.10315138369508549</v>
      </c>
      <c r="J22" s="650">
        <v>21.06345425451757</v>
      </c>
      <c r="K22" s="650">
        <v>1415.4232736948925</v>
      </c>
      <c r="L22" s="650">
        <v>471.54925749050415</v>
      </c>
      <c r="M22" s="767">
        <v>113.38275261239222</v>
      </c>
      <c r="N22" s="767">
        <v>1.6792652410847454E-3</v>
      </c>
      <c r="O22" s="767">
        <v>242.35036193395956</v>
      </c>
      <c r="P22" s="650">
        <v>827.28405130209705</v>
      </c>
      <c r="Q22" s="650">
        <v>2359.196686699117</v>
      </c>
      <c r="R22" s="1451" t="s">
        <v>1148</v>
      </c>
      <c r="S22" s="1427"/>
      <c r="T22" s="1427">
        <f t="shared" si="1"/>
        <v>0</v>
      </c>
      <c r="U22" s="1427">
        <f t="shared" si="2"/>
        <v>113.8</v>
      </c>
      <c r="V22" s="1427">
        <f t="shared" si="3"/>
        <v>0</v>
      </c>
      <c r="W22" s="1427">
        <f t="shared" si="4"/>
        <v>2.7</v>
      </c>
      <c r="X22" s="1447">
        <f t="shared" si="5"/>
        <v>116.5</v>
      </c>
      <c r="Y22" s="1427">
        <f t="shared" si="6"/>
        <v>0</v>
      </c>
    </row>
    <row r="23" spans="1:25" ht="17.45" customHeight="1">
      <c r="A23" s="1450" t="s">
        <v>1149</v>
      </c>
      <c r="B23" s="650">
        <v>0</v>
      </c>
      <c r="C23" s="650">
        <v>0</v>
      </c>
      <c r="D23" s="650">
        <v>0</v>
      </c>
      <c r="E23" s="650">
        <v>2.3936170212765959</v>
      </c>
      <c r="F23" s="650">
        <v>2.3936170212765959</v>
      </c>
      <c r="G23" s="650">
        <v>188.93449660106384</v>
      </c>
      <c r="H23" s="650">
        <v>0</v>
      </c>
      <c r="I23" s="650">
        <v>2.6595745035942341E-9</v>
      </c>
      <c r="J23" s="650">
        <v>4.6609022207801836</v>
      </c>
      <c r="K23" s="650">
        <v>193.59539882450358</v>
      </c>
      <c r="L23" s="650">
        <v>108.77659574468085</v>
      </c>
      <c r="M23" s="650">
        <v>0</v>
      </c>
      <c r="N23" s="650">
        <v>0</v>
      </c>
      <c r="O23" s="650">
        <v>1.0170067692198175</v>
      </c>
      <c r="P23" s="650">
        <v>109.79360251390067</v>
      </c>
      <c r="Q23" s="650">
        <v>305.78261835968084</v>
      </c>
      <c r="R23" s="1451" t="s">
        <v>1150</v>
      </c>
      <c r="S23" s="1427"/>
      <c r="T23" s="1427">
        <f t="shared" si="1"/>
        <v>0</v>
      </c>
      <c r="U23" s="1427">
        <f t="shared" si="2"/>
        <v>0</v>
      </c>
      <c r="V23" s="1427">
        <f t="shared" si="3"/>
        <v>0</v>
      </c>
      <c r="W23" s="1427">
        <f t="shared" si="4"/>
        <v>2.4</v>
      </c>
      <c r="X23" s="1447">
        <f t="shared" si="5"/>
        <v>2.4</v>
      </c>
      <c r="Y23" s="1427">
        <f t="shared" si="6"/>
        <v>0</v>
      </c>
    </row>
    <row r="24" spans="1:25" ht="17.45" customHeight="1">
      <c r="A24" s="1450" t="s">
        <v>1151</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451" t="s">
        <v>1152</v>
      </c>
      <c r="S24" s="1427"/>
      <c r="T24" s="1427">
        <f t="shared" si="1"/>
        <v>0</v>
      </c>
      <c r="U24" s="1427">
        <f t="shared" si="2"/>
        <v>0</v>
      </c>
      <c r="V24" s="1427">
        <f t="shared" si="3"/>
        <v>0</v>
      </c>
      <c r="W24" s="1427">
        <f t="shared" si="4"/>
        <v>0</v>
      </c>
      <c r="X24" s="1447">
        <f t="shared" si="5"/>
        <v>0</v>
      </c>
      <c r="Y24" s="1427">
        <f t="shared" si="6"/>
        <v>0</v>
      </c>
    </row>
    <row r="25" spans="1:25" ht="17.45" customHeight="1">
      <c r="A25" s="1452" t="s">
        <v>1153</v>
      </c>
      <c r="B25" s="650">
        <v>0</v>
      </c>
      <c r="C25" s="650">
        <v>0.02</v>
      </c>
      <c r="D25" s="650">
        <v>0</v>
      </c>
      <c r="E25" s="650">
        <v>16.223404255319149</v>
      </c>
      <c r="F25" s="650">
        <v>16.223404255319149</v>
      </c>
      <c r="G25" s="650">
        <v>0</v>
      </c>
      <c r="H25" s="650">
        <v>0</v>
      </c>
      <c r="I25" s="650">
        <v>0</v>
      </c>
      <c r="J25" s="650">
        <v>0</v>
      </c>
      <c r="K25" s="650">
        <v>0</v>
      </c>
      <c r="L25" s="650">
        <v>19.42101564</v>
      </c>
      <c r="M25" s="650">
        <v>0</v>
      </c>
      <c r="N25" s="650">
        <v>0</v>
      </c>
      <c r="O25" s="650">
        <v>0</v>
      </c>
      <c r="P25" s="650">
        <v>19.42101564</v>
      </c>
      <c r="Q25" s="650">
        <v>35.644419895319146</v>
      </c>
      <c r="R25" s="1451" t="s">
        <v>1154</v>
      </c>
      <c r="S25" s="1427"/>
      <c r="T25" s="1427">
        <f t="shared" si="1"/>
        <v>0</v>
      </c>
      <c r="U25" s="1427">
        <f t="shared" si="2"/>
        <v>0</v>
      </c>
      <c r="V25" s="1427">
        <f t="shared" si="3"/>
        <v>0</v>
      </c>
      <c r="W25" s="1427">
        <f t="shared" si="4"/>
        <v>16.2</v>
      </c>
      <c r="X25" s="1447">
        <f t="shared" si="5"/>
        <v>16.2</v>
      </c>
      <c r="Y25" s="1427">
        <f t="shared" si="6"/>
        <v>0</v>
      </c>
    </row>
    <row r="26" spans="1:25" ht="17.45" customHeight="1">
      <c r="A26" s="1452" t="s">
        <v>844</v>
      </c>
      <c r="B26" s="650">
        <v>0</v>
      </c>
      <c r="C26" s="650">
        <v>0</v>
      </c>
      <c r="D26" s="650">
        <v>0</v>
      </c>
      <c r="E26" s="650">
        <v>0</v>
      </c>
      <c r="F26" s="650">
        <v>0</v>
      </c>
      <c r="G26" s="650">
        <v>3.0317805696657061</v>
      </c>
      <c r="H26" s="650">
        <v>101.0114479565667</v>
      </c>
      <c r="I26" s="650">
        <v>2.1774100959416486E-3</v>
      </c>
      <c r="J26" s="650">
        <v>992.17033632402695</v>
      </c>
      <c r="K26" s="650">
        <v>1096.2157422603552</v>
      </c>
      <c r="L26" s="650">
        <v>311.95662283286629</v>
      </c>
      <c r="M26" s="767">
        <v>76.138525716975295</v>
      </c>
      <c r="N26" s="767">
        <v>4.7510990405835117E-4</v>
      </c>
      <c r="O26" s="767">
        <v>238.80250292065719</v>
      </c>
      <c r="P26" s="650">
        <v>626.85812658040277</v>
      </c>
      <c r="Q26" s="650">
        <v>1723.073868840758</v>
      </c>
      <c r="R26" s="1453" t="s">
        <v>1155</v>
      </c>
      <c r="S26" s="1427"/>
      <c r="T26" s="1427">
        <f t="shared" si="1"/>
        <v>0</v>
      </c>
      <c r="U26" s="1427">
        <f t="shared" si="2"/>
        <v>0</v>
      </c>
      <c r="V26" s="1427">
        <f t="shared" si="3"/>
        <v>0</v>
      </c>
      <c r="W26" s="1427">
        <f t="shared" si="4"/>
        <v>0</v>
      </c>
      <c r="X26" s="1447">
        <f t="shared" si="5"/>
        <v>0</v>
      </c>
      <c r="Y26" s="1427">
        <f t="shared" si="6"/>
        <v>0</v>
      </c>
    </row>
    <row r="27" spans="1:25" ht="17.45" customHeight="1">
      <c r="A27" s="1452" t="s">
        <v>1156</v>
      </c>
      <c r="B27" s="650">
        <v>0</v>
      </c>
      <c r="C27" s="650">
        <v>0</v>
      </c>
      <c r="D27" s="650">
        <v>0</v>
      </c>
      <c r="E27" s="650">
        <v>0</v>
      </c>
      <c r="F27" s="650">
        <v>0</v>
      </c>
      <c r="G27" s="650">
        <v>0</v>
      </c>
      <c r="H27" s="650">
        <v>0</v>
      </c>
      <c r="I27" s="650">
        <v>0</v>
      </c>
      <c r="J27" s="650">
        <v>0</v>
      </c>
      <c r="K27" s="650">
        <v>0</v>
      </c>
      <c r="L27" s="1191">
        <v>0</v>
      </c>
      <c r="M27" s="650">
        <v>0</v>
      </c>
      <c r="N27" s="650">
        <v>0</v>
      </c>
      <c r="O27" s="650">
        <v>354.6</v>
      </c>
      <c r="P27" s="650">
        <v>354.6</v>
      </c>
      <c r="Q27" s="650">
        <v>354.6</v>
      </c>
      <c r="R27" s="1453" t="s">
        <v>1157</v>
      </c>
      <c r="S27" s="1427"/>
      <c r="T27" s="1427">
        <f t="shared" si="1"/>
        <v>0</v>
      </c>
      <c r="U27" s="1427">
        <f t="shared" si="2"/>
        <v>0</v>
      </c>
      <c r="V27" s="1427">
        <f t="shared" si="3"/>
        <v>0</v>
      </c>
      <c r="W27" s="1427">
        <f t="shared" si="4"/>
        <v>0</v>
      </c>
      <c r="X27" s="1447">
        <f t="shared" si="5"/>
        <v>0</v>
      </c>
      <c r="Y27" s="1427">
        <f t="shared" si="6"/>
        <v>0</v>
      </c>
    </row>
    <row r="28" spans="1:25" ht="17.45" customHeight="1">
      <c r="A28" s="1452" t="s">
        <v>1158</v>
      </c>
      <c r="B28" s="650">
        <v>0</v>
      </c>
      <c r="C28" s="650">
        <v>0</v>
      </c>
      <c r="D28" s="650">
        <v>0</v>
      </c>
      <c r="E28" s="650">
        <v>0</v>
      </c>
      <c r="F28" s="650">
        <v>0</v>
      </c>
      <c r="G28" s="650">
        <v>0</v>
      </c>
      <c r="H28" s="650">
        <v>0</v>
      </c>
      <c r="I28" s="650">
        <v>0</v>
      </c>
      <c r="J28" s="650">
        <v>0</v>
      </c>
      <c r="K28" s="650">
        <v>0</v>
      </c>
      <c r="L28" s="1191">
        <v>0</v>
      </c>
      <c r="M28" s="650">
        <v>10.8</v>
      </c>
      <c r="N28" s="650">
        <v>0</v>
      </c>
      <c r="O28" s="650">
        <v>0</v>
      </c>
      <c r="P28" s="650">
        <v>10.8</v>
      </c>
      <c r="Q28" s="650">
        <v>10.8</v>
      </c>
      <c r="R28" s="1453" t="s">
        <v>1159</v>
      </c>
      <c r="S28" s="1427"/>
      <c r="T28" s="1427">
        <f t="shared" si="1"/>
        <v>0</v>
      </c>
      <c r="U28" s="1427">
        <f t="shared" si="2"/>
        <v>0</v>
      </c>
      <c r="V28" s="1427">
        <f t="shared" si="3"/>
        <v>0</v>
      </c>
      <c r="W28" s="1427">
        <f t="shared" si="4"/>
        <v>0</v>
      </c>
      <c r="X28" s="1447">
        <f t="shared" si="5"/>
        <v>0</v>
      </c>
      <c r="Y28" s="1427">
        <f t="shared" si="6"/>
        <v>0</v>
      </c>
    </row>
    <row r="29" spans="1:25" ht="16.5" customHeight="1">
      <c r="A29" s="1452" t="s">
        <v>1160</v>
      </c>
      <c r="B29" s="650">
        <v>0</v>
      </c>
      <c r="C29" s="650">
        <v>0</v>
      </c>
      <c r="D29" s="650">
        <v>0</v>
      </c>
      <c r="E29" s="650">
        <v>0</v>
      </c>
      <c r="F29" s="650">
        <v>0</v>
      </c>
      <c r="G29" s="650">
        <v>0</v>
      </c>
      <c r="H29" s="650">
        <v>0</v>
      </c>
      <c r="I29" s="650">
        <v>0</v>
      </c>
      <c r="J29" s="650">
        <v>0</v>
      </c>
      <c r="K29" s="650">
        <v>0</v>
      </c>
      <c r="L29" s="650">
        <v>0.83005640691489369</v>
      </c>
      <c r="M29" s="650">
        <v>0</v>
      </c>
      <c r="N29" s="650">
        <v>0</v>
      </c>
      <c r="O29" s="650">
        <v>0</v>
      </c>
      <c r="P29" s="650">
        <v>0.83005640691489369</v>
      </c>
      <c r="Q29" s="650">
        <v>0.83005640691489369</v>
      </c>
      <c r="R29" s="1453" t="s">
        <v>1161</v>
      </c>
      <c r="S29" s="1427"/>
      <c r="T29" s="1427">
        <f t="shared" si="1"/>
        <v>0</v>
      </c>
      <c r="U29" s="1427">
        <f t="shared" si="2"/>
        <v>0</v>
      </c>
      <c r="V29" s="1427">
        <f t="shared" si="3"/>
        <v>0</v>
      </c>
      <c r="W29" s="1427">
        <f t="shared" si="4"/>
        <v>0</v>
      </c>
      <c r="X29" s="1447">
        <f t="shared" si="5"/>
        <v>0</v>
      </c>
      <c r="Y29" s="1427">
        <f t="shared" si="6"/>
        <v>0</v>
      </c>
    </row>
    <row r="30" spans="1:25" ht="32.85" customHeight="1">
      <c r="A30" s="1454" t="s">
        <v>1162</v>
      </c>
      <c r="B30" s="650">
        <v>0</v>
      </c>
      <c r="C30" s="650">
        <v>0</v>
      </c>
      <c r="D30" s="650">
        <v>0</v>
      </c>
      <c r="E30" s="650">
        <v>16.223404255319149</v>
      </c>
      <c r="F30" s="650">
        <v>16.223404255319149</v>
      </c>
      <c r="G30" s="650">
        <v>0</v>
      </c>
      <c r="H30" s="650">
        <v>497.4889764464458</v>
      </c>
      <c r="I30" s="650">
        <v>0</v>
      </c>
      <c r="J30" s="650">
        <v>3.3785277613284946E-2</v>
      </c>
      <c r="K30" s="650">
        <v>497.52276172405908</v>
      </c>
      <c r="L30" s="650">
        <v>1616.5558505771276</v>
      </c>
      <c r="M30" s="650">
        <v>380.53668079982504</v>
      </c>
      <c r="N30" s="650">
        <v>2.7939250000000002</v>
      </c>
      <c r="O30" s="650">
        <v>1609.5222108246653</v>
      </c>
      <c r="P30" s="650">
        <v>3609.4286672016183</v>
      </c>
      <c r="Q30" s="650">
        <v>4123.1448331809961</v>
      </c>
      <c r="R30" s="1455" t="s">
        <v>1163</v>
      </c>
      <c r="S30" s="1427"/>
      <c r="T30" s="1427">
        <f t="shared" si="1"/>
        <v>0</v>
      </c>
      <c r="U30" s="1427">
        <f t="shared" si="2"/>
        <v>0</v>
      </c>
      <c r="V30" s="1427">
        <f t="shared" si="3"/>
        <v>0</v>
      </c>
      <c r="W30" s="1427">
        <f t="shared" si="4"/>
        <v>16.2</v>
      </c>
      <c r="X30" s="1447">
        <f t="shared" si="5"/>
        <v>16.2</v>
      </c>
      <c r="Y30" s="1427">
        <f t="shared" si="6"/>
        <v>0</v>
      </c>
    </row>
    <row r="31" spans="1:25" ht="32.85" customHeight="1">
      <c r="A31" s="1454" t="s">
        <v>1164</v>
      </c>
      <c r="B31" s="1456"/>
      <c r="C31" s="1456"/>
      <c r="D31" s="1456"/>
      <c r="E31" s="1456"/>
      <c r="F31" s="1456"/>
      <c r="G31" s="1456"/>
      <c r="H31" s="1456"/>
      <c r="I31" s="1456"/>
      <c r="J31" s="1456"/>
      <c r="K31" s="1456"/>
      <c r="L31" s="650">
        <v>298.28345673501929</v>
      </c>
      <c r="M31" s="650">
        <v>72.387878865877653</v>
      </c>
      <c r="N31" s="650">
        <v>0</v>
      </c>
      <c r="O31" s="650">
        <v>0</v>
      </c>
      <c r="P31" s="650">
        <v>370.67133560089695</v>
      </c>
      <c r="Q31" s="650">
        <v>370.67133560089695</v>
      </c>
      <c r="R31" s="1455" t="s">
        <v>1165</v>
      </c>
      <c r="S31" s="1427"/>
      <c r="T31" s="1427">
        <f t="shared" si="1"/>
        <v>0</v>
      </c>
      <c r="U31" s="1427">
        <f t="shared" si="2"/>
        <v>0</v>
      </c>
      <c r="V31" s="1427">
        <f t="shared" si="3"/>
        <v>0</v>
      </c>
      <c r="W31" s="1427">
        <f t="shared" si="4"/>
        <v>0</v>
      </c>
      <c r="X31" s="1447">
        <f t="shared" si="5"/>
        <v>0</v>
      </c>
      <c r="Y31" s="1427">
        <f t="shared" si="6"/>
        <v>0</v>
      </c>
    </row>
    <row r="32" spans="1:25" ht="15">
      <c r="A32" s="1454" t="s">
        <v>1166</v>
      </c>
      <c r="B32" s="1457"/>
      <c r="C32" s="1457"/>
      <c r="D32" s="1457"/>
      <c r="E32" s="1457"/>
      <c r="F32" s="1457"/>
      <c r="G32" s="1457"/>
      <c r="H32" s="1457"/>
      <c r="I32" s="1457"/>
      <c r="J32" s="1457"/>
      <c r="K32" s="1457"/>
      <c r="L32" s="650">
        <v>206.79201734719538</v>
      </c>
      <c r="M32" s="767">
        <v>630.25845863910672</v>
      </c>
      <c r="N32" s="767">
        <v>0</v>
      </c>
      <c r="O32" s="767">
        <v>2393.9193072754533</v>
      </c>
      <c r="P32" s="650">
        <v>3230.9597832617555</v>
      </c>
      <c r="Q32" s="650">
        <v>3230.9597832617555</v>
      </c>
      <c r="R32" s="1455" t="s">
        <v>1167</v>
      </c>
      <c r="S32" s="1427"/>
      <c r="T32" s="1427">
        <f t="shared" si="1"/>
        <v>0</v>
      </c>
      <c r="U32" s="1427">
        <f t="shared" si="2"/>
        <v>0</v>
      </c>
      <c r="V32" s="1427">
        <f t="shared" si="3"/>
        <v>0</v>
      </c>
      <c r="W32" s="1427">
        <f t="shared" si="4"/>
        <v>0</v>
      </c>
      <c r="X32" s="1447">
        <f t="shared" si="5"/>
        <v>0</v>
      </c>
      <c r="Y32" s="1427">
        <f t="shared" si="6"/>
        <v>0</v>
      </c>
    </row>
    <row r="33" spans="1:25" ht="15">
      <c r="A33" s="1450" t="s">
        <v>400</v>
      </c>
      <c r="B33" s="650">
        <v>0</v>
      </c>
      <c r="C33" s="650">
        <v>0</v>
      </c>
      <c r="D33" s="650">
        <v>0</v>
      </c>
      <c r="E33" s="650">
        <v>0</v>
      </c>
      <c r="F33" s="650">
        <v>0</v>
      </c>
      <c r="G33" s="650">
        <v>509.50126740715552</v>
      </c>
      <c r="H33" s="650">
        <v>72.851652943651914</v>
      </c>
      <c r="I33" s="650">
        <v>1.7980348168431151</v>
      </c>
      <c r="J33" s="650">
        <v>266.85996570622689</v>
      </c>
      <c r="K33" s="650">
        <v>851.06092087387742</v>
      </c>
      <c r="L33" s="650">
        <v>1860.0098916965758</v>
      </c>
      <c r="M33" s="650">
        <v>833.33412203301964</v>
      </c>
      <c r="N33" s="650">
        <v>7.8907732602844272</v>
      </c>
      <c r="O33" s="650">
        <v>2756.8483645965689</v>
      </c>
      <c r="P33" s="650">
        <v>5458.0331515864482</v>
      </c>
      <c r="Q33" s="650">
        <v>6309.0940724603261</v>
      </c>
      <c r="R33" s="1451" t="s">
        <v>392</v>
      </c>
      <c r="S33" s="1427"/>
      <c r="T33" s="1427">
        <f t="shared" si="1"/>
        <v>0</v>
      </c>
      <c r="U33" s="1427">
        <f t="shared" si="2"/>
        <v>0</v>
      </c>
      <c r="V33" s="1427">
        <f t="shared" si="3"/>
        <v>0</v>
      </c>
      <c r="W33" s="1427">
        <f t="shared" si="4"/>
        <v>0</v>
      </c>
      <c r="X33" s="1447">
        <f t="shared" si="5"/>
        <v>0</v>
      </c>
      <c r="Y33" s="1427">
        <f t="shared" si="6"/>
        <v>0</v>
      </c>
    </row>
    <row r="34" spans="1:25">
      <c r="S34" s="1427"/>
      <c r="T34" s="1427"/>
      <c r="U34" s="1427"/>
      <c r="V34" s="1427"/>
      <c r="W34" s="1427"/>
      <c r="X34" s="1447"/>
      <c r="Y34" s="1427"/>
    </row>
    <row r="35" spans="1:25">
      <c r="G35" s="1427"/>
      <c r="H35" s="1427"/>
      <c r="I35" s="1427"/>
      <c r="J35" s="1427"/>
      <c r="K35" s="1427"/>
      <c r="M35" s="1427"/>
      <c r="N35" s="1427"/>
      <c r="O35" s="1427"/>
      <c r="P35" s="1427"/>
      <c r="Q35" s="1427"/>
      <c r="T35" s="1427"/>
      <c r="U35" s="1427"/>
      <c r="V35" s="1427"/>
      <c r="W35" s="1427"/>
      <c r="X35" s="1447"/>
    </row>
    <row r="42" spans="1:25" ht="14.25">
      <c r="A42" s="1418" t="s">
        <v>1168</v>
      </c>
      <c r="B42" s="1421"/>
      <c r="C42" s="1421"/>
      <c r="D42" s="1421"/>
      <c r="E42" s="1421"/>
      <c r="F42" s="1421"/>
      <c r="G42" s="1421"/>
      <c r="H42" s="1421"/>
      <c r="I42" s="1421"/>
      <c r="J42" s="1421"/>
      <c r="K42" s="1421"/>
      <c r="L42" s="1422"/>
      <c r="M42" s="1421"/>
      <c r="N42" s="1421"/>
      <c r="O42" s="1421"/>
      <c r="P42" s="1421"/>
      <c r="Q42" s="1421"/>
      <c r="R42" s="1421"/>
    </row>
    <row r="43" spans="1:25" ht="14.25">
      <c r="F43" s="1418"/>
      <c r="J43" s="1421"/>
      <c r="K43" s="1421"/>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tabSelected="1" zoomScaleNormal="100" workbookViewId="0">
      <pane ySplit="12" topLeftCell="A28" activePane="bottomLeft" state="frozen"/>
      <selection activeCell="N29" sqref="N29"/>
      <selection pane="bottomLeft" activeCell="N29" sqref="N29"/>
    </sheetView>
  </sheetViews>
  <sheetFormatPr defaultColWidth="8.85546875" defaultRowHeight="12.75"/>
  <cols>
    <col min="1" max="2" width="9.7109375" customWidth="1"/>
    <col min="3" max="3" width="8.85546875" customWidth="1"/>
    <col min="4" max="4" width="14.28515625" customWidth="1"/>
    <col min="5" max="5" width="13.7109375" customWidth="1"/>
    <col min="6" max="6" width="12.7109375" customWidth="1"/>
    <col min="7" max="7" width="11.85546875" customWidth="1"/>
    <col min="8" max="8" width="13.7109375" customWidth="1"/>
    <col min="9" max="9" width="11.28515625" customWidth="1"/>
    <col min="10" max="11" width="13.7109375" customWidth="1"/>
    <col min="12" max="13" width="12.7109375" customWidth="1"/>
    <col min="14" max="14" width="11.85546875" customWidth="1"/>
    <col min="15" max="15" width="11.7109375" customWidth="1"/>
    <col min="16" max="16" width="9.28515625" style="1261" customWidth="1"/>
  </cols>
  <sheetData>
    <row r="1" spans="1:25" s="23" customFormat="1" ht="18">
      <c r="A1" s="16" t="s">
        <v>1770</v>
      </c>
      <c r="B1" s="4"/>
      <c r="C1" s="4"/>
      <c r="D1" s="4"/>
      <c r="E1" s="4"/>
      <c r="F1" s="4"/>
      <c r="G1" s="4"/>
      <c r="H1" s="4"/>
      <c r="I1" s="4"/>
      <c r="J1" s="4"/>
      <c r="K1" s="4"/>
      <c r="L1" s="4"/>
      <c r="M1" s="4"/>
      <c r="N1" s="4"/>
      <c r="O1" s="4"/>
      <c r="P1" s="1253"/>
    </row>
    <row r="2" spans="1:25" s="23" customFormat="1" ht="18">
      <c r="A2" s="1254" t="s">
        <v>365</v>
      </c>
      <c r="B2" s="4"/>
      <c r="C2" s="4"/>
      <c r="D2" s="4"/>
      <c r="E2" s="4"/>
      <c r="F2" s="4"/>
      <c r="G2" s="4"/>
      <c r="H2" s="4"/>
      <c r="I2" s="4"/>
      <c r="J2" s="4"/>
      <c r="K2" s="4"/>
      <c r="L2" s="4"/>
      <c r="M2" s="4"/>
      <c r="N2" s="4"/>
      <c r="O2" s="4"/>
      <c r="P2" s="1253"/>
    </row>
    <row r="3" spans="1:25" s="23" customFormat="1" ht="19.5">
      <c r="A3" s="1255" t="s">
        <v>366</v>
      </c>
      <c r="B3" s="4"/>
      <c r="C3" s="4"/>
      <c r="D3" s="4"/>
      <c r="E3" s="4"/>
      <c r="F3" s="4"/>
      <c r="G3" s="4"/>
      <c r="H3" s="4"/>
      <c r="I3" s="4"/>
      <c r="J3" s="4"/>
      <c r="K3" s="4"/>
      <c r="L3" s="4"/>
      <c r="M3" s="4"/>
      <c r="N3" s="4"/>
      <c r="O3" s="4"/>
      <c r="P3" s="1253"/>
    </row>
    <row r="4" spans="1:25" s="23" customFormat="1" ht="18">
      <c r="A4" s="1254" t="s">
        <v>367</v>
      </c>
      <c r="B4" s="4"/>
      <c r="C4" s="4"/>
      <c r="D4" s="4"/>
      <c r="E4" s="4"/>
      <c r="F4" s="4"/>
      <c r="G4" s="4"/>
      <c r="H4" s="4"/>
      <c r="I4" s="4"/>
      <c r="J4" s="4"/>
      <c r="K4" s="4"/>
      <c r="L4" s="4"/>
      <c r="M4" s="4"/>
      <c r="N4" s="4"/>
      <c r="O4" s="4"/>
      <c r="P4" s="1253"/>
    </row>
    <row r="5" spans="1:25" s="23" customFormat="1" ht="19.5">
      <c r="A5" s="1255" t="s">
        <v>368</v>
      </c>
      <c r="B5" s="4"/>
      <c r="C5" s="4"/>
      <c r="D5" s="4"/>
      <c r="E5" s="4"/>
      <c r="F5" s="4"/>
      <c r="G5" s="4"/>
      <c r="H5" s="4"/>
      <c r="I5" s="4"/>
      <c r="J5" s="4"/>
      <c r="K5" s="4"/>
      <c r="L5" s="4"/>
      <c r="M5" s="4"/>
      <c r="N5" s="4"/>
      <c r="O5" s="4"/>
      <c r="P5" s="1253"/>
    </row>
    <row r="6" spans="1:25" s="8" customFormat="1" ht="1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388</v>
      </c>
      <c r="D10" s="59" t="s">
        <v>389</v>
      </c>
      <c r="E10" s="61" t="s">
        <v>390</v>
      </c>
      <c r="F10" s="61" t="s">
        <v>391</v>
      </c>
      <c r="G10" s="205" t="s">
        <v>392</v>
      </c>
      <c r="H10" s="173" t="s">
        <v>393</v>
      </c>
      <c r="I10" s="312" t="s">
        <v>375</v>
      </c>
      <c r="J10" s="310" t="s">
        <v>394</v>
      </c>
      <c r="K10" s="61" t="s">
        <v>395</v>
      </c>
      <c r="L10" s="59" t="s">
        <v>391</v>
      </c>
      <c r="M10" s="61" t="s">
        <v>396</v>
      </c>
      <c r="N10" s="205" t="s">
        <v>392</v>
      </c>
      <c r="O10" s="61" t="s">
        <v>397</v>
      </c>
      <c r="P10" s="240"/>
    </row>
    <row r="11" spans="1:25" s="39" customFormat="1" ht="18" customHeight="1">
      <c r="A11" s="97"/>
      <c r="B11" s="60"/>
      <c r="C11" s="126" t="s">
        <v>398</v>
      </c>
      <c r="D11" s="84" t="s">
        <v>380</v>
      </c>
      <c r="E11" s="110" t="s">
        <v>399</v>
      </c>
      <c r="F11" s="110" t="s">
        <v>399</v>
      </c>
      <c r="G11" s="83" t="s">
        <v>400</v>
      </c>
      <c r="H11" s="173"/>
      <c r="I11" s="84" t="s">
        <v>380</v>
      </c>
      <c r="J11" s="83" t="s">
        <v>401</v>
      </c>
      <c r="K11" s="83" t="s">
        <v>402</v>
      </c>
      <c r="L11" s="83" t="s">
        <v>403</v>
      </c>
      <c r="M11" s="110" t="s">
        <v>402</v>
      </c>
      <c r="N11" s="110" t="s">
        <v>400</v>
      </c>
      <c r="O11" s="110" t="s">
        <v>404</v>
      </c>
      <c r="P11" s="241"/>
    </row>
    <row r="12" spans="1:25" s="34" customFormat="1" ht="18" customHeight="1">
      <c r="A12" s="65"/>
      <c r="B12" s="66"/>
      <c r="C12" s="207"/>
      <c r="D12" s="89" t="s">
        <v>405</v>
      </c>
      <c r="E12" s="90" t="s">
        <v>406</v>
      </c>
      <c r="F12" s="90" t="s">
        <v>407</v>
      </c>
      <c r="G12" s="90"/>
      <c r="H12" s="212"/>
      <c r="I12" s="89"/>
      <c r="J12" s="90" t="s">
        <v>408</v>
      </c>
      <c r="K12" s="90" t="s">
        <v>406</v>
      </c>
      <c r="L12" s="90" t="s">
        <v>409</v>
      </c>
      <c r="M12" s="90" t="s">
        <v>410</v>
      </c>
      <c r="N12" s="90"/>
      <c r="O12" s="90" t="s">
        <v>411</v>
      </c>
      <c r="P12" s="242"/>
    </row>
    <row r="13" spans="1:25" s="306" customFormat="1" ht="20.25" customHeight="1">
      <c r="A13" s="405">
        <v>2015</v>
      </c>
      <c r="B13" s="1730"/>
      <c r="C13" s="1731">
        <v>2.5</v>
      </c>
      <c r="D13" s="1539">
        <v>1168.9000000000001</v>
      </c>
      <c r="E13" s="784">
        <v>380.2</v>
      </c>
      <c r="F13" s="1732">
        <v>496.7</v>
      </c>
      <c r="G13" s="802">
        <v>442.6</v>
      </c>
      <c r="H13" s="1733">
        <v>2490.9</v>
      </c>
      <c r="I13" s="1567">
        <v>0</v>
      </c>
      <c r="J13" s="1734">
        <v>650.1</v>
      </c>
      <c r="K13" s="784">
        <v>1267.5999999999999</v>
      </c>
      <c r="L13" s="1735">
        <v>0.6</v>
      </c>
      <c r="M13" s="1736">
        <v>0</v>
      </c>
      <c r="N13" s="1735">
        <v>112.9</v>
      </c>
      <c r="O13" s="1737">
        <v>459.7</v>
      </c>
      <c r="P13" s="778"/>
    </row>
    <row r="14" spans="1:25" s="1033" customFormat="1" ht="14.25" customHeight="1">
      <c r="A14" s="1257">
        <v>2016</v>
      </c>
      <c r="B14" s="1117"/>
      <c r="C14" s="674">
        <v>2.5</v>
      </c>
      <c r="D14" s="674">
        <v>815.9</v>
      </c>
      <c r="E14" s="837">
        <v>365.3</v>
      </c>
      <c r="F14" s="838">
        <v>990.6</v>
      </c>
      <c r="G14" s="839">
        <v>484.8</v>
      </c>
      <c r="H14" s="1108">
        <v>2659.1000000000004</v>
      </c>
      <c r="I14" s="1109">
        <v>0</v>
      </c>
      <c r="J14" s="836">
        <v>670.6</v>
      </c>
      <c r="K14" s="837">
        <v>1086.8</v>
      </c>
      <c r="L14" s="840">
        <v>5.0999999999999996</v>
      </c>
      <c r="M14" s="743">
        <v>0</v>
      </c>
      <c r="N14" s="841">
        <v>389.6</v>
      </c>
      <c r="O14" s="842">
        <v>507</v>
      </c>
      <c r="P14" s="778"/>
      <c r="Q14" s="321"/>
      <c r="R14" s="321"/>
      <c r="S14" s="321"/>
      <c r="T14" s="321"/>
      <c r="U14" s="321"/>
      <c r="V14" s="321"/>
      <c r="W14" s="321"/>
      <c r="X14" s="321"/>
      <c r="Y14" s="321"/>
    </row>
    <row r="15" spans="1:25" s="1033" customFormat="1" ht="14.25" customHeight="1">
      <c r="A15" s="1257">
        <v>2017</v>
      </c>
      <c r="B15" s="1117"/>
      <c r="C15" s="674">
        <v>2.5</v>
      </c>
      <c r="D15" s="674">
        <v>880.6</v>
      </c>
      <c r="E15" s="837">
        <v>252.6</v>
      </c>
      <c r="F15" s="838">
        <v>1024</v>
      </c>
      <c r="G15" s="839">
        <v>549.5</v>
      </c>
      <c r="H15" s="1108">
        <v>2709.2</v>
      </c>
      <c r="I15" s="1109">
        <v>0</v>
      </c>
      <c r="J15" s="836">
        <v>662.7</v>
      </c>
      <c r="K15" s="837">
        <v>1218.8</v>
      </c>
      <c r="L15" s="840">
        <v>10.7</v>
      </c>
      <c r="M15" s="743">
        <v>0</v>
      </c>
      <c r="N15" s="841">
        <v>321.10000000000002</v>
      </c>
      <c r="O15" s="842">
        <v>495.9</v>
      </c>
      <c r="P15" s="778"/>
      <c r="Q15" s="321"/>
      <c r="R15" s="321"/>
      <c r="S15" s="321"/>
      <c r="T15" s="321"/>
      <c r="U15" s="321"/>
      <c r="V15" s="321"/>
      <c r="W15" s="321"/>
      <c r="X15" s="321"/>
      <c r="Y15" s="321"/>
    </row>
    <row r="16" spans="1:25" s="321" customFormat="1" ht="14.25" customHeight="1">
      <c r="A16" s="747">
        <v>2018</v>
      </c>
      <c r="B16" s="1107"/>
      <c r="C16" s="674">
        <v>2.5</v>
      </c>
      <c r="D16" s="674">
        <v>699.8</v>
      </c>
      <c r="E16" s="837">
        <v>130.9</v>
      </c>
      <c r="F16" s="838">
        <v>1005.6</v>
      </c>
      <c r="G16" s="839">
        <v>617.70000000000005</v>
      </c>
      <c r="H16" s="1108">
        <v>2456.5</v>
      </c>
      <c r="I16" s="1109">
        <v>0</v>
      </c>
      <c r="J16" s="836">
        <v>681.7</v>
      </c>
      <c r="K16" s="837">
        <v>1028.7</v>
      </c>
      <c r="L16" s="840">
        <v>5.9</v>
      </c>
      <c r="M16" s="743">
        <v>0</v>
      </c>
      <c r="N16" s="841">
        <v>199.1</v>
      </c>
      <c r="O16" s="842">
        <v>541.1</v>
      </c>
      <c r="P16" s="778"/>
    </row>
    <row r="17" spans="1:16" s="321" customFormat="1" ht="14.25" customHeight="1">
      <c r="A17" s="747">
        <v>2019</v>
      </c>
      <c r="B17" s="1107"/>
      <c r="C17" s="674">
        <v>2.5</v>
      </c>
      <c r="D17" s="674">
        <v>1276.0999999999999</v>
      </c>
      <c r="E17" s="837">
        <v>415</v>
      </c>
      <c r="F17" s="838">
        <v>1085.9000000000001</v>
      </c>
      <c r="G17" s="839">
        <v>418.3</v>
      </c>
      <c r="H17" s="1108">
        <v>3197.8</v>
      </c>
      <c r="I17" s="1109">
        <v>0</v>
      </c>
      <c r="J17" s="836">
        <v>687.1</v>
      </c>
      <c r="K17" s="837">
        <v>1603.1</v>
      </c>
      <c r="L17" s="840">
        <v>4.2</v>
      </c>
      <c r="M17" s="743">
        <v>0</v>
      </c>
      <c r="N17" s="841">
        <v>317.39999999999998</v>
      </c>
      <c r="O17" s="842">
        <v>586</v>
      </c>
      <c r="P17" s="778"/>
    </row>
    <row r="18" spans="1:16" s="321" customFormat="1" ht="14.25" customHeight="1">
      <c r="A18" s="747">
        <v>2020</v>
      </c>
      <c r="B18" s="1107"/>
      <c r="C18" s="674">
        <v>2.5</v>
      </c>
      <c r="D18" s="674">
        <v>732</v>
      </c>
      <c r="E18" s="837">
        <v>162.1</v>
      </c>
      <c r="F18" s="838">
        <v>1778.8</v>
      </c>
      <c r="G18" s="839">
        <v>348.4</v>
      </c>
      <c r="H18" s="1108">
        <v>3023.8</v>
      </c>
      <c r="I18" s="1109">
        <v>0</v>
      </c>
      <c r="J18" s="836">
        <v>745.1</v>
      </c>
      <c r="K18" s="837">
        <v>1408.5</v>
      </c>
      <c r="L18" s="840">
        <v>4.9000000000000004</v>
      </c>
      <c r="M18" s="743">
        <v>0</v>
      </c>
      <c r="N18" s="841">
        <v>269.7</v>
      </c>
      <c r="O18" s="842">
        <v>595.6</v>
      </c>
      <c r="P18" s="778"/>
    </row>
    <row r="19" spans="1:16" s="321" customFormat="1" ht="14.25" customHeight="1">
      <c r="A19" s="747">
        <v>2021</v>
      </c>
      <c r="B19" s="1107"/>
      <c r="C19" s="674">
        <v>2.5</v>
      </c>
      <c r="D19" s="674">
        <v>1468.6</v>
      </c>
      <c r="E19" s="837">
        <v>421.7</v>
      </c>
      <c r="F19" s="838">
        <v>1797.8</v>
      </c>
      <c r="G19" s="839">
        <v>439</v>
      </c>
      <c r="H19" s="1108">
        <v>4129.6000000000004</v>
      </c>
      <c r="I19" s="1109">
        <v>0</v>
      </c>
      <c r="J19" s="836">
        <v>704</v>
      </c>
      <c r="K19" s="837">
        <v>2335.1</v>
      </c>
      <c r="L19" s="840">
        <v>203.5</v>
      </c>
      <c r="M19" s="743">
        <v>0</v>
      </c>
      <c r="N19" s="841">
        <v>282.3</v>
      </c>
      <c r="O19" s="842">
        <v>604.70000000000005</v>
      </c>
      <c r="P19" s="778"/>
    </row>
    <row r="20" spans="1:16" s="321" customFormat="1" ht="14.25" customHeight="1">
      <c r="A20" s="747">
        <v>2022</v>
      </c>
      <c r="B20" s="1107"/>
      <c r="C20" s="674">
        <v>2.5</v>
      </c>
      <c r="D20" s="674">
        <v>1401.6</v>
      </c>
      <c r="E20" s="837">
        <v>276</v>
      </c>
      <c r="F20" s="838">
        <v>2773.8</v>
      </c>
      <c r="G20" s="839">
        <v>384</v>
      </c>
      <c r="H20" s="1108">
        <v>4837.8999999999996</v>
      </c>
      <c r="I20" s="1109">
        <v>0</v>
      </c>
      <c r="J20" s="836">
        <v>684.4</v>
      </c>
      <c r="K20" s="837">
        <v>3224.4</v>
      </c>
      <c r="L20" s="840">
        <v>6.4</v>
      </c>
      <c r="M20" s="743">
        <v>0</v>
      </c>
      <c r="N20" s="841">
        <v>300</v>
      </c>
      <c r="O20" s="842">
        <v>622.70000000000005</v>
      </c>
      <c r="P20" s="778"/>
    </row>
    <row r="21" spans="1:16" s="321" customFormat="1" ht="14.25" customHeight="1">
      <c r="A21" s="747">
        <v>2023</v>
      </c>
      <c r="B21" s="1107"/>
      <c r="C21" s="674">
        <v>2.5</v>
      </c>
      <c r="D21" s="674">
        <v>1512.7</v>
      </c>
      <c r="E21" s="837">
        <v>490</v>
      </c>
      <c r="F21" s="838">
        <v>3477.4</v>
      </c>
      <c r="G21" s="839">
        <v>552.9</v>
      </c>
      <c r="H21" s="1108">
        <v>6035.5</v>
      </c>
      <c r="I21" s="1109">
        <v>0</v>
      </c>
      <c r="J21" s="836">
        <v>667.8</v>
      </c>
      <c r="K21" s="837">
        <v>4468.5</v>
      </c>
      <c r="L21" s="840">
        <v>2.8</v>
      </c>
      <c r="M21" s="743">
        <v>0</v>
      </c>
      <c r="N21" s="841">
        <v>217.3</v>
      </c>
      <c r="O21" s="842">
        <v>679.1</v>
      </c>
      <c r="P21" s="778"/>
    </row>
    <row r="22" spans="1:16" s="321" customFormat="1" ht="14.25" customHeight="1">
      <c r="A22" s="907">
        <v>2024</v>
      </c>
      <c r="B22" s="970"/>
      <c r="C22" s="971">
        <v>2.5</v>
      </c>
      <c r="D22" s="971">
        <v>1425</v>
      </c>
      <c r="E22" s="972">
        <v>96.1</v>
      </c>
      <c r="F22" s="973">
        <v>4294.7</v>
      </c>
      <c r="G22" s="974">
        <v>621.70000000000005</v>
      </c>
      <c r="H22" s="975">
        <f t="shared" ref="H22" si="0">SUM(C22:G22)</f>
        <v>6439.9999999999991</v>
      </c>
      <c r="I22" s="976">
        <v>0</v>
      </c>
      <c r="J22" s="977">
        <v>670.8</v>
      </c>
      <c r="K22" s="972">
        <v>4774.8999999999996</v>
      </c>
      <c r="L22" s="978">
        <v>6.6</v>
      </c>
      <c r="M22" s="979">
        <v>0</v>
      </c>
      <c r="N22" s="980">
        <v>254.8</v>
      </c>
      <c r="O22" s="981">
        <v>732.9</v>
      </c>
      <c r="P22" s="778"/>
    </row>
    <row r="23" spans="1:16" s="321" customFormat="1" ht="21" customHeight="1">
      <c r="A23" s="747">
        <v>2023</v>
      </c>
      <c r="B23" s="1107" t="s">
        <v>238</v>
      </c>
      <c r="C23" s="1738">
        <v>2.5</v>
      </c>
      <c r="D23" s="674">
        <v>1512.7</v>
      </c>
      <c r="E23" s="1739">
        <v>490</v>
      </c>
      <c r="F23" s="838">
        <v>3477.4</v>
      </c>
      <c r="G23" s="839">
        <v>552.9</v>
      </c>
      <c r="H23" s="1108">
        <v>6035.5</v>
      </c>
      <c r="I23" s="1109">
        <v>0</v>
      </c>
      <c r="J23" s="836">
        <v>667.8</v>
      </c>
      <c r="K23" s="837">
        <v>4468.5</v>
      </c>
      <c r="L23" s="840">
        <v>2.8</v>
      </c>
      <c r="M23" s="743">
        <v>0</v>
      </c>
      <c r="N23" s="841">
        <v>217.3</v>
      </c>
      <c r="O23" s="842">
        <v>679.1</v>
      </c>
      <c r="P23" s="778"/>
    </row>
    <row r="24" spans="1:16" s="321" customFormat="1" ht="21" customHeight="1">
      <c r="A24" s="747">
        <v>2024</v>
      </c>
      <c r="B24" s="1107" t="s">
        <v>239</v>
      </c>
      <c r="C24" s="674">
        <v>2.5</v>
      </c>
      <c r="D24" s="674">
        <v>1515.9</v>
      </c>
      <c r="E24" s="837">
        <v>593.79999999999995</v>
      </c>
      <c r="F24" s="838">
        <v>3634.8</v>
      </c>
      <c r="G24" s="839">
        <v>565</v>
      </c>
      <c r="H24" s="1108">
        <v>6312</v>
      </c>
      <c r="I24" s="1109">
        <v>0</v>
      </c>
      <c r="J24" s="836">
        <v>700.1</v>
      </c>
      <c r="K24" s="837">
        <v>4380.5</v>
      </c>
      <c r="L24" s="840">
        <v>306.7</v>
      </c>
      <c r="M24" s="743">
        <v>0</v>
      </c>
      <c r="N24" s="841">
        <v>227.6</v>
      </c>
      <c r="O24" s="842">
        <v>697.1</v>
      </c>
      <c r="P24" s="778"/>
    </row>
    <row r="25" spans="1:16" s="321" customFormat="1" ht="15" customHeight="1">
      <c r="A25" s="747"/>
      <c r="B25" s="1107" t="s">
        <v>240</v>
      </c>
      <c r="C25" s="674">
        <v>2.5</v>
      </c>
      <c r="D25" s="674">
        <v>1505</v>
      </c>
      <c r="E25" s="837">
        <v>91.4</v>
      </c>
      <c r="F25" s="838">
        <v>4346.3999999999996</v>
      </c>
      <c r="G25" s="839">
        <v>639.5</v>
      </c>
      <c r="H25" s="1108">
        <v>6584.7999999999993</v>
      </c>
      <c r="I25" s="1109">
        <v>0</v>
      </c>
      <c r="J25" s="836">
        <v>695</v>
      </c>
      <c r="K25" s="837">
        <v>4956.1000000000004</v>
      </c>
      <c r="L25" s="840">
        <v>14.3</v>
      </c>
      <c r="M25" s="743">
        <v>0</v>
      </c>
      <c r="N25" s="841">
        <v>203.2</v>
      </c>
      <c r="O25" s="842">
        <v>716.2</v>
      </c>
      <c r="P25" s="778"/>
    </row>
    <row r="26" spans="1:16" s="321" customFormat="1" ht="15" customHeight="1">
      <c r="A26" s="747"/>
      <c r="B26" s="1107" t="s">
        <v>237</v>
      </c>
      <c r="C26" s="674">
        <v>2.5</v>
      </c>
      <c r="D26" s="674">
        <v>1909.7</v>
      </c>
      <c r="E26" s="837">
        <v>91.5</v>
      </c>
      <c r="F26" s="838">
        <v>4473.8999999999996</v>
      </c>
      <c r="G26" s="839">
        <v>626.1</v>
      </c>
      <c r="H26" s="1108">
        <v>7103.7</v>
      </c>
      <c r="I26" s="1109">
        <v>0</v>
      </c>
      <c r="J26" s="836">
        <v>672.7</v>
      </c>
      <c r="K26" s="837">
        <v>5441.1</v>
      </c>
      <c r="L26" s="840">
        <v>7.3</v>
      </c>
      <c r="M26" s="743">
        <v>0</v>
      </c>
      <c r="N26" s="841">
        <v>252.5</v>
      </c>
      <c r="O26" s="842">
        <v>730.1</v>
      </c>
      <c r="P26" s="778"/>
    </row>
    <row r="27" spans="1:16" s="321" customFormat="1" ht="15" customHeight="1">
      <c r="A27" s="747"/>
      <c r="B27" s="1107" t="s">
        <v>238</v>
      </c>
      <c r="C27" s="674">
        <v>2.5</v>
      </c>
      <c r="D27" s="674">
        <v>1425</v>
      </c>
      <c r="E27" s="837">
        <v>96.1</v>
      </c>
      <c r="F27" s="838">
        <v>4294.7</v>
      </c>
      <c r="G27" s="839">
        <v>621.70000000000005</v>
      </c>
      <c r="H27" s="1108">
        <v>6439.9999999999991</v>
      </c>
      <c r="I27" s="1109">
        <v>0</v>
      </c>
      <c r="J27" s="836">
        <v>670.8</v>
      </c>
      <c r="K27" s="837">
        <v>4774.8999999999996</v>
      </c>
      <c r="L27" s="840">
        <v>6.6</v>
      </c>
      <c r="M27" s="743">
        <v>0</v>
      </c>
      <c r="N27" s="841">
        <v>254.8</v>
      </c>
      <c r="O27" s="842">
        <v>732.9</v>
      </c>
      <c r="P27" s="778"/>
    </row>
    <row r="28" spans="1:16" s="321" customFormat="1" ht="21" customHeight="1">
      <c r="A28" s="747">
        <v>2025</v>
      </c>
      <c r="B28" s="1107" t="s">
        <v>239</v>
      </c>
      <c r="C28" s="674">
        <v>2.5</v>
      </c>
      <c r="D28" s="674">
        <v>1048.8</v>
      </c>
      <c r="E28" s="837">
        <v>32</v>
      </c>
      <c r="F28" s="838">
        <v>5519.1</v>
      </c>
      <c r="G28" s="839">
        <v>556.1</v>
      </c>
      <c r="H28" s="1108">
        <f t="shared" ref="H28" si="1">SUM(C28:G28)</f>
        <v>7158.5000000000009</v>
      </c>
      <c r="I28" s="1109">
        <v>0</v>
      </c>
      <c r="J28" s="836">
        <v>704.5</v>
      </c>
      <c r="K28" s="837">
        <v>5352.3</v>
      </c>
      <c r="L28" s="840">
        <v>96.2</v>
      </c>
      <c r="M28" s="743">
        <v>0</v>
      </c>
      <c r="N28" s="841">
        <v>260.10000000000002</v>
      </c>
      <c r="O28" s="842">
        <v>745.4</v>
      </c>
      <c r="P28" s="778"/>
    </row>
    <row r="29" spans="1:16" s="321" customFormat="1" ht="15" customHeight="1">
      <c r="A29" s="747"/>
      <c r="B29" s="1107" t="s">
        <v>240</v>
      </c>
      <c r="C29" s="674">
        <f>C39</f>
        <v>2.5</v>
      </c>
      <c r="D29" s="674">
        <f t="shared" ref="D29:O29" si="2">D39</f>
        <v>1432.5</v>
      </c>
      <c r="E29" s="837">
        <f t="shared" si="2"/>
        <v>21.2</v>
      </c>
      <c r="F29" s="838">
        <f t="shared" si="2"/>
        <v>4985.1000000000004</v>
      </c>
      <c r="G29" s="839">
        <f t="shared" si="2"/>
        <v>379.2</v>
      </c>
      <c r="H29" s="1108">
        <f t="shared" si="2"/>
        <v>6820.5</v>
      </c>
      <c r="I29" s="1109">
        <v>0</v>
      </c>
      <c r="J29" s="836">
        <f t="shared" si="2"/>
        <v>705.9</v>
      </c>
      <c r="K29" s="837">
        <f t="shared" si="2"/>
        <v>5018.1000000000004</v>
      </c>
      <c r="L29" s="840">
        <f t="shared" si="2"/>
        <v>104.4</v>
      </c>
      <c r="M29" s="743">
        <f t="shared" si="2"/>
        <v>0</v>
      </c>
      <c r="N29" s="841">
        <f t="shared" si="2"/>
        <v>237.3</v>
      </c>
      <c r="O29" s="842">
        <f t="shared" si="2"/>
        <v>754.8</v>
      </c>
      <c r="P29" s="778"/>
    </row>
    <row r="30" spans="1:16" s="321" customFormat="1" ht="15" customHeight="1">
      <c r="A30" s="907"/>
      <c r="B30" s="970" t="s">
        <v>237</v>
      </c>
      <c r="C30" s="971">
        <f t="shared" ref="C30:H30" si="3">C42</f>
        <v>2.5</v>
      </c>
      <c r="D30" s="971">
        <f t="shared" si="3"/>
        <v>1220.9000000000001</v>
      </c>
      <c r="E30" s="972">
        <f t="shared" si="3"/>
        <v>21.6</v>
      </c>
      <c r="F30" s="973">
        <f t="shared" si="3"/>
        <v>4429.3</v>
      </c>
      <c r="G30" s="974">
        <f t="shared" si="3"/>
        <v>461.4</v>
      </c>
      <c r="H30" s="975">
        <f t="shared" si="3"/>
        <v>6135.7</v>
      </c>
      <c r="I30" s="976">
        <v>0</v>
      </c>
      <c r="J30" s="977">
        <f t="shared" ref="J30:O30" si="4">J42</f>
        <v>679.5</v>
      </c>
      <c r="K30" s="972">
        <f t="shared" si="4"/>
        <v>4445.2</v>
      </c>
      <c r="L30" s="978">
        <f t="shared" si="4"/>
        <v>1.2</v>
      </c>
      <c r="M30" s="979">
        <f t="shared" si="4"/>
        <v>0</v>
      </c>
      <c r="N30" s="980">
        <f t="shared" si="4"/>
        <v>246.6</v>
      </c>
      <c r="O30" s="981">
        <f t="shared" si="4"/>
        <v>763.2</v>
      </c>
      <c r="P30" s="778"/>
    </row>
    <row r="31" spans="1:16" s="321" customFormat="1" ht="21" customHeight="1">
      <c r="A31" s="747">
        <v>2024</v>
      </c>
      <c r="B31" s="748" t="s">
        <v>412</v>
      </c>
      <c r="C31" s="674">
        <v>2.5</v>
      </c>
      <c r="D31" s="674">
        <v>1592.2</v>
      </c>
      <c r="E31" s="837">
        <v>91.6</v>
      </c>
      <c r="F31" s="838">
        <v>4722.8</v>
      </c>
      <c r="G31" s="839">
        <v>605.5</v>
      </c>
      <c r="H31" s="1108">
        <v>7014.6</v>
      </c>
      <c r="I31" s="1109">
        <v>0</v>
      </c>
      <c r="J31" s="836">
        <v>678.3</v>
      </c>
      <c r="K31" s="837">
        <v>5349.2</v>
      </c>
      <c r="L31" s="840">
        <v>2.2999999999999998</v>
      </c>
      <c r="M31" s="743">
        <v>0</v>
      </c>
      <c r="N31" s="841">
        <v>251</v>
      </c>
      <c r="O31" s="842">
        <v>733.8</v>
      </c>
      <c r="P31" s="778"/>
    </row>
    <row r="32" spans="1:16" s="321" customFormat="1" ht="15">
      <c r="A32" s="747"/>
      <c r="B32" s="748" t="s">
        <v>413</v>
      </c>
      <c r="C32" s="674">
        <v>2.5</v>
      </c>
      <c r="D32" s="674">
        <v>1241.7</v>
      </c>
      <c r="E32" s="837">
        <v>91.1</v>
      </c>
      <c r="F32" s="838">
        <v>5078.6000000000004</v>
      </c>
      <c r="G32" s="839">
        <v>613.6</v>
      </c>
      <c r="H32" s="1108">
        <f t="shared" ref="H32:H33" si="5">SUM(C32:G32)</f>
        <v>7027.5000000000009</v>
      </c>
      <c r="I32" s="1109">
        <v>0</v>
      </c>
      <c r="J32" s="836">
        <v>682.2</v>
      </c>
      <c r="K32" s="837">
        <v>5345.5</v>
      </c>
      <c r="L32" s="840">
        <v>6.1</v>
      </c>
      <c r="M32" s="743">
        <v>0</v>
      </c>
      <c r="N32" s="841">
        <v>256.60000000000002</v>
      </c>
      <c r="O32" s="842">
        <v>737.1</v>
      </c>
      <c r="P32" s="778"/>
    </row>
    <row r="33" spans="1:16" s="321" customFormat="1" ht="15">
      <c r="A33" s="747"/>
      <c r="B33" s="748" t="s">
        <v>414</v>
      </c>
      <c r="C33" s="674">
        <v>2.5</v>
      </c>
      <c r="D33" s="674">
        <v>1425</v>
      </c>
      <c r="E33" s="837">
        <v>96.1</v>
      </c>
      <c r="F33" s="838">
        <v>4294.7</v>
      </c>
      <c r="G33" s="839">
        <v>621.70000000000005</v>
      </c>
      <c r="H33" s="1108">
        <f t="shared" si="5"/>
        <v>6439.9999999999991</v>
      </c>
      <c r="I33" s="1109">
        <v>0</v>
      </c>
      <c r="J33" s="836">
        <v>670.8</v>
      </c>
      <c r="K33" s="837">
        <v>4774.8999999999996</v>
      </c>
      <c r="L33" s="840">
        <v>6.6</v>
      </c>
      <c r="M33" s="743">
        <v>0</v>
      </c>
      <c r="N33" s="841">
        <v>254.8</v>
      </c>
      <c r="O33" s="842">
        <v>732.9</v>
      </c>
      <c r="P33" s="778"/>
    </row>
    <row r="34" spans="1:16" s="321" customFormat="1" ht="21" customHeight="1">
      <c r="A34" s="747">
        <v>2025</v>
      </c>
      <c r="B34" s="900" t="s">
        <v>415</v>
      </c>
      <c r="C34" s="674">
        <v>2.5</v>
      </c>
      <c r="D34" s="674">
        <v>1591.7</v>
      </c>
      <c r="E34" s="837">
        <v>53.9</v>
      </c>
      <c r="F34" s="838">
        <v>4779.7</v>
      </c>
      <c r="G34" s="1146">
        <v>571.5</v>
      </c>
      <c r="H34" s="1108">
        <f t="shared" ref="H34" si="6">SUM(C34:G34)</f>
        <v>6999.3</v>
      </c>
      <c r="I34" s="1205">
        <v>0</v>
      </c>
      <c r="J34" s="836">
        <v>673.2</v>
      </c>
      <c r="K34" s="837">
        <v>5346.6</v>
      </c>
      <c r="L34" s="840">
        <v>6.6</v>
      </c>
      <c r="M34" s="743">
        <v>0</v>
      </c>
      <c r="N34" s="841">
        <v>234.3</v>
      </c>
      <c r="O34" s="842">
        <v>738.6</v>
      </c>
      <c r="P34" s="778"/>
    </row>
    <row r="35" spans="1:16" s="321" customFormat="1" ht="15" customHeight="1">
      <c r="A35" s="747"/>
      <c r="B35" s="900" t="s">
        <v>416</v>
      </c>
      <c r="C35" s="674">
        <v>2.5</v>
      </c>
      <c r="D35" s="674">
        <v>1482.9</v>
      </c>
      <c r="E35" s="837">
        <v>34</v>
      </c>
      <c r="F35" s="838">
        <v>4921</v>
      </c>
      <c r="G35" s="1146">
        <v>573.79999999999995</v>
      </c>
      <c r="H35" s="1108">
        <f t="shared" ref="H35" si="7">SUM(C35:G35)</f>
        <v>7014.2</v>
      </c>
      <c r="I35" s="1205">
        <v>0</v>
      </c>
      <c r="J35" s="836">
        <v>678.7</v>
      </c>
      <c r="K35" s="837">
        <v>5347.1</v>
      </c>
      <c r="L35" s="840">
        <v>9.1</v>
      </c>
      <c r="M35" s="743">
        <v>0</v>
      </c>
      <c r="N35" s="841">
        <v>237.3</v>
      </c>
      <c r="O35" s="842">
        <v>742</v>
      </c>
      <c r="P35" s="778"/>
    </row>
    <row r="36" spans="1:16" s="321" customFormat="1" ht="15" customHeight="1">
      <c r="A36" s="747"/>
      <c r="B36" s="900" t="s">
        <v>417</v>
      </c>
      <c r="C36" s="674">
        <v>2.5</v>
      </c>
      <c r="D36" s="674">
        <v>1048.8</v>
      </c>
      <c r="E36" s="837">
        <v>32</v>
      </c>
      <c r="F36" s="838">
        <v>5519.1</v>
      </c>
      <c r="G36" s="1146">
        <v>556.1</v>
      </c>
      <c r="H36" s="1108">
        <f t="shared" ref="H36" si="8">SUM(C36:G36)</f>
        <v>7158.5000000000009</v>
      </c>
      <c r="I36" s="1205">
        <v>0</v>
      </c>
      <c r="J36" s="836">
        <v>704.5</v>
      </c>
      <c r="K36" s="837">
        <v>5352.3</v>
      </c>
      <c r="L36" s="840">
        <v>96.2</v>
      </c>
      <c r="M36" s="743">
        <v>0</v>
      </c>
      <c r="N36" s="841">
        <v>260.10000000000002</v>
      </c>
      <c r="O36" s="842">
        <v>745.4</v>
      </c>
      <c r="P36" s="778"/>
    </row>
    <row r="37" spans="1:16" s="321" customFormat="1" ht="15" customHeight="1">
      <c r="A37" s="747"/>
      <c r="B37" s="900" t="s">
        <v>418</v>
      </c>
      <c r="C37" s="674">
        <v>2.5</v>
      </c>
      <c r="D37" s="674">
        <v>896.8</v>
      </c>
      <c r="E37" s="837">
        <v>21.6</v>
      </c>
      <c r="F37" s="838">
        <v>5701.2</v>
      </c>
      <c r="G37" s="1146">
        <v>529.5</v>
      </c>
      <c r="H37" s="1108">
        <f t="shared" ref="H37" si="9">SUM(C37:G37)</f>
        <v>7151.5999999999995</v>
      </c>
      <c r="I37" s="1205">
        <v>0</v>
      </c>
      <c r="J37" s="836">
        <v>696.7</v>
      </c>
      <c r="K37" s="837">
        <v>5180.2</v>
      </c>
      <c r="L37" s="840">
        <v>265.3</v>
      </c>
      <c r="M37" s="743">
        <v>0</v>
      </c>
      <c r="N37" s="841">
        <v>260.3</v>
      </c>
      <c r="O37" s="842">
        <v>749.1</v>
      </c>
      <c r="P37" s="778"/>
    </row>
    <row r="38" spans="1:16" s="321" customFormat="1" ht="15" customHeight="1">
      <c r="A38" s="747"/>
      <c r="B38" s="900" t="s">
        <v>419</v>
      </c>
      <c r="C38" s="674">
        <v>2.5</v>
      </c>
      <c r="D38" s="674">
        <v>1710</v>
      </c>
      <c r="E38" s="837">
        <v>21.7</v>
      </c>
      <c r="F38" s="838">
        <v>4879.6000000000004</v>
      </c>
      <c r="G38" s="1146">
        <v>424.4</v>
      </c>
      <c r="H38" s="1108">
        <f t="shared" ref="H38:H40" si="10">SUM(C38:G38)</f>
        <v>7038.2</v>
      </c>
      <c r="I38" s="1205">
        <v>0</v>
      </c>
      <c r="J38" s="836">
        <v>703.5</v>
      </c>
      <c r="K38" s="837">
        <v>5228.8</v>
      </c>
      <c r="L38" s="840">
        <v>106.4</v>
      </c>
      <c r="M38" s="743">
        <v>0</v>
      </c>
      <c r="N38" s="841">
        <v>247.4</v>
      </c>
      <c r="O38" s="842">
        <v>752.1</v>
      </c>
      <c r="P38" s="778"/>
    </row>
    <row r="39" spans="1:16" s="321" customFormat="1" ht="15" customHeight="1">
      <c r="A39" s="747"/>
      <c r="B39" s="900" t="s">
        <v>420</v>
      </c>
      <c r="C39" s="674">
        <v>2.5</v>
      </c>
      <c r="D39" s="674">
        <v>1432.5</v>
      </c>
      <c r="E39" s="837">
        <v>21.2</v>
      </c>
      <c r="F39" s="838">
        <v>4985.1000000000004</v>
      </c>
      <c r="G39" s="1146">
        <v>379.2</v>
      </c>
      <c r="H39" s="1108">
        <f t="shared" si="10"/>
        <v>6820.5</v>
      </c>
      <c r="I39" s="1205">
        <v>0</v>
      </c>
      <c r="J39" s="836">
        <v>705.9</v>
      </c>
      <c r="K39" s="837">
        <v>5018.1000000000004</v>
      </c>
      <c r="L39" s="840">
        <v>104.4</v>
      </c>
      <c r="M39" s="743">
        <v>0</v>
      </c>
      <c r="N39" s="841">
        <v>237.3</v>
      </c>
      <c r="O39" s="842">
        <v>754.8</v>
      </c>
      <c r="P39" s="778"/>
    </row>
    <row r="40" spans="1:16" s="321" customFormat="1" ht="15" customHeight="1">
      <c r="A40" s="747"/>
      <c r="B40" s="900" t="s">
        <v>421</v>
      </c>
      <c r="C40" s="674">
        <v>2.5</v>
      </c>
      <c r="D40" s="674">
        <v>1605.2</v>
      </c>
      <c r="E40" s="837">
        <v>31.7</v>
      </c>
      <c r="F40" s="838">
        <v>4469.5</v>
      </c>
      <c r="G40" s="1146">
        <v>385.9</v>
      </c>
      <c r="H40" s="1108">
        <f t="shared" si="10"/>
        <v>6494.7999999999993</v>
      </c>
      <c r="I40" s="1205">
        <v>0</v>
      </c>
      <c r="J40" s="836">
        <v>691.9</v>
      </c>
      <c r="K40" s="837">
        <v>4790</v>
      </c>
      <c r="L40" s="840">
        <v>8.1999999999999993</v>
      </c>
      <c r="M40" s="743">
        <v>0</v>
      </c>
      <c r="N40" s="841">
        <v>247.2</v>
      </c>
      <c r="O40" s="842">
        <v>757.5</v>
      </c>
      <c r="P40" s="778"/>
    </row>
    <row r="41" spans="1:16" s="321" customFormat="1" ht="15" customHeight="1">
      <c r="A41" s="747"/>
      <c r="B41" s="900" t="s">
        <v>422</v>
      </c>
      <c r="C41" s="674">
        <v>2.5</v>
      </c>
      <c r="D41" s="674">
        <v>1334.5</v>
      </c>
      <c r="E41" s="837">
        <v>40.200000000000003</v>
      </c>
      <c r="F41" s="838">
        <v>4475.2</v>
      </c>
      <c r="G41" s="1146">
        <v>387.2</v>
      </c>
      <c r="H41" s="1108">
        <f t="shared" ref="H41" si="11">SUM(C41:G41)</f>
        <v>6239.5999999999995</v>
      </c>
      <c r="I41" s="1205">
        <v>0</v>
      </c>
      <c r="J41" s="836">
        <v>680.5</v>
      </c>
      <c r="K41" s="837">
        <v>4548.7</v>
      </c>
      <c r="L41" s="840">
        <v>1.9</v>
      </c>
      <c r="M41" s="743">
        <v>0</v>
      </c>
      <c r="N41" s="841">
        <v>247.7</v>
      </c>
      <c r="O41" s="842">
        <v>760.8</v>
      </c>
      <c r="P41" s="778"/>
    </row>
    <row r="42" spans="1:16" s="321" customFormat="1" ht="15" customHeight="1">
      <c r="A42" s="747"/>
      <c r="B42" s="900" t="s">
        <v>423</v>
      </c>
      <c r="C42" s="674">
        <v>2.5</v>
      </c>
      <c r="D42" s="674">
        <v>1220.9000000000001</v>
      </c>
      <c r="E42" s="837">
        <v>21.6</v>
      </c>
      <c r="F42" s="838">
        <v>4429.3</v>
      </c>
      <c r="G42" s="1146">
        <v>461.4</v>
      </c>
      <c r="H42" s="1108">
        <f t="shared" ref="H42" si="12">SUM(C42:G42)</f>
        <v>6135.7</v>
      </c>
      <c r="I42" s="1205">
        <v>0</v>
      </c>
      <c r="J42" s="836">
        <v>679.5</v>
      </c>
      <c r="K42" s="837">
        <v>4445.2</v>
      </c>
      <c r="L42" s="840">
        <v>1.2</v>
      </c>
      <c r="M42" s="743">
        <v>0</v>
      </c>
      <c r="N42" s="841">
        <v>246.6</v>
      </c>
      <c r="O42" s="842">
        <v>763.2</v>
      </c>
      <c r="P42" s="778"/>
    </row>
    <row r="43" spans="1:16" s="321" customFormat="1" ht="15" customHeight="1">
      <c r="A43" s="747"/>
      <c r="B43" s="900" t="s">
        <v>412</v>
      </c>
      <c r="C43" s="674">
        <v>2.5</v>
      </c>
      <c r="D43" s="674">
        <v>1588.6</v>
      </c>
      <c r="E43" s="837">
        <v>22.8</v>
      </c>
      <c r="F43" s="838">
        <v>3964.3</v>
      </c>
      <c r="G43" s="1146">
        <v>482.5</v>
      </c>
      <c r="H43" s="1108">
        <f t="shared" ref="H43" si="13">SUM(C43:G43)</f>
        <v>6060.7</v>
      </c>
      <c r="I43" s="1205">
        <v>0</v>
      </c>
      <c r="J43" s="836">
        <v>673.7</v>
      </c>
      <c r="K43" s="837">
        <v>4372.5</v>
      </c>
      <c r="L43" s="840">
        <v>1.1000000000000001</v>
      </c>
      <c r="M43" s="743">
        <v>0</v>
      </c>
      <c r="N43" s="841">
        <v>246.8</v>
      </c>
      <c r="O43" s="842">
        <v>766.6</v>
      </c>
      <c r="P43" s="778"/>
    </row>
    <row r="44" spans="1:16" ht="12.2" customHeight="1">
      <c r="A44" s="1259"/>
      <c r="B44" s="1259"/>
      <c r="C44" s="1259"/>
      <c r="D44" s="1259"/>
      <c r="E44" s="1259"/>
      <c r="F44" s="1260"/>
      <c r="G44" s="1259"/>
      <c r="H44" s="1259" t="s">
        <v>117</v>
      </c>
      <c r="I44" s="1259"/>
      <c r="J44" s="1259"/>
      <c r="K44" s="1259"/>
      <c r="L44" s="1259"/>
      <c r="M44" s="1259"/>
      <c r="N44" s="1259"/>
      <c r="O44" s="1092"/>
    </row>
    <row r="45" spans="1:16" ht="12.75" customHeight="1">
      <c r="N45" s="146"/>
      <c r="O45" s="1262"/>
    </row>
    <row r="46" spans="1:16" ht="14.25">
      <c r="A46" s="318" t="s">
        <v>424</v>
      </c>
      <c r="B46" s="1262"/>
      <c r="C46" s="1262"/>
      <c r="D46" s="1262"/>
      <c r="E46" s="1262"/>
      <c r="F46" s="1262"/>
      <c r="G46" s="1262"/>
      <c r="H46" s="1262"/>
      <c r="I46" s="1262"/>
      <c r="J46" s="1262"/>
      <c r="K46" s="1262"/>
      <c r="L46" s="1262"/>
      <c r="M46" s="1262"/>
      <c r="N46" s="146"/>
      <c r="O46" s="1262"/>
    </row>
    <row r="50" spans="3:16">
      <c r="C50" s="1263"/>
      <c r="D50" s="1263"/>
      <c r="E50" s="1263"/>
      <c r="F50" s="1263"/>
      <c r="G50" s="1263"/>
      <c r="H50" s="1263"/>
      <c r="I50" s="1740"/>
      <c r="J50" s="1263"/>
      <c r="K50" s="1263"/>
      <c r="L50" s="1263"/>
      <c r="M50" s="1263"/>
      <c r="N50" s="1263"/>
      <c r="O50" s="1263"/>
      <c r="P50"/>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1"/>
  <sheetViews>
    <sheetView tabSelected="1" zoomScale="80" zoomScaleNormal="80" zoomScaleSheetLayoutView="62" workbookViewId="0">
      <pane ySplit="13" topLeftCell="A43" activePane="bottomLeft" state="frozen"/>
      <selection activeCell="N29" sqref="N29"/>
      <selection pane="bottomLeft" activeCell="N29" sqref="N29"/>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08" t="s">
        <v>1169</v>
      </c>
      <c r="B1" s="808"/>
      <c r="C1" s="808"/>
      <c r="D1" s="808"/>
      <c r="E1" s="808"/>
      <c r="F1" s="808"/>
      <c r="G1" s="808"/>
      <c r="H1" s="808"/>
      <c r="I1" s="808"/>
      <c r="J1" s="808"/>
    </row>
    <row r="2" spans="1:10" ht="18" customHeight="1">
      <c r="A2" s="808" t="s">
        <v>1170</v>
      </c>
      <c r="B2" s="808"/>
      <c r="C2" s="808"/>
      <c r="D2" s="808"/>
      <c r="E2" s="808"/>
      <c r="F2" s="808"/>
      <c r="G2" s="808"/>
      <c r="H2" s="808"/>
      <c r="I2" s="808"/>
      <c r="J2" s="808"/>
    </row>
    <row r="3" spans="1:10" ht="15.95" customHeight="1">
      <c r="A3" s="809" t="s">
        <v>66</v>
      </c>
      <c r="B3" s="464"/>
      <c r="C3" s="464"/>
      <c r="D3" s="464"/>
      <c r="E3" s="464"/>
      <c r="F3" s="464"/>
      <c r="G3" s="464"/>
      <c r="H3" s="464"/>
      <c r="I3" s="464"/>
      <c r="J3" s="464"/>
    </row>
    <row r="4" spans="1:10" ht="18">
      <c r="A4" s="1950" t="s">
        <v>1171</v>
      </c>
      <c r="B4" s="1950"/>
      <c r="C4" s="1950"/>
      <c r="D4" s="1950"/>
      <c r="E4" s="1950"/>
      <c r="F4" s="1950"/>
      <c r="G4" s="1950"/>
      <c r="H4" s="1950"/>
      <c r="I4" s="1950"/>
      <c r="J4" s="1950"/>
    </row>
    <row r="5" spans="1:10" ht="15.95" customHeight="1">
      <c r="A5" s="1951" t="s">
        <v>1172</v>
      </c>
      <c r="B5" s="1951"/>
      <c r="C5" s="1951"/>
      <c r="D5" s="1951"/>
      <c r="E5" s="1951"/>
      <c r="F5" s="1951"/>
      <c r="G5" s="1951"/>
      <c r="H5" s="1951"/>
      <c r="I5" s="1951"/>
      <c r="J5" s="1951"/>
    </row>
    <row r="6" spans="1:10" ht="15.95" hidden="1" customHeight="1">
      <c r="A6" s="859"/>
      <c r="B6" s="859"/>
      <c r="C6" s="859"/>
      <c r="D6" s="859"/>
      <c r="E6" s="859"/>
      <c r="F6" s="859"/>
      <c r="G6" s="859"/>
      <c r="H6" s="859"/>
      <c r="I6" s="859"/>
      <c r="J6" s="859"/>
    </row>
    <row r="7" spans="1:10" ht="15.95"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85" customHeight="1">
      <c r="A9" s="1952" t="s">
        <v>1027</v>
      </c>
      <c r="B9" s="1952"/>
      <c r="C9" s="447"/>
      <c r="D9" s="447"/>
      <c r="E9" s="447"/>
      <c r="F9" s="810"/>
      <c r="G9" s="447"/>
      <c r="H9" s="447"/>
      <c r="I9" s="447"/>
      <c r="J9" s="811" t="s">
        <v>1028</v>
      </c>
    </row>
    <row r="10" spans="1:10" s="468" customFormat="1" ht="15">
      <c r="A10" s="465"/>
      <c r="B10" s="466"/>
      <c r="C10" s="1953" t="s">
        <v>386</v>
      </c>
      <c r="D10" s="1954"/>
      <c r="E10" s="1953" t="s">
        <v>1173</v>
      </c>
      <c r="F10" s="1954"/>
      <c r="G10" s="1953" t="s">
        <v>1174</v>
      </c>
      <c r="H10" s="1954"/>
      <c r="I10" s="1953" t="s">
        <v>1175</v>
      </c>
      <c r="J10" s="1954"/>
    </row>
    <row r="11" spans="1:10" s="468" customFormat="1" ht="14.25" customHeight="1">
      <c r="A11" s="812" t="s">
        <v>379</v>
      </c>
      <c r="B11" s="813"/>
      <c r="C11" s="1942" t="s">
        <v>1176</v>
      </c>
      <c r="D11" s="1943"/>
      <c r="E11" s="1944" t="s">
        <v>1177</v>
      </c>
      <c r="F11" s="1945"/>
      <c r="G11" s="1946" t="s">
        <v>1178</v>
      </c>
      <c r="H11" s="1947"/>
      <c r="I11" s="1948" t="s">
        <v>1179</v>
      </c>
      <c r="J11" s="1949"/>
    </row>
    <row r="12" spans="1:10" s="468" customFormat="1" ht="45">
      <c r="A12" s="814" t="s">
        <v>387</v>
      </c>
      <c r="B12" s="815"/>
      <c r="C12" s="831" t="s">
        <v>1180</v>
      </c>
      <c r="D12" s="862" t="s">
        <v>1181</v>
      </c>
      <c r="E12" s="831" t="s">
        <v>1182</v>
      </c>
      <c r="F12" s="831" t="s">
        <v>1183</v>
      </c>
      <c r="G12" s="831" t="s">
        <v>1184</v>
      </c>
      <c r="H12" s="831" t="s">
        <v>1185</v>
      </c>
      <c r="I12" s="831" t="s">
        <v>1186</v>
      </c>
      <c r="J12" s="831" t="s">
        <v>1187</v>
      </c>
    </row>
    <row r="13" spans="1:10" s="482" customFormat="1" ht="48.75" customHeight="1">
      <c r="A13" s="476"/>
      <c r="B13" s="816"/>
      <c r="C13" s="1175" t="s">
        <v>1188</v>
      </c>
      <c r="D13" s="1176" t="s">
        <v>1189</v>
      </c>
      <c r="E13" s="1176" t="s">
        <v>1190</v>
      </c>
      <c r="F13" s="1176" t="s">
        <v>1191</v>
      </c>
      <c r="G13" s="1176" t="s">
        <v>1192</v>
      </c>
      <c r="H13" s="1176" t="s">
        <v>1193</v>
      </c>
      <c r="I13" s="1177" t="s">
        <v>1194</v>
      </c>
      <c r="J13" s="1177" t="s">
        <v>1195</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5.95"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5.95"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f t="shared" ref="C21:J21" si="0">C35</f>
        <v>19.523639490447152</v>
      </c>
      <c r="D21" s="818">
        <f t="shared" si="0"/>
        <v>18.070895831357955</v>
      </c>
      <c r="E21" s="818">
        <f t="shared" si="0"/>
        <v>3.0036964791129908</v>
      </c>
      <c r="F21" s="818">
        <f t="shared" si="0"/>
        <v>68.493738119904904</v>
      </c>
      <c r="G21" s="818">
        <f t="shared" si="0"/>
        <v>1.2407482706308763</v>
      </c>
      <c r="H21" s="818">
        <f t="shared" si="0"/>
        <v>8.5853827719361284</v>
      </c>
      <c r="I21" s="819">
        <f t="shared" si="0"/>
        <v>25.331317438677413</v>
      </c>
      <c r="J21" s="818">
        <f t="shared" si="0"/>
        <v>66.428160187795442</v>
      </c>
      <c r="K21" s="822"/>
      <c r="L21" s="823"/>
      <c r="M21" s="823"/>
      <c r="N21" s="823"/>
      <c r="O21" s="823"/>
      <c r="P21" s="823"/>
      <c r="Q21" s="823"/>
      <c r="R21" s="823"/>
      <c r="S21" s="823"/>
    </row>
    <row r="22" spans="1:19" s="468" customFormat="1" ht="16.5" customHeight="1">
      <c r="A22" s="817">
        <v>2023</v>
      </c>
      <c r="B22" s="824"/>
      <c r="C22" s="818">
        <f t="shared" ref="C22:J22" si="1">C39</f>
        <v>19.677594192851963</v>
      </c>
      <c r="D22" s="818">
        <f t="shared" si="1"/>
        <v>18.117877839885978</v>
      </c>
      <c r="E22" s="818">
        <f t="shared" si="1"/>
        <v>2.9051825997236747</v>
      </c>
      <c r="F22" s="818">
        <f t="shared" si="1"/>
        <v>59.824019303886736</v>
      </c>
      <c r="G22" s="818">
        <f t="shared" si="1"/>
        <v>1.2580474229025358</v>
      </c>
      <c r="H22" s="818">
        <f t="shared" si="1"/>
        <v>9.2500592194997626</v>
      </c>
      <c r="I22" s="819">
        <f t="shared" si="1"/>
        <v>25.709162584325206</v>
      </c>
      <c r="J22" s="818">
        <f t="shared" si="1"/>
        <v>62.521147689983337</v>
      </c>
      <c r="K22" s="822"/>
      <c r="L22" s="823"/>
      <c r="M22" s="823"/>
      <c r="N22" s="823"/>
      <c r="O22" s="823"/>
      <c r="P22" s="823"/>
      <c r="Q22" s="823"/>
      <c r="R22" s="823"/>
      <c r="S22" s="823"/>
    </row>
    <row r="23" spans="1:19" s="468" customFormat="1" ht="16.5" customHeight="1">
      <c r="A23" s="820">
        <v>2024</v>
      </c>
      <c r="B23" s="821"/>
      <c r="C23" s="828">
        <f t="shared" ref="C23:J23" si="2">C43</f>
        <v>21.2</v>
      </c>
      <c r="D23" s="828">
        <f t="shared" si="2"/>
        <v>19.8</v>
      </c>
      <c r="E23" s="828">
        <f t="shared" si="2"/>
        <v>2.8</v>
      </c>
      <c r="F23" s="828">
        <f t="shared" si="2"/>
        <v>53.3</v>
      </c>
      <c r="G23" s="828">
        <f t="shared" si="2"/>
        <v>1.3</v>
      </c>
      <c r="H23" s="828">
        <f t="shared" si="2"/>
        <v>11.2</v>
      </c>
      <c r="I23" s="829">
        <f t="shared" si="2"/>
        <v>26.8</v>
      </c>
      <c r="J23" s="828">
        <f t="shared" si="2"/>
        <v>62.2</v>
      </c>
      <c r="K23" s="822"/>
      <c r="L23" s="823"/>
      <c r="M23" s="823"/>
      <c r="N23" s="823"/>
      <c r="O23" s="823"/>
      <c r="P23" s="823"/>
      <c r="Q23" s="823"/>
      <c r="R23" s="823"/>
      <c r="S23" s="823"/>
    </row>
    <row r="24" spans="1:19" s="823" customFormat="1" ht="21.2" customHeight="1">
      <c r="A24" s="825">
        <v>2020</v>
      </c>
      <c r="B24" s="826" t="s">
        <v>239</v>
      </c>
      <c r="C24" s="818">
        <v>17.660470724178865</v>
      </c>
      <c r="D24" s="818">
        <v>16.251376553362366</v>
      </c>
      <c r="E24" s="818">
        <v>4.4327357573666912</v>
      </c>
      <c r="F24" s="818">
        <v>63.185815259642084</v>
      </c>
      <c r="G24" s="818">
        <v>0.17368240037530103</v>
      </c>
      <c r="H24" s="818">
        <v>0.57948908452025683</v>
      </c>
      <c r="I24" s="819">
        <v>25.380370478950237</v>
      </c>
      <c r="J24" s="818">
        <v>69.024015654598458</v>
      </c>
    </row>
    <row r="25" spans="1:19" s="823" customFormat="1" ht="16.5" customHeight="1">
      <c r="A25" s="825"/>
      <c r="B25" s="826" t="s">
        <v>240</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238</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 customHeight="1">
      <c r="A28" s="825">
        <v>2021</v>
      </c>
      <c r="B28" s="826" t="s">
        <v>239</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240</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238</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239</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240</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91"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91" t="s">
        <v>238</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239</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91" t="s">
        <v>240</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91"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91" t="s">
        <v>238</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239</v>
      </c>
      <c r="C40" s="818">
        <v>22.2</v>
      </c>
      <c r="D40" s="818">
        <v>20.6</v>
      </c>
      <c r="E40" s="818">
        <v>2.9</v>
      </c>
      <c r="F40" s="818">
        <v>58.9</v>
      </c>
      <c r="G40" s="818">
        <v>0.5</v>
      </c>
      <c r="H40" s="818">
        <v>3.4</v>
      </c>
      <c r="I40" s="819">
        <v>29.3</v>
      </c>
      <c r="J40" s="818">
        <v>60.1</v>
      </c>
    </row>
    <row r="41" spans="1:10" s="823" customFormat="1" ht="16.5" customHeight="1">
      <c r="A41" s="825"/>
      <c r="B41" s="1091" t="s">
        <v>240</v>
      </c>
      <c r="C41" s="818">
        <v>20.399999999999999</v>
      </c>
      <c r="D41" s="818">
        <v>19</v>
      </c>
      <c r="E41" s="818">
        <v>3</v>
      </c>
      <c r="F41" s="818">
        <v>59.1</v>
      </c>
      <c r="G41" s="818">
        <v>0.7</v>
      </c>
      <c r="H41" s="818">
        <v>6.2</v>
      </c>
      <c r="I41" s="819">
        <v>25.6</v>
      </c>
      <c r="J41" s="818">
        <v>58.8</v>
      </c>
    </row>
    <row r="42" spans="1:10" s="823" customFormat="1" ht="16.5" customHeight="1">
      <c r="A42" s="825"/>
      <c r="B42" s="1091" t="s">
        <v>237</v>
      </c>
      <c r="C42" s="818">
        <v>20.5</v>
      </c>
      <c r="D42" s="818">
        <v>19.100000000000001</v>
      </c>
      <c r="E42" s="818">
        <v>2.9</v>
      </c>
      <c r="F42" s="818">
        <v>55</v>
      </c>
      <c r="G42" s="818">
        <v>1</v>
      </c>
      <c r="H42" s="818">
        <v>8.9</v>
      </c>
      <c r="I42" s="819">
        <v>27.2</v>
      </c>
      <c r="J42" s="818">
        <v>60.1</v>
      </c>
    </row>
    <row r="43" spans="1:10" s="823" customFormat="1" ht="16.5" customHeight="1">
      <c r="A43" s="825"/>
      <c r="B43" s="1091" t="s">
        <v>238</v>
      </c>
      <c r="C43" s="818">
        <v>21.2</v>
      </c>
      <c r="D43" s="818">
        <v>19.8</v>
      </c>
      <c r="E43" s="818">
        <v>2.8</v>
      </c>
      <c r="F43" s="818">
        <v>53.3</v>
      </c>
      <c r="G43" s="818">
        <v>1.3</v>
      </c>
      <c r="H43" s="818">
        <v>11.2</v>
      </c>
      <c r="I43" s="819">
        <v>26.8</v>
      </c>
      <c r="J43" s="818">
        <v>62.2</v>
      </c>
    </row>
    <row r="44" spans="1:10" s="823" customFormat="1" ht="20.25" customHeight="1">
      <c r="A44" s="825">
        <v>2025</v>
      </c>
      <c r="B44" s="826" t="s">
        <v>239</v>
      </c>
      <c r="C44" s="818">
        <v>20.6</v>
      </c>
      <c r="D44" s="818">
        <v>19.100000000000001</v>
      </c>
      <c r="E44" s="818">
        <v>2.7</v>
      </c>
      <c r="F44" s="818">
        <v>53.7</v>
      </c>
      <c r="G44" s="818">
        <v>0.4</v>
      </c>
      <c r="H44" s="818">
        <v>3</v>
      </c>
      <c r="I44" s="819">
        <v>25.7</v>
      </c>
      <c r="J44" s="818">
        <v>63.1</v>
      </c>
    </row>
    <row r="45" spans="1:10" s="823" customFormat="1" ht="16.5" customHeight="1">
      <c r="A45" s="825"/>
      <c r="B45" s="1091" t="s">
        <v>240</v>
      </c>
      <c r="C45" s="818">
        <v>20.2</v>
      </c>
      <c r="D45" s="818">
        <v>18.8</v>
      </c>
      <c r="E45" s="818">
        <v>2.6</v>
      </c>
      <c r="F45" s="818">
        <v>54.8</v>
      </c>
      <c r="G45" s="818">
        <v>0.6</v>
      </c>
      <c r="H45" s="818">
        <v>5.8</v>
      </c>
      <c r="I45" s="819">
        <v>26.1</v>
      </c>
      <c r="J45" s="818">
        <v>62.1</v>
      </c>
    </row>
    <row r="46" spans="1:10" s="823" customFormat="1" ht="16.5" customHeight="1">
      <c r="A46" s="825"/>
      <c r="B46" s="1091" t="s">
        <v>237</v>
      </c>
      <c r="C46" s="818">
        <v>20.9</v>
      </c>
      <c r="D46" s="818">
        <v>19.5</v>
      </c>
      <c r="E46" s="818">
        <v>2.7</v>
      </c>
      <c r="F46" s="818">
        <v>56.4</v>
      </c>
      <c r="G46" s="818">
        <v>0.8</v>
      </c>
      <c r="H46" s="818">
        <v>8.3000000000000007</v>
      </c>
      <c r="I46" s="819">
        <v>26.5</v>
      </c>
      <c r="J46" s="818">
        <v>63</v>
      </c>
    </row>
    <row r="47" spans="1:10" ht="21.2" customHeight="1">
      <c r="A47" s="462" t="s">
        <v>1196</v>
      </c>
      <c r="B47" s="462"/>
      <c r="C47" s="462"/>
      <c r="D47" s="462"/>
      <c r="E47" s="462"/>
      <c r="F47" s="462"/>
      <c r="G47" s="462"/>
      <c r="H47" s="462"/>
      <c r="I47" s="462"/>
      <c r="J47" s="835" t="s">
        <v>1197</v>
      </c>
    </row>
    <row r="48" spans="1:10" ht="13.35" customHeight="1">
      <c r="A48" s="445" t="s">
        <v>1198</v>
      </c>
      <c r="J48" s="833" t="s">
        <v>1199</v>
      </c>
    </row>
    <row r="49" spans="1:18" ht="13.7" customHeight="1"/>
    <row r="50" spans="1:18" ht="14.25">
      <c r="A50" s="1418" t="s">
        <v>1200</v>
      </c>
      <c r="B50" s="444"/>
      <c r="C50" s="444"/>
      <c r="D50" s="444"/>
      <c r="E50" s="444"/>
      <c r="F50" s="444"/>
      <c r="G50" s="444"/>
      <c r="H50" s="444"/>
      <c r="I50" s="444"/>
      <c r="J50" s="444"/>
    </row>
    <row r="51" spans="1:18" s="1423" customFormat="1" ht="14.25">
      <c r="A51" s="1419"/>
      <c r="B51" s="1420"/>
      <c r="C51" s="1420"/>
      <c r="D51" s="1420"/>
      <c r="E51" s="1420"/>
      <c r="F51" s="1420"/>
      <c r="G51" s="1420"/>
      <c r="H51" s="1420"/>
      <c r="I51" s="1420"/>
      <c r="J51" s="1420"/>
      <c r="K51" s="1421"/>
      <c r="L51" s="1422"/>
      <c r="M51" s="1421"/>
      <c r="N51" s="1421"/>
      <c r="O51" s="1421"/>
      <c r="P51" s="1421"/>
      <c r="Q51" s="1421"/>
      <c r="R51" s="1421"/>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2"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1"/>
  <sheetViews>
    <sheetView tabSelected="1" zoomScale="70" zoomScaleNormal="70" workbookViewId="0">
      <pane ySplit="13" topLeftCell="A46" activePane="bottomLeft" state="frozen"/>
      <selection activeCell="N29" sqref="N29"/>
      <selection pane="bottomLeft" activeCell="N29" sqref="N29"/>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08" t="s">
        <v>1201</v>
      </c>
      <c r="B1" s="808"/>
      <c r="C1" s="808"/>
      <c r="D1" s="808"/>
      <c r="E1" s="808"/>
      <c r="F1" s="808"/>
      <c r="G1" s="808"/>
      <c r="H1" s="808"/>
      <c r="I1" s="808"/>
      <c r="J1" s="808"/>
      <c r="K1" s="808"/>
      <c r="L1" s="808"/>
      <c r="M1" s="808"/>
      <c r="N1" s="808"/>
      <c r="O1" s="808"/>
      <c r="P1" s="808"/>
      <c r="Q1" s="808"/>
      <c r="R1" s="808"/>
    </row>
    <row r="2" spans="1:18" ht="18" customHeight="1">
      <c r="A2" s="808" t="s">
        <v>1170</v>
      </c>
      <c r="B2" s="808"/>
      <c r="C2" s="808"/>
      <c r="D2" s="808"/>
      <c r="E2" s="808"/>
      <c r="F2" s="808"/>
      <c r="G2" s="808"/>
      <c r="H2" s="808"/>
      <c r="I2" s="808"/>
      <c r="J2" s="808"/>
      <c r="K2" s="808"/>
      <c r="L2" s="808"/>
      <c r="M2" s="808"/>
      <c r="N2" s="808"/>
      <c r="O2" s="808"/>
      <c r="P2" s="808"/>
      <c r="Q2" s="808"/>
      <c r="R2" s="808"/>
    </row>
    <row r="3" spans="1:18" ht="15.95" customHeight="1">
      <c r="A3" s="809" t="s">
        <v>66</v>
      </c>
      <c r="B3" s="464"/>
      <c r="C3" s="464"/>
      <c r="D3" s="464"/>
      <c r="E3" s="464"/>
      <c r="F3" s="464"/>
      <c r="G3" s="464"/>
      <c r="H3" s="464"/>
      <c r="I3" s="464"/>
      <c r="J3" s="464"/>
      <c r="K3" s="464"/>
      <c r="L3" s="464"/>
      <c r="M3" s="464"/>
      <c r="N3" s="464"/>
      <c r="O3" s="464"/>
      <c r="P3" s="464"/>
      <c r="Q3" s="464"/>
      <c r="R3" s="464"/>
    </row>
    <row r="4" spans="1:18" ht="18">
      <c r="A4" s="1962" t="s">
        <v>1202</v>
      </c>
      <c r="B4" s="1962"/>
      <c r="C4" s="1962"/>
      <c r="D4" s="1962"/>
      <c r="E4" s="1962"/>
      <c r="F4" s="1962"/>
      <c r="G4" s="1962"/>
      <c r="H4" s="1962"/>
      <c r="I4" s="1962"/>
      <c r="J4" s="1962"/>
      <c r="K4" s="1962"/>
      <c r="L4" s="1962"/>
      <c r="M4" s="1962"/>
      <c r="N4" s="1962"/>
      <c r="O4" s="1962"/>
      <c r="P4" s="1962"/>
      <c r="Q4" s="1962"/>
      <c r="R4" s="1962"/>
    </row>
    <row r="5" spans="1:18" ht="15.95" customHeight="1">
      <c r="A5" s="1963" t="s">
        <v>1203</v>
      </c>
      <c r="B5" s="1963"/>
      <c r="C5" s="1963"/>
      <c r="D5" s="1963"/>
      <c r="E5" s="1963"/>
      <c r="F5" s="1963"/>
      <c r="G5" s="1963"/>
      <c r="H5" s="1963"/>
      <c r="I5" s="1963"/>
      <c r="J5" s="1963"/>
      <c r="K5" s="1963"/>
      <c r="L5" s="1963"/>
      <c r="M5" s="1963"/>
      <c r="N5" s="1963"/>
      <c r="O5" s="1963"/>
      <c r="P5" s="1963"/>
      <c r="Q5" s="1963"/>
      <c r="R5" s="1963"/>
    </row>
    <row r="6" spans="1:18" ht="15.95" customHeight="1">
      <c r="A6" s="809"/>
      <c r="B6" s="464"/>
      <c r="C6" s="464"/>
      <c r="D6" s="464"/>
      <c r="E6" s="464"/>
      <c r="F6" s="464"/>
      <c r="G6" s="464"/>
      <c r="H6" s="464"/>
      <c r="I6" s="464"/>
      <c r="J6" s="464"/>
      <c r="K6" s="464"/>
      <c r="L6" s="464"/>
      <c r="M6" s="464"/>
      <c r="N6" s="464"/>
      <c r="O6" s="464"/>
      <c r="P6" s="464"/>
      <c r="Q6" s="464"/>
      <c r="R6" s="464"/>
    </row>
    <row r="7" spans="1:18" s="448" customFormat="1" ht="14.85" customHeight="1">
      <c r="A7" s="1952" t="s">
        <v>1027</v>
      </c>
      <c r="B7" s="1950"/>
      <c r="C7" s="447"/>
      <c r="D7" s="447"/>
      <c r="E7" s="447"/>
      <c r="F7" s="447"/>
      <c r="G7" s="447"/>
      <c r="H7" s="447"/>
      <c r="I7" s="447"/>
      <c r="J7" s="447"/>
      <c r="K7" s="447"/>
      <c r="L7" s="447"/>
      <c r="M7" s="447"/>
      <c r="N7" s="447"/>
      <c r="O7" s="447"/>
      <c r="P7" s="447"/>
      <c r="Q7" s="447"/>
      <c r="R7" s="811" t="s">
        <v>1028</v>
      </c>
    </row>
    <row r="8" spans="1:18" s="468" customFormat="1" ht="14.45" customHeight="1">
      <c r="A8" s="465"/>
      <c r="B8" s="466"/>
      <c r="C8" s="1953" t="s">
        <v>386</v>
      </c>
      <c r="D8" s="1964"/>
      <c r="E8" s="1964"/>
      <c r="F8" s="1954"/>
      <c r="G8" s="1953" t="s">
        <v>1173</v>
      </c>
      <c r="H8" s="1964"/>
      <c r="I8" s="1964"/>
      <c r="J8" s="1954"/>
      <c r="K8" s="1953" t="s">
        <v>1174</v>
      </c>
      <c r="L8" s="1964"/>
      <c r="M8" s="1964"/>
      <c r="N8" s="1954"/>
      <c r="O8" s="1953" t="s">
        <v>1175</v>
      </c>
      <c r="P8" s="1964"/>
      <c r="Q8" s="1964"/>
      <c r="R8" s="1954"/>
    </row>
    <row r="9" spans="1:18" s="468" customFormat="1" ht="14.25" customHeight="1">
      <c r="A9" s="812"/>
      <c r="B9" s="813"/>
      <c r="C9" s="1944" t="s">
        <v>1176</v>
      </c>
      <c r="D9" s="1959"/>
      <c r="E9" s="1959"/>
      <c r="F9" s="1945"/>
      <c r="G9" s="1944" t="s">
        <v>1177</v>
      </c>
      <c r="H9" s="1959"/>
      <c r="I9" s="1959"/>
      <c r="J9" s="1945"/>
      <c r="K9" s="1944" t="s">
        <v>1178</v>
      </c>
      <c r="L9" s="1959"/>
      <c r="M9" s="1959"/>
      <c r="N9" s="1945"/>
      <c r="O9" s="1944" t="s">
        <v>1179</v>
      </c>
      <c r="P9" s="1959" t="s">
        <v>1179</v>
      </c>
      <c r="Q9" s="1959"/>
      <c r="R9" s="1945"/>
    </row>
    <row r="10" spans="1:18" s="468" customFormat="1" ht="51.75" customHeight="1">
      <c r="A10" s="812" t="s">
        <v>379</v>
      </c>
      <c r="B10" s="813"/>
      <c r="C10" s="1960" t="s">
        <v>1180</v>
      </c>
      <c r="D10" s="1961"/>
      <c r="E10" s="1960" t="s">
        <v>1181</v>
      </c>
      <c r="F10" s="1961"/>
      <c r="G10" s="1960" t="s">
        <v>1182</v>
      </c>
      <c r="H10" s="1961"/>
      <c r="I10" s="1960" t="s">
        <v>1183</v>
      </c>
      <c r="J10" s="1961"/>
      <c r="K10" s="1960" t="s">
        <v>1204</v>
      </c>
      <c r="L10" s="1961"/>
      <c r="M10" s="1960" t="s">
        <v>1185</v>
      </c>
      <c r="N10" s="1961"/>
      <c r="O10" s="1960" t="s">
        <v>1186</v>
      </c>
      <c r="P10" s="1961"/>
      <c r="Q10" s="1960" t="s">
        <v>1187</v>
      </c>
      <c r="R10" s="1961"/>
    </row>
    <row r="11" spans="1:18" s="482" customFormat="1" ht="40.5" customHeight="1">
      <c r="A11" s="814" t="s">
        <v>387</v>
      </c>
      <c r="B11" s="815"/>
      <c r="C11" s="1955" t="s">
        <v>1188</v>
      </c>
      <c r="D11" s="1956"/>
      <c r="E11" s="1955" t="s">
        <v>1189</v>
      </c>
      <c r="F11" s="1956"/>
      <c r="G11" s="1955" t="s">
        <v>1190</v>
      </c>
      <c r="H11" s="1956"/>
      <c r="I11" s="1955" t="s">
        <v>1191</v>
      </c>
      <c r="J11" s="1956"/>
      <c r="K11" s="1955" t="s">
        <v>1192</v>
      </c>
      <c r="L11" s="1956"/>
      <c r="M11" s="1955" t="s">
        <v>1193</v>
      </c>
      <c r="N11" s="1956"/>
      <c r="O11" s="1957" t="s">
        <v>1194</v>
      </c>
      <c r="P11" s="1958"/>
      <c r="Q11" s="1957" t="s">
        <v>1195</v>
      </c>
      <c r="R11" s="1958"/>
    </row>
    <row r="12" spans="1:18" s="482" customFormat="1" ht="15.75">
      <c r="A12" s="814"/>
      <c r="B12" s="815"/>
      <c r="C12" s="473" t="s">
        <v>1205</v>
      </c>
      <c r="D12" s="474" t="s">
        <v>1206</v>
      </c>
      <c r="E12" s="473" t="s">
        <v>1205</v>
      </c>
      <c r="F12" s="474" t="s">
        <v>1206</v>
      </c>
      <c r="G12" s="473" t="s">
        <v>1205</v>
      </c>
      <c r="H12" s="474" t="s">
        <v>1206</v>
      </c>
      <c r="I12" s="473" t="s">
        <v>1205</v>
      </c>
      <c r="J12" s="474" t="s">
        <v>1206</v>
      </c>
      <c r="K12" s="473" t="s">
        <v>1205</v>
      </c>
      <c r="L12" s="474" t="s">
        <v>1206</v>
      </c>
      <c r="M12" s="473" t="s">
        <v>1205</v>
      </c>
      <c r="N12" s="474" t="s">
        <v>1206</v>
      </c>
      <c r="O12" s="473" t="s">
        <v>1205</v>
      </c>
      <c r="P12" s="474" t="s">
        <v>1206</v>
      </c>
      <c r="Q12" s="473" t="s">
        <v>1205</v>
      </c>
      <c r="R12" s="474" t="s">
        <v>1206</v>
      </c>
    </row>
    <row r="13" spans="1:18" s="482" customFormat="1" ht="15">
      <c r="A13" s="476"/>
      <c r="B13" s="477"/>
      <c r="C13" s="514" t="s">
        <v>503</v>
      </c>
      <c r="D13" s="515" t="s">
        <v>1207</v>
      </c>
      <c r="E13" s="514" t="s">
        <v>503</v>
      </c>
      <c r="F13" s="515" t="s">
        <v>1207</v>
      </c>
      <c r="G13" s="514" t="s">
        <v>503</v>
      </c>
      <c r="H13" s="515" t="s">
        <v>1207</v>
      </c>
      <c r="I13" s="514" t="s">
        <v>503</v>
      </c>
      <c r="J13" s="515" t="s">
        <v>1207</v>
      </c>
      <c r="K13" s="514" t="s">
        <v>503</v>
      </c>
      <c r="L13" s="515" t="s">
        <v>1207</v>
      </c>
      <c r="M13" s="514" t="s">
        <v>503</v>
      </c>
      <c r="N13" s="515" t="s">
        <v>1207</v>
      </c>
      <c r="O13" s="514" t="s">
        <v>503</v>
      </c>
      <c r="P13" s="515" t="s">
        <v>1207</v>
      </c>
      <c r="Q13" s="514" t="s">
        <v>503</v>
      </c>
      <c r="R13" s="515" t="s">
        <v>1207</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5.95"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5.95"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f t="shared" ref="C21:R21" si="0">C35</f>
        <v>21.537467378089413</v>
      </c>
      <c r="D21" s="818">
        <f t="shared" si="0"/>
        <v>17.541649579766482</v>
      </c>
      <c r="E21" s="818">
        <f t="shared" si="0"/>
        <v>20.105463735937317</v>
      </c>
      <c r="F21" s="818">
        <f t="shared" si="0"/>
        <v>15.945960975355074</v>
      </c>
      <c r="G21" s="818">
        <f t="shared" si="0"/>
        <v>3.292529863949059</v>
      </c>
      <c r="H21" s="818">
        <f t="shared" si="0"/>
        <v>2.2722997732268113</v>
      </c>
      <c r="I21" s="818">
        <f t="shared" si="0"/>
        <v>74.331487082272346</v>
      </c>
      <c r="J21" s="818">
        <f t="shared" si="0"/>
        <v>67.027549802259045</v>
      </c>
      <c r="K21" s="818">
        <f t="shared" si="0"/>
        <v>1.4388142359538301</v>
      </c>
      <c r="L21" s="818">
        <f t="shared" si="0"/>
        <v>1.1915736565628721</v>
      </c>
      <c r="M21" s="818">
        <f t="shared" si="0"/>
        <v>10.99551932488149</v>
      </c>
      <c r="N21" s="818">
        <f t="shared" si="0"/>
        <v>4.5434629003691125</v>
      </c>
      <c r="O21" s="818">
        <f t="shared" si="0"/>
        <v>32.77941228785749</v>
      </c>
      <c r="P21" s="818">
        <f t="shared" si="0"/>
        <v>22.874417131395848</v>
      </c>
      <c r="Q21" s="818">
        <f t="shared" si="0"/>
        <v>68.773784343453897</v>
      </c>
      <c r="R21" s="818">
        <f t="shared" si="0"/>
        <v>68.251505943002783</v>
      </c>
      <c r="S21" s="822"/>
      <c r="T21" s="823"/>
      <c r="U21" s="823"/>
      <c r="V21" s="823"/>
      <c r="W21" s="823"/>
      <c r="X21" s="823"/>
      <c r="Y21" s="823"/>
      <c r="Z21" s="823"/>
      <c r="AA21" s="823"/>
    </row>
    <row r="22" spans="1:27" s="468" customFormat="1" ht="16.5" customHeight="1">
      <c r="A22" s="817">
        <v>2023</v>
      </c>
      <c r="B22" s="824"/>
      <c r="C22" s="818">
        <f t="shared" ref="C22:R22" si="1">C39</f>
        <v>21.933252701547758</v>
      </c>
      <c r="D22" s="818">
        <f t="shared" si="1"/>
        <v>17.976510129872718</v>
      </c>
      <c r="E22" s="818">
        <f t="shared" si="1"/>
        <v>20.509456999790618</v>
      </c>
      <c r="F22" s="818">
        <f t="shared" si="1"/>
        <v>16.222370288108483</v>
      </c>
      <c r="G22" s="818">
        <f t="shared" si="1"/>
        <v>3.3523321392633116</v>
      </c>
      <c r="H22" s="818">
        <f t="shared" si="1"/>
        <v>2.2171468133700474</v>
      </c>
      <c r="I22" s="818">
        <f t="shared" si="1"/>
        <v>71.04528428892624</v>
      </c>
      <c r="J22" s="818">
        <f t="shared" si="1"/>
        <v>60.682507693667006</v>
      </c>
      <c r="K22" s="818">
        <f t="shared" si="1"/>
        <v>1.6929227193284293</v>
      </c>
      <c r="L22" s="818">
        <f t="shared" si="1"/>
        <v>1.1214976033971031</v>
      </c>
      <c r="M22" s="818">
        <f t="shared" si="1"/>
        <v>12.546466863825762</v>
      </c>
      <c r="N22" s="818">
        <f t="shared" si="1"/>
        <v>5.7559322628724079</v>
      </c>
      <c r="O22" s="818">
        <f t="shared" si="1"/>
        <v>32.679854200461882</v>
      </c>
      <c r="P22" s="818">
        <f t="shared" si="1"/>
        <v>23.551361749371893</v>
      </c>
      <c r="Q22" s="818">
        <f t="shared" si="1"/>
        <v>67.099478145127264</v>
      </c>
      <c r="R22" s="818">
        <f t="shared" si="1"/>
        <v>63.772666803159559</v>
      </c>
      <c r="S22" s="822"/>
      <c r="T22" s="823"/>
      <c r="U22" s="823"/>
      <c r="V22" s="823"/>
      <c r="W22" s="823"/>
      <c r="X22" s="823"/>
      <c r="Y22" s="823"/>
      <c r="Z22" s="823"/>
      <c r="AA22" s="823"/>
    </row>
    <row r="23" spans="1:27" s="468" customFormat="1" ht="16.5" customHeight="1">
      <c r="A23" s="820">
        <v>2024</v>
      </c>
      <c r="B23" s="821"/>
      <c r="C23" s="828">
        <f t="shared" ref="C23:R23" si="2">C43</f>
        <v>32</v>
      </c>
      <c r="D23" s="828">
        <f t="shared" si="2"/>
        <v>16.899999999999999</v>
      </c>
      <c r="E23" s="828">
        <f t="shared" si="2"/>
        <v>30.9</v>
      </c>
      <c r="F23" s="828">
        <f t="shared" si="2"/>
        <v>15.4</v>
      </c>
      <c r="G23" s="828">
        <f t="shared" si="2"/>
        <v>3.3</v>
      </c>
      <c r="H23" s="828">
        <f t="shared" si="2"/>
        <v>2</v>
      </c>
      <c r="I23" s="828">
        <f t="shared" si="2"/>
        <v>57.3</v>
      </c>
      <c r="J23" s="828">
        <f t="shared" si="2"/>
        <v>60.3</v>
      </c>
      <c r="K23" s="828">
        <f t="shared" si="2"/>
        <v>1.8</v>
      </c>
      <c r="L23" s="828">
        <f t="shared" si="2"/>
        <v>1</v>
      </c>
      <c r="M23" s="828">
        <f t="shared" si="2"/>
        <v>11.1</v>
      </c>
      <c r="N23" s="828">
        <f t="shared" si="2"/>
        <v>7.1</v>
      </c>
      <c r="O23" s="828">
        <f t="shared" si="2"/>
        <v>40.799999999999997</v>
      </c>
      <c r="P23" s="828">
        <f t="shared" si="2"/>
        <v>22</v>
      </c>
      <c r="Q23" s="828">
        <f t="shared" si="2"/>
        <v>66.099999999999994</v>
      </c>
      <c r="R23" s="828">
        <f t="shared" si="2"/>
        <v>67.3</v>
      </c>
      <c r="S23" s="822"/>
      <c r="T23" s="823"/>
      <c r="U23" s="823"/>
      <c r="V23" s="823"/>
      <c r="W23" s="823"/>
      <c r="X23" s="823"/>
      <c r="Y23" s="823"/>
      <c r="Z23" s="823"/>
      <c r="AA23" s="823"/>
    </row>
    <row r="24" spans="1:27" s="823" customFormat="1" ht="21.2" customHeight="1">
      <c r="A24" s="825">
        <v>2020</v>
      </c>
      <c r="B24" s="826" t="s">
        <v>239</v>
      </c>
      <c r="C24" s="818">
        <v>17.644947027936066</v>
      </c>
      <c r="D24" s="818">
        <v>17.278453325358232</v>
      </c>
      <c r="E24" s="818">
        <v>16.312378080618803</v>
      </c>
      <c r="F24" s="818">
        <v>16.044492601821975</v>
      </c>
      <c r="G24" s="818">
        <v>4.6987609436571294</v>
      </c>
      <c r="H24" s="818">
        <v>4.1905113247422845</v>
      </c>
      <c r="I24" s="818">
        <v>62.480586802016447</v>
      </c>
      <c r="J24" s="818">
        <v>73.641911049366129</v>
      </c>
      <c r="K24" s="818">
        <v>0.35943792771342853</v>
      </c>
      <c r="L24" s="818">
        <v>0.15800804368800381</v>
      </c>
      <c r="M24" s="818">
        <v>4.0016517370606426</v>
      </c>
      <c r="N24" s="818">
        <v>-1.9210751667833523</v>
      </c>
      <c r="O24" s="818">
        <v>33.36716469965495</v>
      </c>
      <c r="P24" s="818">
        <v>22.500723478508608</v>
      </c>
      <c r="Q24" s="818">
        <v>65.249630456160929</v>
      </c>
      <c r="R24" s="818">
        <v>70.325026082784774</v>
      </c>
    </row>
    <row r="25" spans="1:27" s="823" customFormat="1" ht="16.5" customHeight="1">
      <c r="A25" s="825"/>
      <c r="B25" s="826" t="s">
        <v>240</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238</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 customHeight="1">
      <c r="A28" s="825">
        <v>2021</v>
      </c>
      <c r="B28" s="826" t="s">
        <v>239</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240</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238</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239</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240</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91"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91" t="s">
        <v>238</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239</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91" t="s">
        <v>240</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91"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91" t="s">
        <v>238</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239</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91" t="s">
        <v>240</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91"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91" t="s">
        <v>238</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826" t="s">
        <v>239</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091" t="s">
        <v>240</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s="823" customFormat="1" ht="16.5" customHeight="1">
      <c r="A46" s="825"/>
      <c r="B46" s="1091" t="s">
        <v>237</v>
      </c>
      <c r="C46" s="818">
        <v>29.7</v>
      </c>
      <c r="D46" s="818">
        <v>16.600000000000001</v>
      </c>
      <c r="E46" s="818">
        <v>28.7</v>
      </c>
      <c r="F46" s="818">
        <v>15.3</v>
      </c>
      <c r="G46" s="818">
        <v>2.9</v>
      </c>
      <c r="H46" s="818">
        <v>1.9</v>
      </c>
      <c r="I46" s="818">
        <v>56.7</v>
      </c>
      <c r="J46" s="818">
        <v>63.7</v>
      </c>
      <c r="K46" s="818">
        <v>1.1000000000000001</v>
      </c>
      <c r="L46" s="818">
        <v>0.6</v>
      </c>
      <c r="M46" s="818">
        <v>8.8000000000000007</v>
      </c>
      <c r="N46" s="818">
        <v>5.3</v>
      </c>
      <c r="O46" s="818">
        <v>38.799999999999997</v>
      </c>
      <c r="P46" s="818">
        <v>22.8</v>
      </c>
      <c r="Q46" s="818">
        <v>66.400000000000006</v>
      </c>
      <c r="R46" s="818">
        <v>68.7</v>
      </c>
    </row>
    <row r="47" spans="1:18" ht="21.2" customHeight="1">
      <c r="A47" s="462" t="s">
        <v>1196</v>
      </c>
      <c r="B47" s="462"/>
      <c r="C47" s="462"/>
      <c r="D47" s="462"/>
      <c r="E47" s="462"/>
      <c r="F47" s="462"/>
      <c r="G47" s="462"/>
      <c r="H47" s="462"/>
      <c r="I47" s="462"/>
      <c r="J47" s="462"/>
      <c r="K47" s="462"/>
      <c r="L47" s="462"/>
      <c r="M47" s="462"/>
      <c r="N47" s="462"/>
      <c r="O47" s="462"/>
      <c r="P47" s="462"/>
      <c r="Q47" s="834"/>
      <c r="R47" s="835" t="s">
        <v>1208</v>
      </c>
    </row>
    <row r="48" spans="1:18" ht="13.7" customHeight="1">
      <c r="A48" s="445" t="s">
        <v>1198</v>
      </c>
      <c r="C48" s="833"/>
      <c r="D48" s="833"/>
      <c r="E48" s="833"/>
      <c r="F48" s="833"/>
      <c r="G48" s="833"/>
      <c r="H48" s="833"/>
      <c r="I48" s="833"/>
      <c r="J48" s="833"/>
      <c r="K48" s="833"/>
      <c r="L48" s="833"/>
      <c r="M48" s="833"/>
      <c r="N48" s="833"/>
      <c r="O48" s="833"/>
      <c r="P48" s="833"/>
      <c r="Q48" s="833"/>
      <c r="R48" s="832" t="s">
        <v>1199</v>
      </c>
    </row>
    <row r="49" spans="1:18" ht="13.7" customHeight="1">
      <c r="C49" s="833"/>
      <c r="D49" s="833"/>
      <c r="E49" s="833"/>
      <c r="F49" s="833"/>
      <c r="G49" s="833"/>
      <c r="H49" s="833"/>
      <c r="I49" s="833"/>
      <c r="J49" s="833"/>
      <c r="K49" s="833"/>
      <c r="L49" s="833"/>
      <c r="M49" s="833"/>
      <c r="N49" s="833"/>
      <c r="O49" s="833"/>
      <c r="P49" s="833"/>
      <c r="Q49" s="833"/>
      <c r="R49" s="832"/>
    </row>
    <row r="50" spans="1:18" ht="14.25">
      <c r="A50" s="1418" t="s">
        <v>1209</v>
      </c>
      <c r="B50" s="444"/>
      <c r="C50" s="444"/>
      <c r="D50" s="444"/>
      <c r="E50" s="444"/>
      <c r="F50" s="444"/>
      <c r="G50" s="444"/>
      <c r="H50" s="444"/>
      <c r="I50" s="444"/>
      <c r="J50" s="444"/>
      <c r="K50" s="444"/>
      <c r="L50" s="444"/>
      <c r="M50" s="444"/>
      <c r="N50" s="444"/>
      <c r="O50" s="444"/>
      <c r="P50" s="444"/>
      <c r="Q50" s="444"/>
      <c r="R50" s="444"/>
    </row>
    <row r="51" spans="1:18" ht="14.25">
      <c r="A51" s="495"/>
      <c r="B51" s="444"/>
      <c r="C51" s="444"/>
      <c r="D51" s="444"/>
      <c r="E51" s="444"/>
      <c r="F51" s="444"/>
      <c r="G51" s="444"/>
      <c r="H51" s="444"/>
      <c r="I51" s="444"/>
      <c r="J51" s="444"/>
      <c r="K51" s="444"/>
      <c r="L51" s="444"/>
      <c r="M51" s="444"/>
      <c r="N51" s="444"/>
      <c r="O51" s="444"/>
      <c r="P51" s="444"/>
      <c r="Q51" s="444"/>
      <c r="R51"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9"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1"/>
  <sheetViews>
    <sheetView tabSelected="1" zoomScale="80" zoomScaleNormal="80" zoomScaleSheetLayoutView="70" workbookViewId="0">
      <pane ySplit="13" topLeftCell="A44" activePane="bottomLeft" state="frozen"/>
      <selection activeCell="N29" sqref="N29"/>
      <selection pane="bottomLeft" activeCell="N29" sqref="N29"/>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42578125" style="445" customWidth="1"/>
    <col min="17" max="17" width="13.7109375" style="445" customWidth="1"/>
    <col min="18" max="18" width="12.85546875" style="445" customWidth="1"/>
    <col min="19" max="16384" width="9.140625" style="445"/>
  </cols>
  <sheetData>
    <row r="1" spans="1:18" ht="18" customHeight="1">
      <c r="A1" s="808" t="s">
        <v>1210</v>
      </c>
      <c r="B1" s="808"/>
      <c r="C1" s="808"/>
      <c r="D1" s="808"/>
      <c r="E1" s="808"/>
      <c r="F1" s="808"/>
      <c r="G1" s="808"/>
      <c r="H1" s="808"/>
      <c r="I1" s="808"/>
      <c r="J1" s="808"/>
      <c r="K1" s="808"/>
      <c r="L1" s="808"/>
      <c r="M1" s="808"/>
      <c r="N1" s="808"/>
      <c r="O1" s="808"/>
      <c r="P1" s="808"/>
      <c r="Q1" s="808"/>
      <c r="R1" s="808"/>
    </row>
    <row r="2" spans="1:18" ht="18" customHeight="1">
      <c r="A2" s="808" t="s">
        <v>1170</v>
      </c>
      <c r="B2" s="808"/>
      <c r="C2" s="808"/>
      <c r="D2" s="808"/>
      <c r="E2" s="808"/>
      <c r="F2" s="808"/>
      <c r="G2" s="808"/>
      <c r="H2" s="808"/>
      <c r="I2" s="808"/>
      <c r="J2" s="808"/>
      <c r="K2" s="808"/>
      <c r="L2" s="808"/>
      <c r="M2" s="808"/>
      <c r="N2" s="808"/>
      <c r="O2" s="808"/>
      <c r="P2" s="808"/>
      <c r="Q2" s="808"/>
      <c r="R2" s="808"/>
    </row>
    <row r="3" spans="1:18" ht="15.95" customHeight="1">
      <c r="A3" s="809" t="s">
        <v>66</v>
      </c>
      <c r="B3" s="464"/>
      <c r="C3" s="464"/>
      <c r="D3" s="464"/>
      <c r="E3" s="464"/>
      <c r="F3" s="464"/>
      <c r="G3" s="464"/>
      <c r="H3" s="464"/>
      <c r="I3" s="464"/>
      <c r="J3" s="464"/>
      <c r="K3" s="464"/>
      <c r="L3" s="464"/>
      <c r="M3" s="464"/>
      <c r="N3" s="464"/>
      <c r="O3" s="464"/>
      <c r="P3" s="464"/>
      <c r="Q3" s="464"/>
      <c r="R3" s="464"/>
    </row>
    <row r="4" spans="1:18" ht="18">
      <c r="A4" s="1962" t="s">
        <v>63</v>
      </c>
      <c r="B4" s="1962"/>
      <c r="C4" s="1962"/>
      <c r="D4" s="1962"/>
      <c r="E4" s="1962"/>
      <c r="F4" s="1962"/>
      <c r="G4" s="1962"/>
      <c r="H4" s="1962"/>
      <c r="I4" s="1962"/>
      <c r="J4" s="1962"/>
      <c r="K4" s="1962"/>
      <c r="L4" s="1962"/>
      <c r="M4" s="1962"/>
      <c r="N4" s="1962"/>
      <c r="O4" s="1962"/>
      <c r="P4" s="1962"/>
      <c r="Q4" s="1962"/>
      <c r="R4" s="1962"/>
    </row>
    <row r="5" spans="1:18" ht="15.95" customHeight="1">
      <c r="A5" s="1963" t="s">
        <v>62</v>
      </c>
      <c r="B5" s="1963"/>
      <c r="C5" s="1963"/>
      <c r="D5" s="1963"/>
      <c r="E5" s="1963"/>
      <c r="F5" s="1963"/>
      <c r="G5" s="1963"/>
      <c r="H5" s="1963"/>
      <c r="I5" s="1963"/>
      <c r="J5" s="1963"/>
      <c r="K5" s="1963"/>
      <c r="L5" s="1963"/>
      <c r="M5" s="1963"/>
      <c r="N5" s="1963"/>
      <c r="O5" s="1963"/>
      <c r="P5" s="1963"/>
      <c r="Q5" s="1963"/>
      <c r="R5" s="1963"/>
    </row>
    <row r="6" spans="1:18" ht="15.95" customHeight="1">
      <c r="A6" s="809"/>
      <c r="B6" s="464"/>
      <c r="C6" s="464"/>
      <c r="D6" s="464"/>
      <c r="E6" s="464"/>
      <c r="F6" s="464"/>
      <c r="G6" s="464"/>
      <c r="H6" s="464"/>
      <c r="I6" s="464"/>
      <c r="J6" s="464"/>
      <c r="K6" s="464"/>
      <c r="L6" s="464"/>
      <c r="M6" s="464"/>
      <c r="N6" s="464"/>
      <c r="O6" s="464"/>
      <c r="P6" s="464"/>
      <c r="Q6" s="464"/>
      <c r="R6" s="464"/>
    </row>
    <row r="7" spans="1:18" s="448" customFormat="1" ht="14.85" customHeight="1">
      <c r="A7" s="1952" t="s">
        <v>1027</v>
      </c>
      <c r="B7" s="1950"/>
      <c r="C7" s="447"/>
      <c r="D7" s="447"/>
      <c r="E7" s="447"/>
      <c r="F7" s="447"/>
      <c r="G7" s="447"/>
      <c r="H7" s="447"/>
      <c r="I7" s="447"/>
      <c r="J7" s="447"/>
      <c r="K7" s="447"/>
      <c r="L7" s="447"/>
      <c r="M7" s="447"/>
      <c r="N7" s="447"/>
      <c r="O7" s="447"/>
      <c r="P7" s="447"/>
      <c r="Q7" s="447"/>
      <c r="R7" s="811" t="s">
        <v>1028</v>
      </c>
    </row>
    <row r="8" spans="1:18" s="468" customFormat="1" ht="14.45" customHeight="1">
      <c r="A8" s="465"/>
      <c r="B8" s="466"/>
      <c r="C8" s="1953" t="s">
        <v>386</v>
      </c>
      <c r="D8" s="1964"/>
      <c r="E8" s="1964"/>
      <c r="F8" s="1954"/>
      <c r="G8" s="1953" t="s">
        <v>1173</v>
      </c>
      <c r="H8" s="1964"/>
      <c r="I8" s="1964"/>
      <c r="J8" s="1954"/>
      <c r="K8" s="1953" t="s">
        <v>1174</v>
      </c>
      <c r="L8" s="1964"/>
      <c r="M8" s="1964"/>
      <c r="N8" s="1954"/>
      <c r="O8" s="1953" t="s">
        <v>1175</v>
      </c>
      <c r="P8" s="1964"/>
      <c r="Q8" s="1964"/>
      <c r="R8" s="1954"/>
    </row>
    <row r="9" spans="1:18" s="468" customFormat="1" ht="14.25" customHeight="1">
      <c r="A9" s="812"/>
      <c r="B9" s="813"/>
      <c r="C9" s="1944" t="s">
        <v>1176</v>
      </c>
      <c r="D9" s="1959"/>
      <c r="E9" s="1959"/>
      <c r="F9" s="1945"/>
      <c r="G9" s="1944" t="s">
        <v>1177</v>
      </c>
      <c r="H9" s="1959"/>
      <c r="I9" s="1959"/>
      <c r="J9" s="1945"/>
      <c r="K9" s="1944" t="s">
        <v>1178</v>
      </c>
      <c r="L9" s="1959"/>
      <c r="M9" s="1959"/>
      <c r="N9" s="1945"/>
      <c r="O9" s="1944" t="s">
        <v>1179</v>
      </c>
      <c r="P9" s="1959" t="s">
        <v>1179</v>
      </c>
      <c r="Q9" s="1959"/>
      <c r="R9" s="1945"/>
    </row>
    <row r="10" spans="1:18" s="468" customFormat="1" ht="51" customHeight="1">
      <c r="A10" s="812" t="s">
        <v>379</v>
      </c>
      <c r="B10" s="813"/>
      <c r="C10" s="1960" t="s">
        <v>1180</v>
      </c>
      <c r="D10" s="1961"/>
      <c r="E10" s="1960" t="s">
        <v>1181</v>
      </c>
      <c r="F10" s="1961"/>
      <c r="G10" s="1960" t="s">
        <v>1182</v>
      </c>
      <c r="H10" s="1961"/>
      <c r="I10" s="1960" t="s">
        <v>1183</v>
      </c>
      <c r="J10" s="1961"/>
      <c r="K10" s="1960" t="s">
        <v>1204</v>
      </c>
      <c r="L10" s="1961"/>
      <c r="M10" s="1960" t="s">
        <v>1185</v>
      </c>
      <c r="N10" s="1961"/>
      <c r="O10" s="1960" t="s">
        <v>1186</v>
      </c>
      <c r="P10" s="1961"/>
      <c r="Q10" s="1960" t="s">
        <v>1187</v>
      </c>
      <c r="R10" s="1961"/>
    </row>
    <row r="11" spans="1:18" s="482" customFormat="1" ht="31.5" customHeight="1">
      <c r="A11" s="814" t="s">
        <v>387</v>
      </c>
      <c r="B11" s="815"/>
      <c r="C11" s="1955" t="s">
        <v>1188</v>
      </c>
      <c r="D11" s="1956"/>
      <c r="E11" s="1955" t="s">
        <v>1189</v>
      </c>
      <c r="F11" s="1956"/>
      <c r="G11" s="1955" t="s">
        <v>1190</v>
      </c>
      <c r="H11" s="1956"/>
      <c r="I11" s="1955" t="s">
        <v>1191</v>
      </c>
      <c r="J11" s="1956"/>
      <c r="K11" s="1955" t="s">
        <v>1192</v>
      </c>
      <c r="L11" s="1956"/>
      <c r="M11" s="1955" t="s">
        <v>1193</v>
      </c>
      <c r="N11" s="1956"/>
      <c r="O11" s="1957" t="s">
        <v>1194</v>
      </c>
      <c r="P11" s="1958"/>
      <c r="Q11" s="1957" t="s">
        <v>1195</v>
      </c>
      <c r="R11" s="1958"/>
    </row>
    <row r="12" spans="1:18" s="482" customFormat="1" ht="15.75">
      <c r="A12" s="814"/>
      <c r="B12" s="815"/>
      <c r="C12" s="473" t="s">
        <v>1205</v>
      </c>
      <c r="D12" s="474" t="s">
        <v>1206</v>
      </c>
      <c r="E12" s="473" t="s">
        <v>1205</v>
      </c>
      <c r="F12" s="474" t="s">
        <v>1206</v>
      </c>
      <c r="G12" s="473" t="s">
        <v>1205</v>
      </c>
      <c r="H12" s="474" t="s">
        <v>1206</v>
      </c>
      <c r="I12" s="473" t="s">
        <v>1205</v>
      </c>
      <c r="J12" s="474" t="s">
        <v>1206</v>
      </c>
      <c r="K12" s="473" t="s">
        <v>1205</v>
      </c>
      <c r="L12" s="474" t="s">
        <v>1206</v>
      </c>
      <c r="M12" s="473" t="s">
        <v>1205</v>
      </c>
      <c r="N12" s="474" t="s">
        <v>1206</v>
      </c>
      <c r="O12" s="473" t="s">
        <v>1205</v>
      </c>
      <c r="P12" s="474" t="s">
        <v>1206</v>
      </c>
      <c r="Q12" s="473" t="s">
        <v>1205</v>
      </c>
      <c r="R12" s="474" t="s">
        <v>1206</v>
      </c>
    </row>
    <row r="13" spans="1:18" s="482" customFormat="1" ht="15">
      <c r="A13" s="476"/>
      <c r="B13" s="477"/>
      <c r="C13" s="514" t="s">
        <v>503</v>
      </c>
      <c r="D13" s="515" t="s">
        <v>1207</v>
      </c>
      <c r="E13" s="514" t="s">
        <v>503</v>
      </c>
      <c r="F13" s="515" t="s">
        <v>1207</v>
      </c>
      <c r="G13" s="514" t="s">
        <v>503</v>
      </c>
      <c r="H13" s="515" t="s">
        <v>1207</v>
      </c>
      <c r="I13" s="514" t="s">
        <v>503</v>
      </c>
      <c r="J13" s="515" t="s">
        <v>1207</v>
      </c>
      <c r="K13" s="514" t="s">
        <v>503</v>
      </c>
      <c r="L13" s="515" t="s">
        <v>1207</v>
      </c>
      <c r="M13" s="514" t="s">
        <v>503</v>
      </c>
      <c r="N13" s="515" t="s">
        <v>1207</v>
      </c>
      <c r="O13" s="514" t="s">
        <v>503</v>
      </c>
      <c r="P13" s="515" t="s">
        <v>1207</v>
      </c>
      <c r="Q13" s="514" t="s">
        <v>503</v>
      </c>
      <c r="R13" s="515" t="s">
        <v>1207</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5.95"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5.95"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f t="shared" ref="C21:R21" si="0">C35</f>
        <v>21.204814675250162</v>
      </c>
      <c r="D21" s="818">
        <f t="shared" si="0"/>
        <v>16.905150123165441</v>
      </c>
      <c r="E21" s="818">
        <f t="shared" si="0"/>
        <v>19.70261638468326</v>
      </c>
      <c r="F21" s="818">
        <f t="shared" si="0"/>
        <v>16.180489072230692</v>
      </c>
      <c r="G21" s="818">
        <f t="shared" si="0"/>
        <v>4.8093161737589858</v>
      </c>
      <c r="H21" s="818">
        <f t="shared" si="0"/>
        <v>4.7559375447699637</v>
      </c>
      <c r="I21" s="818">
        <f t="shared" si="0"/>
        <v>54.768042702269028</v>
      </c>
      <c r="J21" s="818">
        <f t="shared" si="0"/>
        <v>94.902974678441836</v>
      </c>
      <c r="K21" s="818">
        <f t="shared" si="0"/>
        <v>0.87595227018522537</v>
      </c>
      <c r="L21" s="818">
        <f t="shared" si="0"/>
        <v>1.100102681681584</v>
      </c>
      <c r="M21" s="818">
        <f t="shared" si="0"/>
        <v>10.617069117244164</v>
      </c>
      <c r="N21" s="818">
        <f t="shared" si="0"/>
        <v>10.270111723584328</v>
      </c>
      <c r="O21" s="818">
        <f t="shared" si="0"/>
        <v>17.002769647396214</v>
      </c>
      <c r="P21" s="818">
        <f t="shared" si="0"/>
        <v>13.787628081342373</v>
      </c>
      <c r="Q21" s="818">
        <f t="shared" si="0"/>
        <v>62.14686370019303</v>
      </c>
      <c r="R21" s="818">
        <f t="shared" si="0"/>
        <v>24.958679427474355</v>
      </c>
      <c r="S21" s="822"/>
      <c r="T21" s="823"/>
      <c r="U21" s="823"/>
      <c r="V21" s="823"/>
      <c r="W21" s="823"/>
      <c r="X21" s="823"/>
      <c r="Y21" s="823"/>
      <c r="Z21" s="823"/>
      <c r="AA21" s="823"/>
    </row>
    <row r="22" spans="1:27" s="468" customFormat="1" ht="16.5" customHeight="1">
      <c r="A22" s="817">
        <v>2023</v>
      </c>
      <c r="B22" s="824"/>
      <c r="C22" s="818">
        <f t="shared" ref="C22:R22" si="1">C39</f>
        <v>19.96305153756693</v>
      </c>
      <c r="D22" s="818">
        <f t="shared" si="1"/>
        <v>17.378854683113332</v>
      </c>
      <c r="E22" s="818">
        <f t="shared" si="1"/>
        <v>18.245928283180287</v>
      </c>
      <c r="F22" s="818">
        <f t="shared" si="1"/>
        <v>16.531807790188662</v>
      </c>
      <c r="G22" s="818">
        <f t="shared" si="1"/>
        <v>4.9295077007297978</v>
      </c>
      <c r="H22" s="818">
        <f t="shared" si="1"/>
        <v>0.99112401615405099</v>
      </c>
      <c r="I22" s="818">
        <f t="shared" si="1"/>
        <v>40.510930108623803</v>
      </c>
      <c r="J22" s="818">
        <f t="shared" si="1"/>
        <v>87.51046908990962</v>
      </c>
      <c r="K22" s="818">
        <f t="shared" si="1"/>
        <v>0.60608117266301587</v>
      </c>
      <c r="L22" s="818">
        <f t="shared" si="1"/>
        <v>1.2840845161266219</v>
      </c>
      <c r="M22" s="818">
        <f t="shared" si="1"/>
        <v>8.1738970833670184</v>
      </c>
      <c r="N22" s="818">
        <f t="shared" si="1"/>
        <v>9.9930881596790204</v>
      </c>
      <c r="O22" s="818">
        <f t="shared" si="1"/>
        <v>17.733423357233622</v>
      </c>
      <c r="P22" s="818">
        <f t="shared" si="1"/>
        <v>19.927673120983716</v>
      </c>
      <c r="Q22" s="818">
        <f t="shared" si="1"/>
        <v>61.43289413689056</v>
      </c>
      <c r="R22" s="818">
        <f t="shared" si="1"/>
        <v>30.403678580265925</v>
      </c>
      <c r="S22" s="822"/>
      <c r="T22" s="823"/>
      <c r="U22" s="823"/>
      <c r="V22" s="823"/>
      <c r="W22" s="823"/>
      <c r="X22" s="823"/>
      <c r="Y22" s="823"/>
      <c r="Z22" s="823"/>
      <c r="AA22" s="823"/>
    </row>
    <row r="23" spans="1:27" s="468" customFormat="1" ht="16.5" customHeight="1">
      <c r="A23" s="820">
        <v>2024</v>
      </c>
      <c r="B23" s="821"/>
      <c r="C23" s="828">
        <f t="shared" ref="C23:R23" si="2">C43</f>
        <v>24.6</v>
      </c>
      <c r="D23" s="828">
        <f t="shared" si="2"/>
        <v>19.600000000000001</v>
      </c>
      <c r="E23" s="828">
        <f t="shared" si="2"/>
        <v>23</v>
      </c>
      <c r="F23" s="828">
        <f t="shared" si="2"/>
        <v>18.899999999999999</v>
      </c>
      <c r="G23" s="828">
        <f t="shared" si="2"/>
        <v>4.3</v>
      </c>
      <c r="H23" s="828">
        <f t="shared" si="2"/>
        <v>1.1000000000000001</v>
      </c>
      <c r="I23" s="828">
        <f t="shared" si="2"/>
        <v>42.8</v>
      </c>
      <c r="J23" s="828">
        <f t="shared" si="2"/>
        <v>43.9</v>
      </c>
      <c r="K23" s="828">
        <f t="shared" si="2"/>
        <v>1.5</v>
      </c>
      <c r="L23" s="828">
        <f t="shared" si="2"/>
        <v>1.3</v>
      </c>
      <c r="M23" s="828">
        <f t="shared" si="2"/>
        <v>16.5</v>
      </c>
      <c r="N23" s="828">
        <f t="shared" si="2"/>
        <v>13.1</v>
      </c>
      <c r="O23" s="828">
        <f t="shared" si="2"/>
        <v>24.8</v>
      </c>
      <c r="P23" s="828">
        <f t="shared" si="2"/>
        <v>23.8</v>
      </c>
      <c r="Q23" s="828">
        <f t="shared" si="2"/>
        <v>56.1</v>
      </c>
      <c r="R23" s="828">
        <f t="shared" si="2"/>
        <v>29.3</v>
      </c>
      <c r="S23" s="822"/>
      <c r="T23" s="823"/>
      <c r="U23" s="823"/>
      <c r="V23" s="823"/>
      <c r="W23" s="823"/>
      <c r="X23" s="823"/>
      <c r="Y23" s="823"/>
      <c r="Z23" s="823"/>
      <c r="AA23" s="823"/>
    </row>
    <row r="24" spans="1:27" s="823" customFormat="1" ht="21.2" customHeight="1">
      <c r="A24" s="825">
        <v>2020</v>
      </c>
      <c r="B24" s="826" t="s">
        <v>239</v>
      </c>
      <c r="C24" s="818">
        <v>18.511974726961867</v>
      </c>
      <c r="D24" s="818">
        <v>17.923698654369634</v>
      </c>
      <c r="E24" s="818">
        <v>15.886777937888255</v>
      </c>
      <c r="F24" s="818">
        <v>16.72517346009213</v>
      </c>
      <c r="G24" s="818">
        <v>8.506698272939591</v>
      </c>
      <c r="H24" s="818">
        <v>1.3537304053907862</v>
      </c>
      <c r="I24" s="818">
        <v>40.797065584314026</v>
      </c>
      <c r="J24" s="818">
        <v>75.070077025218154</v>
      </c>
      <c r="K24" s="818">
        <v>9.103722418811877E-2</v>
      </c>
      <c r="L24" s="818">
        <v>-0.21045784151229055</v>
      </c>
      <c r="M24" s="818">
        <v>1.1134418537744986</v>
      </c>
      <c r="N24" s="818">
        <v>-1.9399769132589519</v>
      </c>
      <c r="O24" s="818">
        <v>18.534061508847891</v>
      </c>
      <c r="P24" s="818">
        <v>18.588297730050659</v>
      </c>
      <c r="Q24" s="818">
        <v>66.945208101455805</v>
      </c>
      <c r="R24" s="818">
        <v>64.770726898706826</v>
      </c>
    </row>
    <row r="25" spans="1:27" s="823" customFormat="1" ht="16.5" customHeight="1">
      <c r="A25" s="825"/>
      <c r="B25" s="826" t="s">
        <v>240</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238</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 customHeight="1">
      <c r="A28" s="825">
        <v>2021</v>
      </c>
      <c r="B28" s="826" t="s">
        <v>239</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240</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238</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239</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240</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91"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91" t="s">
        <v>238</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239</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91" t="s">
        <v>240</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91"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91" t="s">
        <v>238</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239</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91" t="s">
        <v>240</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91"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91" t="s">
        <v>238</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826" t="s">
        <v>239</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091" t="s">
        <v>240</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s="823" customFormat="1" ht="16.5" customHeight="1">
      <c r="A46" s="825"/>
      <c r="B46" s="1091" t="s">
        <v>237</v>
      </c>
      <c r="C46" s="818">
        <v>25.2</v>
      </c>
      <c r="D46" s="818">
        <v>20</v>
      </c>
      <c r="E46" s="818">
        <v>23.3</v>
      </c>
      <c r="F46" s="818">
        <v>19.399999999999999</v>
      </c>
      <c r="G46" s="818">
        <v>4.4000000000000004</v>
      </c>
      <c r="H46" s="818">
        <v>0.7</v>
      </c>
      <c r="I46" s="818">
        <v>48.3</v>
      </c>
      <c r="J46" s="818">
        <v>45.6</v>
      </c>
      <c r="K46" s="818">
        <v>1.1000000000000001</v>
      </c>
      <c r="L46" s="818">
        <v>0.8</v>
      </c>
      <c r="M46" s="818">
        <v>11.9</v>
      </c>
      <c r="N46" s="818">
        <v>10.199999999999999</v>
      </c>
      <c r="O46" s="818">
        <v>26.1</v>
      </c>
      <c r="P46" s="818">
        <v>16.2</v>
      </c>
      <c r="Q46" s="818">
        <v>56.4</v>
      </c>
      <c r="R46" s="818">
        <v>33.799999999999997</v>
      </c>
    </row>
    <row r="47" spans="1:18" ht="21.2" customHeight="1">
      <c r="A47" s="462" t="s">
        <v>1196</v>
      </c>
      <c r="B47" s="462"/>
      <c r="C47" s="462"/>
      <c r="D47" s="462"/>
      <c r="E47" s="462"/>
      <c r="F47" s="462"/>
      <c r="G47" s="462"/>
      <c r="H47" s="462"/>
      <c r="I47" s="462"/>
      <c r="J47" s="462"/>
      <c r="K47" s="462"/>
      <c r="L47" s="462"/>
      <c r="M47" s="462"/>
      <c r="N47" s="462"/>
      <c r="O47" s="462"/>
      <c r="P47" s="462"/>
      <c r="Q47" s="827"/>
      <c r="R47" s="835" t="s">
        <v>1197</v>
      </c>
    </row>
    <row r="48" spans="1:18" ht="13.7" customHeight="1">
      <c r="A48" s="445" t="s">
        <v>1198</v>
      </c>
      <c r="C48" s="833"/>
      <c r="D48" s="833"/>
      <c r="E48" s="833"/>
      <c r="F48" s="833"/>
      <c r="G48" s="833"/>
      <c r="H48" s="833"/>
      <c r="I48" s="833"/>
      <c r="J48" s="833"/>
      <c r="K48" s="833"/>
      <c r="L48" s="833"/>
      <c r="M48" s="833"/>
      <c r="N48" s="833"/>
      <c r="O48" s="833"/>
      <c r="P48" s="833"/>
      <c r="Q48" s="833"/>
      <c r="R48" s="832" t="s">
        <v>1199</v>
      </c>
    </row>
    <row r="49" spans="1:18" ht="13.7" customHeight="1">
      <c r="C49" s="833"/>
      <c r="D49" s="833"/>
      <c r="E49" s="833"/>
      <c r="F49" s="833"/>
      <c r="G49" s="833"/>
      <c r="H49" s="833"/>
      <c r="I49" s="833"/>
      <c r="J49" s="833"/>
      <c r="K49" s="833"/>
      <c r="L49" s="833"/>
      <c r="M49" s="833"/>
      <c r="N49" s="833"/>
      <c r="O49" s="833"/>
      <c r="P49" s="833"/>
      <c r="Q49" s="833"/>
      <c r="R49" s="832"/>
    </row>
    <row r="50" spans="1:18" ht="14.25">
      <c r="A50" s="1418" t="s">
        <v>1211</v>
      </c>
      <c r="B50" s="444"/>
      <c r="C50" s="444"/>
      <c r="D50" s="444"/>
      <c r="E50" s="444"/>
      <c r="F50" s="444"/>
      <c r="G50" s="444"/>
      <c r="H50" s="444"/>
      <c r="I50" s="444"/>
      <c r="J50" s="444"/>
      <c r="K50" s="444"/>
      <c r="L50" s="444"/>
      <c r="M50" s="444"/>
      <c r="N50" s="444"/>
      <c r="O50" s="444"/>
      <c r="P50" s="444"/>
      <c r="Q50" s="444"/>
      <c r="R50" s="444"/>
    </row>
    <row r="51" spans="1:18" ht="14.25">
      <c r="A51" s="495"/>
      <c r="B51" s="444"/>
      <c r="C51" s="444"/>
      <c r="D51" s="444"/>
      <c r="E51" s="444"/>
      <c r="F51" s="444"/>
      <c r="G51" s="444"/>
      <c r="H51" s="444"/>
      <c r="I51" s="444"/>
      <c r="J51" s="444"/>
      <c r="K51" s="444"/>
      <c r="L51" s="444"/>
      <c r="M51" s="444"/>
      <c r="N51" s="444"/>
      <c r="O51" s="444"/>
      <c r="P51" s="444"/>
      <c r="Q51" s="444"/>
      <c r="R51"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6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7"/>
  <sheetViews>
    <sheetView tabSelected="1" zoomScale="78" zoomScaleNormal="78" workbookViewId="0">
      <pane ySplit="10" topLeftCell="A28" activePane="bottomLeft" state="frozen"/>
      <selection activeCell="N29" sqref="N29"/>
      <selection pane="bottomLeft" activeCell="N29" sqref="N29"/>
    </sheetView>
  </sheetViews>
  <sheetFormatPr defaultColWidth="9.140625" defaultRowHeight="15"/>
  <cols>
    <col min="1" max="2" width="9.7109375" style="686" customWidth="1"/>
    <col min="3" max="3" width="16" style="686" customWidth="1"/>
    <col min="4" max="4" width="18" style="686" customWidth="1"/>
    <col min="5" max="8" width="14.7109375" style="686" customWidth="1"/>
    <col min="9" max="9" width="15.42578125" style="686" customWidth="1"/>
    <col min="10" max="13" width="14.7109375" style="686" customWidth="1"/>
    <col min="14" max="14" width="16.42578125" style="686" customWidth="1"/>
    <col min="15" max="15" width="14.7109375" style="686" customWidth="1"/>
    <col min="16" max="16384" width="9.140625" style="686"/>
  </cols>
  <sheetData>
    <row r="1" spans="1:17" s="1402" customFormat="1" ht="18" customHeight="1">
      <c r="A1" s="1400" t="s">
        <v>1212</v>
      </c>
      <c r="B1" s="1401"/>
      <c r="C1" s="1401"/>
      <c r="D1" s="1401"/>
      <c r="E1" s="1401"/>
      <c r="F1" s="1401"/>
      <c r="G1" s="1401"/>
      <c r="H1" s="1401"/>
      <c r="I1" s="1401"/>
      <c r="J1" s="1401"/>
      <c r="K1" s="1401"/>
      <c r="L1" s="1401"/>
      <c r="M1" s="1401"/>
      <c r="N1" s="1401"/>
      <c r="O1" s="1401"/>
    </row>
    <row r="2" spans="1:17" s="1402" customFormat="1" ht="18" customHeight="1">
      <c r="A2" s="1403" t="s">
        <v>74</v>
      </c>
      <c r="B2" s="1403"/>
      <c r="C2" s="1403"/>
      <c r="D2" s="1403"/>
      <c r="E2" s="1403"/>
      <c r="F2" s="1403"/>
      <c r="G2" s="1403"/>
      <c r="H2" s="1403"/>
      <c r="I2" s="1403"/>
      <c r="J2" s="1403"/>
      <c r="K2" s="1403"/>
      <c r="L2" s="1403"/>
      <c r="M2" s="1403"/>
      <c r="N2" s="1403"/>
      <c r="O2" s="1403"/>
    </row>
    <row r="3" spans="1:17" s="1402" customFormat="1" ht="18" customHeight="1">
      <c r="A3" s="1403" t="s">
        <v>73</v>
      </c>
      <c r="B3" s="1403"/>
      <c r="C3" s="1403"/>
      <c r="D3" s="1403"/>
      <c r="E3" s="1403"/>
      <c r="F3" s="1403"/>
      <c r="G3" s="1403"/>
      <c r="H3" s="1403"/>
      <c r="I3" s="1403"/>
      <c r="J3" s="1403"/>
      <c r="K3" s="1403"/>
      <c r="L3" s="1403"/>
      <c r="M3" s="1403"/>
      <c r="N3" s="1403"/>
      <c r="O3" s="1403"/>
    </row>
    <row r="4" spans="1:17">
      <c r="A4" s="686" t="s">
        <v>1213</v>
      </c>
      <c r="O4" s="686" t="s">
        <v>1214</v>
      </c>
    </row>
    <row r="5" spans="1:17" s="693" customFormat="1" ht="18.600000000000001" customHeight="1">
      <c r="A5" s="1967" t="s">
        <v>1215</v>
      </c>
      <c r="B5" s="1968"/>
      <c r="C5" s="687" t="s">
        <v>1216</v>
      </c>
      <c r="D5" s="688"/>
      <c r="E5" s="688"/>
      <c r="F5" s="688"/>
      <c r="G5" s="688"/>
      <c r="H5" s="689"/>
      <c r="I5" s="687" t="s">
        <v>1217</v>
      </c>
      <c r="J5" s="688"/>
      <c r="K5" s="688"/>
      <c r="L5" s="688"/>
      <c r="M5" s="690"/>
      <c r="N5" s="691" t="s">
        <v>1218</v>
      </c>
      <c r="O5" s="692" t="s">
        <v>1219</v>
      </c>
    </row>
    <row r="6" spans="1:17" s="693" customFormat="1" ht="16.5">
      <c r="A6" s="1969"/>
      <c r="B6" s="1970"/>
      <c r="C6" s="694" t="s">
        <v>1220</v>
      </c>
      <c r="D6" s="695"/>
      <c r="E6" s="695"/>
      <c r="F6" s="695"/>
      <c r="G6" s="695"/>
      <c r="H6" s="695"/>
      <c r="I6" s="696" t="s">
        <v>1221</v>
      </c>
      <c r="J6" s="695"/>
      <c r="K6" s="695"/>
      <c r="L6" s="695"/>
      <c r="M6" s="697"/>
      <c r="N6" s="698" t="s">
        <v>1222</v>
      </c>
      <c r="O6" s="699" t="s">
        <v>1223</v>
      </c>
    </row>
    <row r="7" spans="1:17" s="693" customFormat="1" ht="18" customHeight="1">
      <c r="A7" s="1969"/>
      <c r="B7" s="1970"/>
      <c r="C7" s="700" t="s">
        <v>1224</v>
      </c>
      <c r="D7" s="701"/>
      <c r="E7" s="702" t="s">
        <v>1225</v>
      </c>
      <c r="F7" s="701"/>
      <c r="G7" s="690"/>
      <c r="H7" s="1971" t="s">
        <v>1226</v>
      </c>
      <c r="I7" s="1971" t="s">
        <v>1224</v>
      </c>
      <c r="J7" s="702" t="s">
        <v>1225</v>
      </c>
      <c r="K7" s="701"/>
      <c r="L7" s="690"/>
      <c r="M7" s="1971" t="s">
        <v>1226</v>
      </c>
      <c r="N7" s="1971" t="s">
        <v>1224</v>
      </c>
      <c r="O7" s="1971" t="s">
        <v>1126</v>
      </c>
    </row>
    <row r="8" spans="1:17" s="693" customFormat="1" ht="16.5">
      <c r="A8" s="1969"/>
      <c r="B8" s="1970"/>
      <c r="C8" s="703" t="s">
        <v>1227</v>
      </c>
      <c r="D8" s="704"/>
      <c r="E8" s="703" t="s">
        <v>1228</v>
      </c>
      <c r="F8" s="704"/>
      <c r="G8" s="705"/>
      <c r="H8" s="1965"/>
      <c r="I8" s="1965"/>
      <c r="J8" s="703" t="s">
        <v>1228</v>
      </c>
      <c r="K8" s="704"/>
      <c r="L8" s="705"/>
      <c r="M8" s="1965"/>
      <c r="N8" s="1965"/>
      <c r="O8" s="1965"/>
    </row>
    <row r="9" spans="1:17" s="693" customFormat="1" ht="66">
      <c r="A9" s="1972" t="s">
        <v>387</v>
      </c>
      <c r="B9" s="1973"/>
      <c r="C9" s="706" t="s">
        <v>382</v>
      </c>
      <c r="D9" s="707" t="s">
        <v>1229</v>
      </c>
      <c r="E9" s="708" t="s">
        <v>1131</v>
      </c>
      <c r="F9" s="708" t="s">
        <v>1132</v>
      </c>
      <c r="G9" s="708" t="s">
        <v>382</v>
      </c>
      <c r="H9" s="1965" t="s">
        <v>1230</v>
      </c>
      <c r="I9" s="1965" t="s">
        <v>1231</v>
      </c>
      <c r="J9" s="708" t="s">
        <v>1131</v>
      </c>
      <c r="K9" s="708" t="s">
        <v>1132</v>
      </c>
      <c r="L9" s="708" t="s">
        <v>382</v>
      </c>
      <c r="M9" s="1965" t="s">
        <v>1232</v>
      </c>
      <c r="N9" s="1965" t="s">
        <v>1233</v>
      </c>
      <c r="O9" s="1965" t="s">
        <v>1234</v>
      </c>
    </row>
    <row r="10" spans="1:17" s="693" customFormat="1" ht="49.5">
      <c r="A10" s="1974"/>
      <c r="B10" s="1975"/>
      <c r="C10" s="709" t="s">
        <v>1235</v>
      </c>
      <c r="D10" s="863" t="s">
        <v>1236</v>
      </c>
      <c r="E10" s="710" t="s">
        <v>1133</v>
      </c>
      <c r="F10" s="711" t="s">
        <v>1134</v>
      </c>
      <c r="G10" s="711" t="s">
        <v>1237</v>
      </c>
      <c r="H10" s="1966"/>
      <c r="I10" s="1966"/>
      <c r="J10" s="710" t="s">
        <v>1133</v>
      </c>
      <c r="K10" s="711" t="s">
        <v>1134</v>
      </c>
      <c r="L10" s="711" t="s">
        <v>1238</v>
      </c>
      <c r="M10" s="1966"/>
      <c r="N10" s="1966"/>
      <c r="O10" s="1966"/>
      <c r="P10" s="712"/>
      <c r="Q10" s="712"/>
    </row>
    <row r="11" spans="1:17" s="1407" customFormat="1" ht="20.25" customHeight="1">
      <c r="A11" s="1404">
        <v>2017</v>
      </c>
      <c r="B11" s="1405" t="s">
        <v>239</v>
      </c>
      <c r="C11" s="935">
        <v>290.89999999999998</v>
      </c>
      <c r="D11" s="935">
        <v>54.8</v>
      </c>
      <c r="E11" s="935">
        <v>3724.5</v>
      </c>
      <c r="F11" s="935">
        <v>922.4</v>
      </c>
      <c r="G11" s="935">
        <v>4646.8999999999996</v>
      </c>
      <c r="H11" s="936">
        <f>C11+G11</f>
        <v>4937.7999999999993</v>
      </c>
      <c r="I11" s="937">
        <v>32.700000000000003</v>
      </c>
      <c r="J11" s="935">
        <v>1734</v>
      </c>
      <c r="K11" s="935">
        <v>677.2</v>
      </c>
      <c r="L11" s="935">
        <f t="shared" ref="L11" si="0">J11+K11</f>
        <v>2411.1999999999998</v>
      </c>
      <c r="M11" s="936">
        <f t="shared" ref="M11" si="1">I11+L11</f>
        <v>2443.8999999999996</v>
      </c>
      <c r="N11" s="938">
        <v>9.1999999999999993</v>
      </c>
      <c r="O11" s="939">
        <f>H11+M11+N11</f>
        <v>7390.8999999999987</v>
      </c>
      <c r="P11" s="1406"/>
      <c r="Q11" s="1406"/>
    </row>
    <row r="12" spans="1:17" s="1416" customFormat="1" ht="14.25" customHeight="1">
      <c r="A12" s="1408"/>
      <c r="B12" s="1409" t="s">
        <v>240</v>
      </c>
      <c r="C12" s="1410">
        <v>289.25799999999998</v>
      </c>
      <c r="D12" s="1410">
        <v>57.895000000000003</v>
      </c>
      <c r="E12" s="1410">
        <v>3781.3429999999998</v>
      </c>
      <c r="F12" s="1410">
        <v>959.23400000000004</v>
      </c>
      <c r="G12" s="1410">
        <v>4740.5780000000004</v>
      </c>
      <c r="H12" s="1411">
        <v>5029.8360000000002</v>
      </c>
      <c r="I12" s="1412">
        <v>35.08</v>
      </c>
      <c r="J12" s="1410">
        <v>1809.6420000000001</v>
      </c>
      <c r="K12" s="1410">
        <v>694.65800000000002</v>
      </c>
      <c r="L12" s="1410">
        <v>2504.3000000000002</v>
      </c>
      <c r="M12" s="1411">
        <v>2539.38</v>
      </c>
      <c r="N12" s="1413">
        <v>8.5869999999999997</v>
      </c>
      <c r="O12" s="1414">
        <f>H12+M12+N12</f>
        <v>7577.8030000000008</v>
      </c>
      <c r="P12" s="1415"/>
      <c r="Q12" s="1415"/>
    </row>
    <row r="13" spans="1:17" s="1416" customFormat="1" ht="14.25" customHeight="1">
      <c r="A13" s="1408"/>
      <c r="B13" s="1409" t="s">
        <v>237</v>
      </c>
      <c r="C13" s="1410">
        <v>291.5</v>
      </c>
      <c r="D13" s="1410">
        <v>58.6</v>
      </c>
      <c r="E13" s="1410">
        <v>3821.9</v>
      </c>
      <c r="F13" s="1410">
        <v>986.1</v>
      </c>
      <c r="G13" s="1410">
        <v>4808</v>
      </c>
      <c r="H13" s="1411">
        <v>5099.5</v>
      </c>
      <c r="I13" s="1412">
        <v>38.299999999999997</v>
      </c>
      <c r="J13" s="1410">
        <v>1797.2</v>
      </c>
      <c r="K13" s="1410">
        <v>742.9</v>
      </c>
      <c r="L13" s="1410">
        <v>2540</v>
      </c>
      <c r="M13" s="1411">
        <v>2578.3000000000002</v>
      </c>
      <c r="N13" s="1413">
        <v>8.3000000000000007</v>
      </c>
      <c r="O13" s="1414">
        <v>7686.1</v>
      </c>
      <c r="P13" s="1415"/>
      <c r="Q13" s="1415"/>
    </row>
    <row r="14" spans="1:17" s="1416" customFormat="1" ht="14.25" customHeight="1">
      <c r="A14" s="1408"/>
      <c r="B14" s="1409" t="s">
        <v>238</v>
      </c>
      <c r="C14" s="1410">
        <v>291.10000000000002</v>
      </c>
      <c r="D14" s="1410">
        <v>51.57</v>
      </c>
      <c r="E14" s="1410">
        <v>3854.95</v>
      </c>
      <c r="F14" s="1410">
        <v>942.2</v>
      </c>
      <c r="G14" s="1410">
        <v>4794.2</v>
      </c>
      <c r="H14" s="1411">
        <v>5085.3</v>
      </c>
      <c r="I14" s="1412">
        <v>36.69</v>
      </c>
      <c r="J14" s="1410">
        <v>1767.49</v>
      </c>
      <c r="K14" s="1410">
        <v>730.35</v>
      </c>
      <c r="L14" s="1410">
        <v>2497.8000000000002</v>
      </c>
      <c r="M14" s="1411">
        <v>2534.5</v>
      </c>
      <c r="N14" s="1413">
        <v>8.6999999999999993</v>
      </c>
      <c r="O14" s="1414">
        <v>7628.5</v>
      </c>
      <c r="P14" s="1415"/>
      <c r="Q14" s="1415"/>
    </row>
    <row r="15" spans="1:17" s="1407" customFormat="1" ht="20.25" customHeight="1">
      <c r="A15" s="1404">
        <v>2018</v>
      </c>
      <c r="B15" s="1405" t="s">
        <v>239</v>
      </c>
      <c r="C15" s="935">
        <v>281.00400000000002</v>
      </c>
      <c r="D15" s="935">
        <v>59.970999999999997</v>
      </c>
      <c r="E15" s="935">
        <v>3894.6579999999999</v>
      </c>
      <c r="F15" s="935">
        <v>902.78499999999997</v>
      </c>
      <c r="G15" s="935">
        <f>+F15+E15</f>
        <v>4797.4430000000002</v>
      </c>
      <c r="H15" s="936">
        <f>+C15+G15</f>
        <v>5078.4470000000001</v>
      </c>
      <c r="I15" s="937">
        <v>39.543999999999997</v>
      </c>
      <c r="J15" s="935">
        <v>1869.028</v>
      </c>
      <c r="K15" s="935">
        <v>746.67100000000005</v>
      </c>
      <c r="L15" s="935">
        <f>+J15+K15</f>
        <v>2615.6990000000001</v>
      </c>
      <c r="M15" s="936">
        <f>+I15+L15</f>
        <v>2655.2429999999999</v>
      </c>
      <c r="N15" s="938">
        <v>8.4260000000000002</v>
      </c>
      <c r="O15" s="939">
        <f>+H15+M15+N15</f>
        <v>7742.1160000000009</v>
      </c>
      <c r="P15" s="1406"/>
      <c r="Q15" s="1406"/>
    </row>
    <row r="16" spans="1:17" s="1416" customFormat="1" ht="14.25" customHeight="1">
      <c r="A16" s="1408"/>
      <c r="B16" s="1409" t="s">
        <v>240</v>
      </c>
      <c r="C16" s="1410">
        <v>286.05</v>
      </c>
      <c r="D16" s="1410">
        <v>57.78</v>
      </c>
      <c r="E16" s="1410">
        <v>3877.75</v>
      </c>
      <c r="F16" s="1410">
        <v>928.89</v>
      </c>
      <c r="G16" s="1410">
        <v>4806.68</v>
      </c>
      <c r="H16" s="936">
        <f>+C16+G16</f>
        <v>5092.7300000000005</v>
      </c>
      <c r="I16" s="1412">
        <v>37.6</v>
      </c>
      <c r="J16" s="1410">
        <v>1899.8</v>
      </c>
      <c r="K16" s="1410">
        <v>734.6</v>
      </c>
      <c r="L16" s="1410">
        <v>2634.48</v>
      </c>
      <c r="M16" s="936">
        <f>+I16+L16</f>
        <v>2672.08</v>
      </c>
      <c r="N16" s="1413">
        <v>7.45</v>
      </c>
      <c r="O16" s="939">
        <f>+H16+M16+N16</f>
        <v>7772.26</v>
      </c>
      <c r="P16" s="1415"/>
      <c r="Q16" s="1415"/>
    </row>
    <row r="17" spans="1:17" s="1416" customFormat="1" ht="14.25" customHeight="1">
      <c r="A17" s="1408"/>
      <c r="B17" s="1409" t="s">
        <v>237</v>
      </c>
      <c r="C17" s="1410">
        <v>291.85500000000002</v>
      </c>
      <c r="D17" s="1410">
        <v>67.680000000000007</v>
      </c>
      <c r="E17" s="1410">
        <v>3900.3670000000002</v>
      </c>
      <c r="F17" s="1410">
        <v>909.26099999999997</v>
      </c>
      <c r="G17" s="1410">
        <v>4809.6499999999996</v>
      </c>
      <c r="H17" s="936">
        <v>5101.5049999999992</v>
      </c>
      <c r="I17" s="1412">
        <v>43.344000000000001</v>
      </c>
      <c r="J17" s="1410">
        <v>1967.3610000000001</v>
      </c>
      <c r="K17" s="1410">
        <v>739.7</v>
      </c>
      <c r="L17" s="1410">
        <v>2707.65</v>
      </c>
      <c r="M17" s="936">
        <v>2750.9940000000001</v>
      </c>
      <c r="N17" s="1413">
        <v>7.4130000000000003</v>
      </c>
      <c r="O17" s="939">
        <v>7859.9119999999994</v>
      </c>
      <c r="P17" s="1415"/>
      <c r="Q17" s="1415"/>
    </row>
    <row r="18" spans="1:17" s="1416" customFormat="1" ht="14.25" customHeight="1">
      <c r="A18" s="1408"/>
      <c r="B18" s="1409" t="s">
        <v>238</v>
      </c>
      <c r="C18" s="1410">
        <v>266.27</v>
      </c>
      <c r="D18" s="1410">
        <v>68.150000000000006</v>
      </c>
      <c r="E18" s="1410">
        <v>3841.6</v>
      </c>
      <c r="F18" s="1410">
        <v>900.24</v>
      </c>
      <c r="G18" s="1410">
        <v>4741.8</v>
      </c>
      <c r="H18" s="936">
        <f>C18+G18</f>
        <v>5008.07</v>
      </c>
      <c r="I18" s="1412">
        <v>40.081000000000003</v>
      </c>
      <c r="J18" s="1410">
        <v>2058.65</v>
      </c>
      <c r="K18" s="1410">
        <v>624.41999999999996</v>
      </c>
      <c r="L18" s="1410">
        <v>2683.087</v>
      </c>
      <c r="M18" s="936">
        <f>I18+L18</f>
        <v>2723.1680000000001</v>
      </c>
      <c r="N18" s="1413">
        <v>7.5819999999999999</v>
      </c>
      <c r="O18" s="939">
        <f>H18+M18+N18</f>
        <v>7738.82</v>
      </c>
      <c r="P18" s="1415"/>
      <c r="Q18" s="1415"/>
    </row>
    <row r="19" spans="1:17" s="1407" customFormat="1" ht="20.25" customHeight="1">
      <c r="A19" s="1404">
        <v>2019</v>
      </c>
      <c r="B19" s="1405" t="s">
        <v>239</v>
      </c>
      <c r="C19" s="935">
        <v>254.21600000000001</v>
      </c>
      <c r="D19" s="935">
        <v>109.64400000000001</v>
      </c>
      <c r="E19" s="935">
        <v>4029.7339999999999</v>
      </c>
      <c r="F19" s="935">
        <v>874.36900000000003</v>
      </c>
      <c r="G19" s="935">
        <f>+F19+E19</f>
        <v>4904.1030000000001</v>
      </c>
      <c r="H19" s="936">
        <f>C19+G19</f>
        <v>5158.3190000000004</v>
      </c>
      <c r="I19" s="937">
        <v>41.886000000000003</v>
      </c>
      <c r="J19" s="935">
        <v>1917.7919999999999</v>
      </c>
      <c r="K19" s="935">
        <v>1109.703</v>
      </c>
      <c r="L19" s="935">
        <f>J19+K19</f>
        <v>3027.4949999999999</v>
      </c>
      <c r="M19" s="936">
        <f>I19+L19</f>
        <v>3069.3809999999999</v>
      </c>
      <c r="N19" s="938">
        <v>7.3789999999999996</v>
      </c>
      <c r="O19" s="939">
        <f>H19+M19+N19</f>
        <v>8235.0790000000015</v>
      </c>
      <c r="P19" s="1406"/>
      <c r="Q19" s="1406"/>
    </row>
    <row r="20" spans="1:17" s="1416" customFormat="1" ht="14.25" customHeight="1">
      <c r="A20" s="1408"/>
      <c r="B20" s="1409" t="s">
        <v>240</v>
      </c>
      <c r="C20" s="1410">
        <v>289.3</v>
      </c>
      <c r="D20" s="1410">
        <v>121.3</v>
      </c>
      <c r="E20" s="1410">
        <v>3897.6</v>
      </c>
      <c r="F20" s="1410">
        <v>857.4</v>
      </c>
      <c r="G20" s="1410">
        <f>+F20+E20</f>
        <v>4755</v>
      </c>
      <c r="H20" s="1411">
        <f>C20+G20</f>
        <v>5044.3</v>
      </c>
      <c r="I20" s="1412">
        <v>40.299999999999997</v>
      </c>
      <c r="J20" s="1410">
        <v>1985.7</v>
      </c>
      <c r="K20" s="1410">
        <v>1266.2</v>
      </c>
      <c r="L20" s="1410">
        <f>J20+K20</f>
        <v>3251.9</v>
      </c>
      <c r="M20" s="1411">
        <f>L20+I20</f>
        <v>3292.2000000000003</v>
      </c>
      <c r="N20" s="1413">
        <v>7.4</v>
      </c>
      <c r="O20" s="1414">
        <f>H20+M20+N20</f>
        <v>8343.9</v>
      </c>
      <c r="P20" s="1415"/>
      <c r="Q20" s="1415"/>
    </row>
    <row r="21" spans="1:17" s="1416" customFormat="1" ht="14.25" customHeight="1">
      <c r="A21" s="1408"/>
      <c r="B21" s="1409" t="s">
        <v>237</v>
      </c>
      <c r="C21" s="1410">
        <v>386.3</v>
      </c>
      <c r="D21" s="1410">
        <v>111.5</v>
      </c>
      <c r="E21" s="1410">
        <v>3960.4</v>
      </c>
      <c r="F21" s="1410">
        <v>3316.2</v>
      </c>
      <c r="G21" s="1410">
        <f>+F21+E21</f>
        <v>7276.6</v>
      </c>
      <c r="H21" s="936">
        <f>C21+G21</f>
        <v>7662.9000000000005</v>
      </c>
      <c r="I21" s="1412">
        <v>47.9</v>
      </c>
      <c r="J21" s="1410">
        <v>2037.8</v>
      </c>
      <c r="K21" s="1410">
        <v>1235.0999999999999</v>
      </c>
      <c r="L21" s="1410">
        <f>J21+K21</f>
        <v>3272.8999999999996</v>
      </c>
      <c r="M21" s="936">
        <f>L21+I21</f>
        <v>3320.7999999999997</v>
      </c>
      <c r="N21" s="1413">
        <v>6</v>
      </c>
      <c r="O21" s="939">
        <f>H21+M21+N21</f>
        <v>10989.7</v>
      </c>
      <c r="P21" s="1415"/>
      <c r="Q21" s="1415"/>
    </row>
    <row r="22" spans="1:17" s="1416" customFormat="1" ht="14.25" customHeight="1">
      <c r="A22" s="1408"/>
      <c r="B22" s="1409" t="s">
        <v>238</v>
      </c>
      <c r="C22" s="1410">
        <v>252.3</v>
      </c>
      <c r="D22" s="1410">
        <v>134.30000000000001</v>
      </c>
      <c r="E22" s="1410">
        <v>4087.9</v>
      </c>
      <c r="F22" s="1410">
        <v>886.9</v>
      </c>
      <c r="G22" s="1410">
        <v>4974.8</v>
      </c>
      <c r="H22" s="936">
        <v>5227.1000000000004</v>
      </c>
      <c r="I22" s="1412">
        <v>39.799999999999997</v>
      </c>
      <c r="J22" s="1410">
        <v>2533.6</v>
      </c>
      <c r="K22" s="1410">
        <v>849.8</v>
      </c>
      <c r="L22" s="1410">
        <v>3383.3999999999996</v>
      </c>
      <c r="M22" s="936">
        <v>3423.2</v>
      </c>
      <c r="N22" s="1413">
        <v>7.9</v>
      </c>
      <c r="O22" s="939">
        <v>8658.1999999999989</v>
      </c>
      <c r="P22" s="1415"/>
      <c r="Q22" s="1415"/>
    </row>
    <row r="23" spans="1:17" s="1407" customFormat="1" ht="20.25" customHeight="1">
      <c r="A23" s="1404">
        <v>2020</v>
      </c>
      <c r="B23" s="1405" t="s">
        <v>239</v>
      </c>
      <c r="C23" s="935">
        <v>368.2</v>
      </c>
      <c r="D23" s="935">
        <v>175.3</v>
      </c>
      <c r="E23" s="935">
        <v>3700.8</v>
      </c>
      <c r="F23" s="935">
        <v>3130</v>
      </c>
      <c r="G23" s="935">
        <v>6830.8</v>
      </c>
      <c r="H23" s="936">
        <v>7199</v>
      </c>
      <c r="I23" s="937">
        <v>43.4</v>
      </c>
      <c r="J23" s="935">
        <v>2256.5</v>
      </c>
      <c r="K23" s="935">
        <v>628.29999999999995</v>
      </c>
      <c r="L23" s="935">
        <v>2884.8</v>
      </c>
      <c r="M23" s="936">
        <v>2928.2000000000003</v>
      </c>
      <c r="N23" s="938">
        <v>8.3000000000000007</v>
      </c>
      <c r="O23" s="939">
        <v>10135.5</v>
      </c>
      <c r="P23" s="1406"/>
      <c r="Q23" s="1406"/>
    </row>
    <row r="24" spans="1:17" s="1416" customFormat="1" ht="14.25" customHeight="1">
      <c r="A24" s="1408"/>
      <c r="B24" s="1409" t="s">
        <v>240</v>
      </c>
      <c r="C24" s="1410">
        <v>364.4</v>
      </c>
      <c r="D24" s="1410">
        <v>162.595</v>
      </c>
      <c r="E24" s="1410">
        <v>3580.2</v>
      </c>
      <c r="F24" s="1410">
        <v>3129.69</v>
      </c>
      <c r="G24" s="1410">
        <v>6709.9441999999999</v>
      </c>
      <c r="H24" s="1411">
        <v>7074.3441999999995</v>
      </c>
      <c r="I24" s="1412">
        <v>35.700000000000003</v>
      </c>
      <c r="J24" s="1410">
        <v>1949.67</v>
      </c>
      <c r="K24" s="1410">
        <v>1189.7940000000001</v>
      </c>
      <c r="L24" s="1410">
        <v>3139.4639999999999</v>
      </c>
      <c r="M24" s="1411">
        <v>3175.1639999999998</v>
      </c>
      <c r="N24" s="1413">
        <v>10.08</v>
      </c>
      <c r="O24" s="1414">
        <v>10259.5882</v>
      </c>
      <c r="P24" s="1415"/>
      <c r="Q24" s="1415"/>
    </row>
    <row r="25" spans="1:17" s="1416" customFormat="1" ht="14.25" customHeight="1">
      <c r="A25" s="1408"/>
      <c r="B25" s="1409" t="s">
        <v>237</v>
      </c>
      <c r="C25" s="1410">
        <v>333</v>
      </c>
      <c r="D25" s="1410">
        <v>150.6</v>
      </c>
      <c r="E25" s="1410">
        <v>3674</v>
      </c>
      <c r="F25" s="1410">
        <v>3000.4</v>
      </c>
      <c r="G25" s="1410">
        <v>6671.4</v>
      </c>
      <c r="H25" s="1411">
        <v>7004.4</v>
      </c>
      <c r="I25" s="1412">
        <v>40</v>
      </c>
      <c r="J25" s="1410">
        <v>2502.4</v>
      </c>
      <c r="K25" s="1410">
        <v>899.6</v>
      </c>
      <c r="L25" s="1410">
        <v>3389.7</v>
      </c>
      <c r="M25" s="1411">
        <v>3429.7</v>
      </c>
      <c r="N25" s="1413">
        <v>8</v>
      </c>
      <c r="O25" s="1414">
        <v>10442.099999999999</v>
      </c>
      <c r="P25" s="1415"/>
      <c r="Q25" s="1415"/>
    </row>
    <row r="26" spans="1:17" s="1416" customFormat="1" ht="14.25" customHeight="1">
      <c r="A26" s="1408"/>
      <c r="B26" s="1409" t="s">
        <v>238</v>
      </c>
      <c r="C26" s="1410">
        <v>400.06</v>
      </c>
      <c r="D26" s="1410">
        <v>201.61</v>
      </c>
      <c r="E26" s="1410">
        <v>4136</v>
      </c>
      <c r="F26" s="1410">
        <v>3074</v>
      </c>
      <c r="G26" s="1410">
        <v>7210</v>
      </c>
      <c r="H26" s="1411">
        <f>+C26+G26</f>
        <v>7610.06</v>
      </c>
      <c r="I26" s="1412">
        <v>39.164999999999999</v>
      </c>
      <c r="J26" s="1410">
        <v>3030.8</v>
      </c>
      <c r="K26" s="1410">
        <v>592.11699999999996</v>
      </c>
      <c r="L26" s="1410">
        <f>+J26+K26</f>
        <v>3622.9170000000004</v>
      </c>
      <c r="M26" s="1411">
        <f>+I26+L26</f>
        <v>3662.0820000000003</v>
      </c>
      <c r="N26" s="1413">
        <v>8.1940000000000008</v>
      </c>
      <c r="O26" s="1414">
        <f>+N26+M26+H26</f>
        <v>11280.336000000001</v>
      </c>
      <c r="P26" s="1415"/>
      <c r="Q26" s="1415"/>
    </row>
    <row r="27" spans="1:17" s="1407" customFormat="1" ht="20.25" customHeight="1">
      <c r="A27" s="1404">
        <v>2021</v>
      </c>
      <c r="B27" s="1405" t="s">
        <v>239</v>
      </c>
      <c r="C27" s="935">
        <v>395.1</v>
      </c>
      <c r="D27" s="935">
        <v>193.18</v>
      </c>
      <c r="E27" s="935">
        <v>4015.9</v>
      </c>
      <c r="F27" s="935">
        <v>3095.9</v>
      </c>
      <c r="G27" s="935">
        <v>7111.9</v>
      </c>
      <c r="H27" s="936">
        <f>C27+G27</f>
        <v>7507</v>
      </c>
      <c r="I27" s="937">
        <v>41.05</v>
      </c>
      <c r="J27" s="935">
        <v>2202.9499999999998</v>
      </c>
      <c r="K27" s="935">
        <v>1456.3</v>
      </c>
      <c r="L27" s="935">
        <v>3659.3</v>
      </c>
      <c r="M27" s="936">
        <f>I27+L27</f>
        <v>3700.3500000000004</v>
      </c>
      <c r="N27" s="938">
        <v>8.3970000000000002</v>
      </c>
      <c r="O27" s="939">
        <f>H27+M27+N27</f>
        <v>11215.747000000001</v>
      </c>
      <c r="P27" s="1406"/>
      <c r="Q27" s="1406"/>
    </row>
    <row r="28" spans="1:17" s="1407" customFormat="1" ht="14.25" customHeight="1">
      <c r="A28" s="1404"/>
      <c r="B28" s="1405" t="s">
        <v>240</v>
      </c>
      <c r="C28" s="935">
        <v>404.18</v>
      </c>
      <c r="D28" s="935">
        <v>190.95699999999999</v>
      </c>
      <c r="E28" s="935">
        <v>4078.9</v>
      </c>
      <c r="F28" s="935">
        <v>3259.9</v>
      </c>
      <c r="G28" s="935">
        <v>7338.7</v>
      </c>
      <c r="H28" s="936">
        <f>C28+G28</f>
        <v>7742.88</v>
      </c>
      <c r="I28" s="937">
        <v>41.14</v>
      </c>
      <c r="J28" s="935">
        <v>2328.6999999999998</v>
      </c>
      <c r="K28" s="935">
        <v>1512.8</v>
      </c>
      <c r="L28" s="935">
        <v>3841.5</v>
      </c>
      <c r="M28" s="936">
        <f>I28+L28</f>
        <v>3882.64</v>
      </c>
      <c r="N28" s="938">
        <v>7.17</v>
      </c>
      <c r="O28" s="939">
        <f>H28+M28+N28</f>
        <v>11632.69</v>
      </c>
      <c r="P28" s="1406"/>
      <c r="Q28" s="1406"/>
    </row>
    <row r="29" spans="1:17" s="1407" customFormat="1" ht="14.25" customHeight="1">
      <c r="A29" s="1404"/>
      <c r="B29" s="1405" t="s">
        <v>237</v>
      </c>
      <c r="C29" s="935">
        <v>414.9</v>
      </c>
      <c r="D29" s="935">
        <v>141.1</v>
      </c>
      <c r="E29" s="935">
        <v>4069.7</v>
      </c>
      <c r="F29" s="935">
        <v>3425</v>
      </c>
      <c r="G29" s="935">
        <f>+E29+F29</f>
        <v>7494.7</v>
      </c>
      <c r="H29" s="936">
        <f>+C29+G29</f>
        <v>7909.5999999999995</v>
      </c>
      <c r="I29" s="937">
        <v>44.1</v>
      </c>
      <c r="J29" s="935">
        <v>2701.3</v>
      </c>
      <c r="K29" s="935">
        <v>1087.2</v>
      </c>
      <c r="L29" s="935">
        <f>+J29+K29</f>
        <v>3788.5</v>
      </c>
      <c r="M29" s="936">
        <f>+L29+I29</f>
        <v>3832.6</v>
      </c>
      <c r="N29" s="938">
        <v>9</v>
      </c>
      <c r="O29" s="939">
        <f>+N29+M29+H29</f>
        <v>11751.199999999999</v>
      </c>
      <c r="P29" s="1406"/>
      <c r="Q29" s="1406"/>
    </row>
    <row r="30" spans="1:17" s="1407" customFormat="1" ht="14.25" customHeight="1">
      <c r="A30" s="1404"/>
      <c r="B30" s="1405" t="s">
        <v>238</v>
      </c>
      <c r="C30" s="935">
        <v>367.12700000000001</v>
      </c>
      <c r="D30" s="935">
        <v>139.88</v>
      </c>
      <c r="E30" s="935">
        <v>4101.0249999999996</v>
      </c>
      <c r="F30" s="935">
        <f>3314.626+0.03</f>
        <v>3314.6560000000004</v>
      </c>
      <c r="G30" s="935">
        <f>+E30+F30</f>
        <v>7415.6810000000005</v>
      </c>
      <c r="H30" s="936">
        <f>+C30+G30</f>
        <v>7782.8080000000009</v>
      </c>
      <c r="I30" s="937">
        <v>45.77</v>
      </c>
      <c r="J30" s="935">
        <v>2430.5459999999998</v>
      </c>
      <c r="K30" s="935">
        <v>1473.9059999999999</v>
      </c>
      <c r="L30" s="935">
        <f>+J30+K30-0.01</f>
        <v>3904.4419999999996</v>
      </c>
      <c r="M30" s="936">
        <f>+L30+I30</f>
        <v>3950.2119999999995</v>
      </c>
      <c r="N30" s="938">
        <v>8.7080000000000002</v>
      </c>
      <c r="O30" s="939">
        <f>+N30+M30+H30</f>
        <v>11741.728000000001</v>
      </c>
      <c r="P30" s="1406"/>
      <c r="Q30" s="1406"/>
    </row>
    <row r="31" spans="1:17" s="1407" customFormat="1" ht="20.25" customHeight="1">
      <c r="A31" s="1404">
        <v>2022</v>
      </c>
      <c r="B31" s="1405" t="s">
        <v>239</v>
      </c>
      <c r="C31" s="935">
        <v>755</v>
      </c>
      <c r="D31" s="935">
        <v>276.89999999999998</v>
      </c>
      <c r="E31" s="935">
        <v>4161.3</v>
      </c>
      <c r="F31" s="935">
        <v>3265.6</v>
      </c>
      <c r="G31" s="935">
        <f>+E31+F31</f>
        <v>7426.9</v>
      </c>
      <c r="H31" s="936">
        <f>+C31+G31</f>
        <v>8181.9</v>
      </c>
      <c r="I31" s="937">
        <v>47.2</v>
      </c>
      <c r="J31" s="935">
        <v>2835.8</v>
      </c>
      <c r="K31" s="935">
        <v>1102.5999999999999</v>
      </c>
      <c r="L31" s="935">
        <f>+J31+K31</f>
        <v>3938.4</v>
      </c>
      <c r="M31" s="936">
        <f>+L31+I31</f>
        <v>3985.6</v>
      </c>
      <c r="N31" s="938">
        <v>7.5</v>
      </c>
      <c r="O31" s="939">
        <f>+N31+M31+H31</f>
        <v>12175</v>
      </c>
      <c r="P31" s="1406"/>
      <c r="Q31" s="1406"/>
    </row>
    <row r="32" spans="1:17" s="1407" customFormat="1" ht="14.25" customHeight="1">
      <c r="A32" s="1404"/>
      <c r="B32" s="1405" t="s">
        <v>240</v>
      </c>
      <c r="C32" s="935">
        <v>686.2</v>
      </c>
      <c r="D32" s="935">
        <v>595.79999999999995</v>
      </c>
      <c r="E32" s="935">
        <v>3808.9</v>
      </c>
      <c r="F32" s="935">
        <v>3491.2</v>
      </c>
      <c r="G32" s="935">
        <v>7300.1</v>
      </c>
      <c r="H32" s="936">
        <v>7986.3</v>
      </c>
      <c r="I32" s="937">
        <v>30.1</v>
      </c>
      <c r="J32" s="935">
        <v>2489.4</v>
      </c>
      <c r="K32" s="935">
        <v>960.2</v>
      </c>
      <c r="L32" s="935">
        <v>3449.6000000000004</v>
      </c>
      <c r="M32" s="936">
        <v>3479.7000000000003</v>
      </c>
      <c r="N32" s="938">
        <v>7.3</v>
      </c>
      <c r="O32" s="939">
        <v>11473.300000000001</v>
      </c>
      <c r="P32" s="1406"/>
      <c r="Q32" s="1406"/>
    </row>
    <row r="33" spans="1:17" s="1407" customFormat="1" ht="14.25" customHeight="1">
      <c r="A33" s="1404"/>
      <c r="B33" s="1405" t="s">
        <v>237</v>
      </c>
      <c r="C33" s="935">
        <v>747.3</v>
      </c>
      <c r="D33" s="935">
        <v>543.5</v>
      </c>
      <c r="E33" s="935">
        <v>3552.3</v>
      </c>
      <c r="F33" s="935">
        <v>3430.1</v>
      </c>
      <c r="G33" s="935">
        <f t="shared" ref="G33:G38" si="2">SUM(E33:F33)</f>
        <v>6982.4</v>
      </c>
      <c r="H33" s="936">
        <f t="shared" ref="H33:H38" si="3">C33+G33</f>
        <v>7729.7</v>
      </c>
      <c r="I33" s="937">
        <v>47.4</v>
      </c>
      <c r="J33" s="935">
        <v>2523.6</v>
      </c>
      <c r="K33" s="935">
        <v>916.5</v>
      </c>
      <c r="L33" s="935">
        <f t="shared" ref="L33:L38" si="4">SUM(J33:K33)</f>
        <v>3440.1</v>
      </c>
      <c r="M33" s="936">
        <f t="shared" ref="M33:M38" si="5">I33+L33</f>
        <v>3487.5</v>
      </c>
      <c r="N33" s="938">
        <v>7.1</v>
      </c>
      <c r="O33" s="939">
        <f t="shared" ref="O33:O40" si="6">H33+M33+N33</f>
        <v>11224.300000000001</v>
      </c>
      <c r="P33" s="1406"/>
      <c r="Q33" s="1406"/>
    </row>
    <row r="34" spans="1:17" s="1407" customFormat="1" ht="14.25" customHeight="1">
      <c r="A34" s="1404"/>
      <c r="B34" s="1405" t="s">
        <v>238</v>
      </c>
      <c r="C34" s="935">
        <v>713.5</v>
      </c>
      <c r="D34" s="935">
        <v>538.70000000000005</v>
      </c>
      <c r="E34" s="935">
        <v>3578.6</v>
      </c>
      <c r="F34" s="935">
        <v>3371.6</v>
      </c>
      <c r="G34" s="935">
        <f t="shared" si="2"/>
        <v>6950.2</v>
      </c>
      <c r="H34" s="936">
        <f t="shared" si="3"/>
        <v>7663.7</v>
      </c>
      <c r="I34" s="937">
        <v>46.4</v>
      </c>
      <c r="J34" s="935">
        <v>2757</v>
      </c>
      <c r="K34" s="935">
        <v>1171.3</v>
      </c>
      <c r="L34" s="935">
        <f t="shared" si="4"/>
        <v>3928.3</v>
      </c>
      <c r="M34" s="936">
        <f t="shared" si="5"/>
        <v>3974.7000000000003</v>
      </c>
      <c r="N34" s="938">
        <v>7.2</v>
      </c>
      <c r="O34" s="939">
        <f t="shared" si="6"/>
        <v>11645.6</v>
      </c>
      <c r="P34" s="1406"/>
      <c r="Q34" s="1406"/>
    </row>
    <row r="35" spans="1:17" s="1407" customFormat="1" ht="20.25" customHeight="1">
      <c r="A35" s="1404">
        <v>2023</v>
      </c>
      <c r="B35" s="1405" t="s">
        <v>239</v>
      </c>
      <c r="C35" s="935">
        <v>711.9</v>
      </c>
      <c r="D35" s="935">
        <v>545.6</v>
      </c>
      <c r="E35" s="935">
        <v>3552.2</v>
      </c>
      <c r="F35" s="935">
        <v>3730.1</v>
      </c>
      <c r="G35" s="935">
        <f t="shared" si="2"/>
        <v>7282.2999999999993</v>
      </c>
      <c r="H35" s="936">
        <f t="shared" si="3"/>
        <v>7994.1999999999989</v>
      </c>
      <c r="I35" s="937">
        <v>47.1</v>
      </c>
      <c r="J35" s="935">
        <v>2465.5</v>
      </c>
      <c r="K35" s="935">
        <v>1226.4000000000001</v>
      </c>
      <c r="L35" s="935">
        <f t="shared" si="4"/>
        <v>3691.9</v>
      </c>
      <c r="M35" s="936">
        <f t="shared" si="5"/>
        <v>3739</v>
      </c>
      <c r="N35" s="938">
        <v>7.4</v>
      </c>
      <c r="O35" s="939">
        <f t="shared" si="6"/>
        <v>11740.599999999999</v>
      </c>
      <c r="P35" s="1406"/>
      <c r="Q35" s="1406"/>
    </row>
    <row r="36" spans="1:17" s="1407" customFormat="1" ht="14.25" customHeight="1">
      <c r="A36" s="1404"/>
      <c r="B36" s="1405" t="s">
        <v>240</v>
      </c>
      <c r="C36" s="935">
        <v>732.2</v>
      </c>
      <c r="D36" s="935">
        <v>553.9</v>
      </c>
      <c r="E36" s="935">
        <v>3510.1</v>
      </c>
      <c r="F36" s="935">
        <v>3790.5</v>
      </c>
      <c r="G36" s="935">
        <f t="shared" si="2"/>
        <v>7300.6</v>
      </c>
      <c r="H36" s="936">
        <f t="shared" si="3"/>
        <v>8032.8</v>
      </c>
      <c r="I36" s="937">
        <v>46.9</v>
      </c>
      <c r="J36" s="935">
        <v>2670.7</v>
      </c>
      <c r="K36" s="935">
        <v>1384.8</v>
      </c>
      <c r="L36" s="935">
        <f t="shared" si="4"/>
        <v>4055.5</v>
      </c>
      <c r="M36" s="936">
        <f t="shared" si="5"/>
        <v>4102.3999999999996</v>
      </c>
      <c r="N36" s="938">
        <v>5.5</v>
      </c>
      <c r="O36" s="939">
        <f t="shared" si="6"/>
        <v>12140.7</v>
      </c>
      <c r="P36" s="1406"/>
      <c r="Q36" s="1406"/>
    </row>
    <row r="37" spans="1:17" s="1407" customFormat="1" ht="14.25" customHeight="1">
      <c r="A37" s="1404"/>
      <c r="B37" s="1405" t="s">
        <v>237</v>
      </c>
      <c r="C37" s="935">
        <v>719.3</v>
      </c>
      <c r="D37" s="935">
        <v>550.9</v>
      </c>
      <c r="E37" s="935">
        <v>3402.4</v>
      </c>
      <c r="F37" s="935">
        <v>3865.4</v>
      </c>
      <c r="G37" s="935">
        <f t="shared" si="2"/>
        <v>7267.8</v>
      </c>
      <c r="H37" s="936">
        <f t="shared" si="3"/>
        <v>7987.1</v>
      </c>
      <c r="I37" s="937">
        <v>48.6</v>
      </c>
      <c r="J37" s="935">
        <v>2649.5</v>
      </c>
      <c r="K37" s="935">
        <v>1348.4</v>
      </c>
      <c r="L37" s="935">
        <f t="shared" si="4"/>
        <v>3997.9</v>
      </c>
      <c r="M37" s="936">
        <f t="shared" si="5"/>
        <v>4046.5</v>
      </c>
      <c r="N37" s="938">
        <v>5.6</v>
      </c>
      <c r="O37" s="939">
        <f t="shared" si="6"/>
        <v>12039.2</v>
      </c>
      <c r="P37" s="1406"/>
      <c r="Q37" s="1406"/>
    </row>
    <row r="38" spans="1:17" s="1407" customFormat="1" ht="14.25" customHeight="1">
      <c r="A38" s="1404"/>
      <c r="B38" s="1405" t="s">
        <v>238</v>
      </c>
      <c r="C38" s="935">
        <v>716.8</v>
      </c>
      <c r="D38" s="935">
        <v>543.1</v>
      </c>
      <c r="E38" s="935">
        <v>3307.6</v>
      </c>
      <c r="F38" s="935">
        <v>3867</v>
      </c>
      <c r="G38" s="935">
        <f t="shared" si="2"/>
        <v>7174.6</v>
      </c>
      <c r="H38" s="936">
        <f t="shared" si="3"/>
        <v>7891.4000000000005</v>
      </c>
      <c r="I38" s="937">
        <v>48.9</v>
      </c>
      <c r="J38" s="935">
        <v>2650.1</v>
      </c>
      <c r="K38" s="935">
        <v>1333.8</v>
      </c>
      <c r="L38" s="935">
        <f t="shared" si="4"/>
        <v>3983.8999999999996</v>
      </c>
      <c r="M38" s="936">
        <f t="shared" si="5"/>
        <v>4032.7999999999997</v>
      </c>
      <c r="N38" s="938">
        <v>5.5</v>
      </c>
      <c r="O38" s="939">
        <f t="shared" si="6"/>
        <v>11929.7</v>
      </c>
      <c r="P38" s="1406"/>
      <c r="Q38" s="1406"/>
    </row>
    <row r="39" spans="1:17" s="1407" customFormat="1" ht="20.25" customHeight="1">
      <c r="A39" s="1404">
        <v>2024</v>
      </c>
      <c r="B39" s="1405" t="s">
        <v>239</v>
      </c>
      <c r="C39" s="935">
        <v>704.9</v>
      </c>
      <c r="D39" s="935">
        <v>530.5</v>
      </c>
      <c r="E39" s="935">
        <v>3301.4</v>
      </c>
      <c r="F39" s="935">
        <v>3866.8</v>
      </c>
      <c r="G39" s="935">
        <f t="shared" ref="G39:G40" si="7">SUM(E39:F39)</f>
        <v>7168.2000000000007</v>
      </c>
      <c r="H39" s="936">
        <f t="shared" ref="H39:H40" si="8">C39+G39</f>
        <v>7873.1</v>
      </c>
      <c r="I39" s="937">
        <v>49.2</v>
      </c>
      <c r="J39" s="935">
        <v>2784.3</v>
      </c>
      <c r="K39" s="935">
        <v>1408.2</v>
      </c>
      <c r="L39" s="935">
        <f t="shared" ref="L39:L40" si="9">SUM(J39:K39)</f>
        <v>4192.5</v>
      </c>
      <c r="M39" s="936">
        <f t="shared" ref="M39:M40" si="10">I39+L39</f>
        <v>4241.7</v>
      </c>
      <c r="N39" s="938">
        <v>5.6</v>
      </c>
      <c r="O39" s="939">
        <f t="shared" si="6"/>
        <v>12120.4</v>
      </c>
      <c r="P39" s="1406"/>
      <c r="Q39" s="1406"/>
    </row>
    <row r="40" spans="1:17" s="1407" customFormat="1" ht="14.25" customHeight="1">
      <c r="A40" s="1404"/>
      <c r="B40" s="1405" t="s">
        <v>240</v>
      </c>
      <c r="C40" s="935">
        <v>712.8</v>
      </c>
      <c r="D40" s="935">
        <v>545</v>
      </c>
      <c r="E40" s="935">
        <v>3243.9</v>
      </c>
      <c r="F40" s="935">
        <v>3969.7</v>
      </c>
      <c r="G40" s="935">
        <f t="shared" si="7"/>
        <v>7213.6</v>
      </c>
      <c r="H40" s="936">
        <f t="shared" si="8"/>
        <v>7926.4000000000005</v>
      </c>
      <c r="I40" s="937">
        <v>49.4</v>
      </c>
      <c r="J40" s="935">
        <v>2794.6</v>
      </c>
      <c r="K40" s="935">
        <v>2140.9</v>
      </c>
      <c r="L40" s="935">
        <f t="shared" si="9"/>
        <v>4935.5</v>
      </c>
      <c r="M40" s="936">
        <f t="shared" si="10"/>
        <v>4984.8999999999996</v>
      </c>
      <c r="N40" s="938">
        <v>5.2</v>
      </c>
      <c r="O40" s="939">
        <f t="shared" si="6"/>
        <v>12916.5</v>
      </c>
      <c r="P40" s="1406"/>
      <c r="Q40" s="1406"/>
    </row>
    <row r="41" spans="1:17" s="1407" customFormat="1" ht="14.25" customHeight="1">
      <c r="A41" s="1404"/>
      <c r="B41" s="1405" t="s">
        <v>237</v>
      </c>
      <c r="C41" s="935">
        <v>709.5</v>
      </c>
      <c r="D41" s="935">
        <v>555.29999999999995</v>
      </c>
      <c r="E41" s="935">
        <v>3089.3</v>
      </c>
      <c r="F41" s="935">
        <v>3993.7</v>
      </c>
      <c r="G41" s="935">
        <f t="shared" ref="G41:G42" si="11">SUM(E41:F41)</f>
        <v>7083</v>
      </c>
      <c r="H41" s="936">
        <f t="shared" ref="H41:H42" si="12">C41+G41</f>
        <v>7792.5</v>
      </c>
      <c r="I41" s="937">
        <v>50.8</v>
      </c>
      <c r="J41" s="935">
        <v>2709.2</v>
      </c>
      <c r="K41" s="935">
        <v>2124</v>
      </c>
      <c r="L41" s="935">
        <f t="shared" ref="L41" si="13">SUM(J41:K41)</f>
        <v>4833.2</v>
      </c>
      <c r="M41" s="936">
        <f t="shared" ref="M41" si="14">I41+L41</f>
        <v>4884</v>
      </c>
      <c r="N41" s="938">
        <v>5.0999999999999996</v>
      </c>
      <c r="O41" s="939">
        <f t="shared" ref="O41" si="15">H41+M41+N41</f>
        <v>12681.6</v>
      </c>
      <c r="P41" s="1406"/>
      <c r="Q41" s="1406"/>
    </row>
    <row r="42" spans="1:17" s="1407" customFormat="1" ht="14.25" customHeight="1">
      <c r="A42" s="1404"/>
      <c r="B42" s="1405" t="s">
        <v>238</v>
      </c>
      <c r="C42" s="935">
        <v>704</v>
      </c>
      <c r="D42" s="935">
        <v>548.70000000000005</v>
      </c>
      <c r="E42" s="935">
        <v>3155.5</v>
      </c>
      <c r="F42" s="935">
        <v>4521.2</v>
      </c>
      <c r="G42" s="935">
        <f t="shared" si="11"/>
        <v>7676.7</v>
      </c>
      <c r="H42" s="936">
        <f t="shared" si="12"/>
        <v>8380.7000000000007</v>
      </c>
      <c r="I42" s="937">
        <v>43.5</v>
      </c>
      <c r="J42" s="935">
        <v>588.9</v>
      </c>
      <c r="K42" s="935">
        <v>1738.8</v>
      </c>
      <c r="L42" s="935">
        <f t="shared" ref="L42" si="16">SUM(J42:K42)</f>
        <v>2327.6999999999998</v>
      </c>
      <c r="M42" s="936">
        <f t="shared" ref="M42" si="17">I42+L42</f>
        <v>2371.1999999999998</v>
      </c>
      <c r="N42" s="938">
        <v>6.1</v>
      </c>
      <c r="O42" s="939">
        <f t="shared" ref="O42:O44" si="18">H42+M42+N42</f>
        <v>10758.000000000002</v>
      </c>
      <c r="P42" s="1406"/>
      <c r="Q42" s="1406"/>
    </row>
    <row r="43" spans="1:17" s="1407" customFormat="1" ht="20.25" customHeight="1">
      <c r="A43" s="1404">
        <v>2025</v>
      </c>
      <c r="B43" s="1405" t="s">
        <v>239</v>
      </c>
      <c r="C43" s="935">
        <v>715.9</v>
      </c>
      <c r="D43" s="935">
        <v>552.9</v>
      </c>
      <c r="E43" s="935">
        <v>3187.1</v>
      </c>
      <c r="F43" s="935">
        <v>5154.3999999999996</v>
      </c>
      <c r="G43" s="935">
        <f t="shared" ref="G43:G44" si="19">SUM(E43:F43)</f>
        <v>8341.5</v>
      </c>
      <c r="H43" s="936">
        <f t="shared" ref="H43:H44" si="20">C43+G43</f>
        <v>9057.4</v>
      </c>
      <c r="I43" s="937">
        <v>34.4</v>
      </c>
      <c r="J43" s="935">
        <v>585</v>
      </c>
      <c r="K43" s="935">
        <v>1209.8</v>
      </c>
      <c r="L43" s="935">
        <f t="shared" ref="L43:L44" si="21">SUM(J43:K43)</f>
        <v>1794.8</v>
      </c>
      <c r="M43" s="936">
        <f t="shared" ref="M43:M44" si="22">I43+L43</f>
        <v>1829.2</v>
      </c>
      <c r="N43" s="938">
        <v>6.1</v>
      </c>
      <c r="O43" s="939">
        <f t="shared" si="18"/>
        <v>10892.7</v>
      </c>
      <c r="P43" s="1406"/>
      <c r="Q43" s="1406"/>
    </row>
    <row r="44" spans="1:17" s="1407" customFormat="1" ht="14.25" customHeight="1">
      <c r="A44" s="1404"/>
      <c r="B44" s="1405" t="s">
        <v>240</v>
      </c>
      <c r="C44" s="935">
        <v>731.1</v>
      </c>
      <c r="D44" s="935">
        <v>568.9</v>
      </c>
      <c r="E44" s="935">
        <v>3175.2</v>
      </c>
      <c r="F44" s="935">
        <v>5299</v>
      </c>
      <c r="G44" s="935">
        <f t="shared" si="19"/>
        <v>8474.2000000000007</v>
      </c>
      <c r="H44" s="936">
        <f t="shared" si="20"/>
        <v>9205.3000000000011</v>
      </c>
      <c r="I44" s="937">
        <v>35</v>
      </c>
      <c r="J44" s="935">
        <v>492.6</v>
      </c>
      <c r="K44" s="935">
        <v>1433.4</v>
      </c>
      <c r="L44" s="935">
        <f t="shared" si="21"/>
        <v>1926</v>
      </c>
      <c r="M44" s="936">
        <f t="shared" si="22"/>
        <v>1961</v>
      </c>
      <c r="N44" s="938">
        <v>6.3</v>
      </c>
      <c r="O44" s="939">
        <f t="shared" si="18"/>
        <v>11172.6</v>
      </c>
      <c r="P44" s="1406"/>
      <c r="Q44" s="1406"/>
    </row>
    <row r="45" spans="1:17" s="1407" customFormat="1" ht="14.25" hidden="1" customHeight="1">
      <c r="A45" s="1404"/>
      <c r="B45" s="1405" t="s">
        <v>237</v>
      </c>
      <c r="C45" s="935"/>
      <c r="D45" s="935"/>
      <c r="E45" s="935"/>
      <c r="F45" s="935"/>
      <c r="G45" s="935"/>
      <c r="H45" s="936"/>
      <c r="I45" s="937"/>
      <c r="J45" s="935"/>
      <c r="K45" s="935"/>
      <c r="L45" s="935"/>
      <c r="M45" s="936"/>
      <c r="N45" s="938"/>
      <c r="O45" s="939"/>
      <c r="P45" s="1406"/>
      <c r="Q45" s="1406"/>
    </row>
    <row r="46" spans="1:17">
      <c r="A46" s="1417"/>
      <c r="B46" s="1417"/>
      <c r="C46" s="1417"/>
      <c r="D46" s="1417"/>
      <c r="E46" s="1417"/>
      <c r="F46" s="1417"/>
      <c r="G46" s="1417"/>
      <c r="H46" s="1417"/>
      <c r="I46" s="1417"/>
      <c r="J46" s="1417"/>
      <c r="K46" s="1417"/>
      <c r="L46" s="1417"/>
      <c r="M46" s="1417"/>
      <c r="N46" s="1417"/>
      <c r="O46" s="1417"/>
    </row>
    <row r="47" spans="1:17" customFormat="1" ht="12.75">
      <c r="A47" s="382" t="s">
        <v>1239</v>
      </c>
      <c r="B47" s="1262"/>
      <c r="C47" s="1262"/>
      <c r="D47" s="1262"/>
      <c r="E47" s="1262"/>
      <c r="F47" s="1262"/>
      <c r="G47" s="1262"/>
      <c r="H47" s="1262"/>
      <c r="I47" s="1262"/>
      <c r="J47" s="1262"/>
      <c r="K47" s="1262"/>
      <c r="L47" s="1262"/>
      <c r="M47" s="1262"/>
      <c r="N47" s="1262"/>
      <c r="O47" s="1262"/>
      <c r="P47" s="1262"/>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8"/>
  <sheetViews>
    <sheetView tabSelected="1" zoomScale="85" zoomScaleNormal="85" workbookViewId="0">
      <pane ySplit="10" topLeftCell="A23" activePane="bottomLeft" state="frozen"/>
      <selection activeCell="N29" sqref="N29"/>
      <selection pane="bottomLeft" activeCell="N29" sqref="N29"/>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1734</v>
      </c>
      <c r="B1" s="10"/>
      <c r="C1" s="10"/>
      <c r="D1" s="10"/>
      <c r="E1" s="10"/>
      <c r="F1" s="10"/>
      <c r="G1" s="10"/>
      <c r="H1" s="10"/>
      <c r="I1" s="10"/>
      <c r="J1" s="10"/>
      <c r="K1" s="10"/>
      <c r="L1" s="10"/>
      <c r="M1" s="10"/>
      <c r="N1" s="10"/>
      <c r="O1" s="10"/>
    </row>
    <row r="2" spans="1:16" ht="18" customHeight="1">
      <c r="A2" s="1358"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364" customFormat="1" ht="14.25" customHeight="1">
      <c r="A4" s="1359" t="s">
        <v>1240</v>
      </c>
      <c r="B4" s="1360"/>
      <c r="C4" s="1361"/>
      <c r="D4" s="1361"/>
      <c r="E4" s="1361"/>
      <c r="F4" s="1361"/>
      <c r="G4" s="1361"/>
      <c r="H4" s="1361"/>
      <c r="I4" s="1361"/>
      <c r="J4" s="1361"/>
      <c r="K4" s="1361"/>
      <c r="L4" s="1362"/>
      <c r="M4" s="1362"/>
      <c r="N4" s="1362"/>
      <c r="O4" s="1363" t="s">
        <v>1241</v>
      </c>
    </row>
    <row r="5" spans="1:16" s="1364" customFormat="1" ht="18" customHeight="1">
      <c r="A5" s="1886" t="s">
        <v>379</v>
      </c>
      <c r="B5" s="1887"/>
      <c r="C5" s="1365" t="s">
        <v>371</v>
      </c>
      <c r="D5" s="1366"/>
      <c r="E5" s="1367"/>
      <c r="F5" s="1361"/>
      <c r="G5" s="1368"/>
      <c r="H5" s="1369" t="s">
        <v>372</v>
      </c>
      <c r="I5" s="1370"/>
      <c r="J5" s="1371" t="s">
        <v>373</v>
      </c>
      <c r="K5" s="1368"/>
      <c r="L5" s="1372"/>
      <c r="M5" s="1373"/>
      <c r="N5" s="1368"/>
      <c r="O5" s="301" t="s">
        <v>374</v>
      </c>
    </row>
    <row r="6" spans="1:16" s="50" customFormat="1" ht="18" customHeight="1">
      <c r="A6" s="1905"/>
      <c r="B6" s="1906"/>
      <c r="C6" s="1374" t="s">
        <v>814</v>
      </c>
      <c r="D6" s="572"/>
      <c r="E6" s="1375"/>
      <c r="F6" s="1376"/>
      <c r="G6" s="1377" t="s">
        <v>377</v>
      </c>
      <c r="H6" s="888"/>
      <c r="I6" s="1378"/>
      <c r="J6" s="1371" t="s">
        <v>814</v>
      </c>
      <c r="K6" s="1379"/>
      <c r="L6" s="122"/>
      <c r="M6" s="122"/>
      <c r="N6" s="296" t="s">
        <v>377</v>
      </c>
      <c r="O6" s="187"/>
    </row>
    <row r="7" spans="1:16" s="50" customFormat="1" ht="18" customHeight="1">
      <c r="A7" s="1905"/>
      <c r="B7" s="1906"/>
      <c r="C7" s="1380"/>
      <c r="D7" s="1381" t="s">
        <v>1242</v>
      </c>
      <c r="E7" s="84" t="s">
        <v>1243</v>
      </c>
      <c r="F7" s="1381" t="s">
        <v>1244</v>
      </c>
      <c r="G7" s="83"/>
      <c r="H7" s="1382" t="s">
        <v>1245</v>
      </c>
      <c r="I7" s="1378" t="s">
        <v>382</v>
      </c>
      <c r="J7" s="1381" t="s">
        <v>1246</v>
      </c>
      <c r="K7" s="84" t="s">
        <v>1247</v>
      </c>
      <c r="L7" s="1383" t="s">
        <v>383</v>
      </c>
      <c r="M7" s="95" t="s">
        <v>386</v>
      </c>
      <c r="N7" s="83"/>
      <c r="O7" s="1384" t="s">
        <v>383</v>
      </c>
    </row>
    <row r="8" spans="1:16" s="50" customFormat="1" ht="18" customHeight="1">
      <c r="A8" s="1901" t="s">
        <v>387</v>
      </c>
      <c r="B8" s="1902"/>
      <c r="C8" s="1385" t="s">
        <v>7</v>
      </c>
      <c r="D8" s="1381" t="s">
        <v>432</v>
      </c>
      <c r="E8" s="1385" t="s">
        <v>1248</v>
      </c>
      <c r="F8" s="1382" t="s">
        <v>816</v>
      </c>
      <c r="G8" s="1386" t="s">
        <v>382</v>
      </c>
      <c r="H8" s="1382" t="s">
        <v>1249</v>
      </c>
      <c r="I8" s="173" t="s">
        <v>393</v>
      </c>
      <c r="J8" s="1381" t="s">
        <v>432</v>
      </c>
      <c r="K8" s="1387" t="s">
        <v>1248</v>
      </c>
      <c r="L8" s="1383" t="s">
        <v>816</v>
      </c>
      <c r="M8" s="95" t="s">
        <v>856</v>
      </c>
      <c r="N8" s="1388" t="s">
        <v>382</v>
      </c>
      <c r="O8" s="1384" t="s">
        <v>1249</v>
      </c>
    </row>
    <row r="9" spans="1:16" s="50" customFormat="1" ht="18" customHeight="1">
      <c r="A9" s="1901"/>
      <c r="B9" s="1902"/>
      <c r="C9" s="63" t="s">
        <v>834</v>
      </c>
      <c r="D9" s="1381" t="s">
        <v>1250</v>
      </c>
      <c r="E9" s="1381" t="s">
        <v>1251</v>
      </c>
      <c r="F9" s="1389" t="s">
        <v>400</v>
      </c>
      <c r="G9" s="63" t="s">
        <v>393</v>
      </c>
      <c r="H9" s="60" t="s">
        <v>380</v>
      </c>
      <c r="I9" s="173"/>
      <c r="J9" s="1381" t="s">
        <v>1252</v>
      </c>
      <c r="K9" s="1381" t="s">
        <v>1253</v>
      </c>
      <c r="L9" s="63" t="s">
        <v>400</v>
      </c>
      <c r="M9" s="226" t="s">
        <v>1254</v>
      </c>
      <c r="N9" s="63" t="s">
        <v>393</v>
      </c>
      <c r="O9" s="51" t="s">
        <v>380</v>
      </c>
      <c r="P9" s="1976"/>
    </row>
    <row r="10" spans="1:16" s="39" customFormat="1" ht="18" customHeight="1">
      <c r="A10" s="1903"/>
      <c r="B10" s="1904"/>
      <c r="C10" s="130"/>
      <c r="D10" s="1392" t="s">
        <v>406</v>
      </c>
      <c r="E10" s="89" t="s">
        <v>1255</v>
      </c>
      <c r="F10" s="1393" t="s">
        <v>371</v>
      </c>
      <c r="G10" s="116"/>
      <c r="H10" s="1390" t="s">
        <v>371</v>
      </c>
      <c r="I10" s="1394"/>
      <c r="J10" s="1392" t="s">
        <v>406</v>
      </c>
      <c r="K10" s="89" t="s">
        <v>1255</v>
      </c>
      <c r="L10" s="49" t="s">
        <v>373</v>
      </c>
      <c r="M10" s="49" t="s">
        <v>411</v>
      </c>
      <c r="N10" s="130"/>
      <c r="O10" s="52" t="s">
        <v>373</v>
      </c>
      <c r="P10" s="1976"/>
    </row>
    <row r="11" spans="1:16" s="321" customFormat="1" ht="20.25" customHeight="1">
      <c r="A11" s="747">
        <v>2017</v>
      </c>
      <c r="B11" s="900" t="s">
        <v>239</v>
      </c>
      <c r="C11" s="640">
        <v>48566.319000000003</v>
      </c>
      <c r="D11" s="640">
        <v>4923.9269999999997</v>
      </c>
      <c r="E11" s="640">
        <v>1338.7750000000001</v>
      </c>
      <c r="F11" s="640">
        <v>27137.902999999998</v>
      </c>
      <c r="G11" s="640">
        <f t="shared" ref="G11" si="0">SUM(C11:F11)</f>
        <v>81966.923999999999</v>
      </c>
      <c r="H11" s="1395">
        <v>38733.561000000002</v>
      </c>
      <c r="I11" s="926">
        <f t="shared" ref="I11" si="1">SUM(G11:H11)</f>
        <v>120700.485</v>
      </c>
      <c r="J11" s="1396">
        <v>30327.949000000001</v>
      </c>
      <c r="K11" s="640">
        <v>175.63399999999999</v>
      </c>
      <c r="L11" s="640">
        <v>11563.821</v>
      </c>
      <c r="M11" s="640">
        <v>65158.478999999999</v>
      </c>
      <c r="N11" s="640">
        <f t="shared" ref="N11" si="2">SUM(J11:M11)</f>
        <v>107225.883</v>
      </c>
      <c r="O11" s="640">
        <v>13474.602000000001</v>
      </c>
      <c r="P11" s="770"/>
    </row>
    <row r="12" spans="1:16" s="321" customFormat="1" ht="14.25" customHeight="1">
      <c r="A12" s="356"/>
      <c r="B12" s="900" t="s">
        <v>240</v>
      </c>
      <c r="C12" s="640">
        <v>57826.665999999997</v>
      </c>
      <c r="D12" s="640">
        <v>4823.0469999999996</v>
      </c>
      <c r="E12" s="640">
        <v>1755.8720000000001</v>
      </c>
      <c r="F12" s="640">
        <v>27842.030999999999</v>
      </c>
      <c r="G12" s="640">
        <f t="shared" ref="G12:G18" si="3">SUM(C12:F12)</f>
        <v>92247.615999999995</v>
      </c>
      <c r="H12" s="1395">
        <v>40646.851000000002</v>
      </c>
      <c r="I12" s="926">
        <f t="shared" ref="I12:I18" si="4">SUM(G12:H12)</f>
        <v>132894.467</v>
      </c>
      <c r="J12" s="1396">
        <v>38837.875</v>
      </c>
      <c r="K12" s="640">
        <v>76.688999999999993</v>
      </c>
      <c r="L12" s="640">
        <v>12300.843999999999</v>
      </c>
      <c r="M12" s="640">
        <v>68781.760999999999</v>
      </c>
      <c r="N12" s="640">
        <f t="shared" ref="N12:N18" si="5">SUM(J12:M12)</f>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f t="shared" si="3"/>
        <v>117190.66399999999</v>
      </c>
      <c r="H13" s="1395">
        <v>28773.835999999999</v>
      </c>
      <c r="I13" s="926">
        <f t="shared" si="4"/>
        <v>145964.5</v>
      </c>
      <c r="J13" s="1396">
        <v>34033.040999999997</v>
      </c>
      <c r="K13" s="640">
        <v>72.972999999999999</v>
      </c>
      <c r="L13" s="640">
        <v>12888.214</v>
      </c>
      <c r="M13" s="640">
        <v>70575.596000000005</v>
      </c>
      <c r="N13" s="640">
        <f t="shared" si="5"/>
        <v>117569.82399999999</v>
      </c>
      <c r="O13" s="640">
        <v>28394.674999999999</v>
      </c>
      <c r="P13" s="770"/>
    </row>
    <row r="14" spans="1:16" s="321" customFormat="1" ht="14.25" customHeight="1">
      <c r="A14" s="356"/>
      <c r="B14" s="900" t="s">
        <v>238</v>
      </c>
      <c r="C14" s="640">
        <v>53188.843999999997</v>
      </c>
      <c r="D14" s="640">
        <v>4831.29</v>
      </c>
      <c r="E14" s="640">
        <v>1000.2670000000001</v>
      </c>
      <c r="F14" s="640">
        <v>17667.021000000001</v>
      </c>
      <c r="G14" s="640">
        <f t="shared" si="3"/>
        <v>76687.421999999991</v>
      </c>
      <c r="H14" s="1395">
        <v>42744.773000000001</v>
      </c>
      <c r="I14" s="926">
        <f t="shared" si="4"/>
        <v>119432.19499999999</v>
      </c>
      <c r="J14" s="1396">
        <v>31255.962</v>
      </c>
      <c r="K14" s="640">
        <v>128.38800000000001</v>
      </c>
      <c r="L14" s="640">
        <v>9825.7450000000008</v>
      </c>
      <c r="M14" s="640">
        <v>60881.508000000002</v>
      </c>
      <c r="N14" s="640">
        <f t="shared" si="5"/>
        <v>102091.603</v>
      </c>
      <c r="O14" s="640">
        <v>17340.592000000001</v>
      </c>
      <c r="P14" s="770"/>
    </row>
    <row r="15" spans="1:16" s="321" customFormat="1" ht="20.25" customHeight="1">
      <c r="A15" s="747">
        <v>2018</v>
      </c>
      <c r="B15" s="900" t="s">
        <v>239</v>
      </c>
      <c r="C15" s="640">
        <v>80019.054999999993</v>
      </c>
      <c r="D15" s="640">
        <v>4987.3919999999998</v>
      </c>
      <c r="E15" s="640">
        <v>1170.886</v>
      </c>
      <c r="F15" s="640">
        <v>37002.160000000003</v>
      </c>
      <c r="G15" s="640">
        <f t="shared" si="3"/>
        <v>123179.49299999999</v>
      </c>
      <c r="H15" s="1395">
        <v>34930.497000000003</v>
      </c>
      <c r="I15" s="926">
        <f t="shared" si="4"/>
        <v>158109.99</v>
      </c>
      <c r="J15" s="1396">
        <v>27599.472000000002</v>
      </c>
      <c r="K15" s="640">
        <v>228.495</v>
      </c>
      <c r="L15" s="640">
        <v>31583.097000000002</v>
      </c>
      <c r="M15" s="640">
        <v>61994.51</v>
      </c>
      <c r="N15" s="640">
        <f t="shared" si="5"/>
        <v>121405.57399999999</v>
      </c>
      <c r="O15" s="640">
        <v>36704.415999999997</v>
      </c>
      <c r="P15" s="770"/>
    </row>
    <row r="16" spans="1:16" s="321" customFormat="1" ht="14.25" customHeight="1">
      <c r="A16" s="356"/>
      <c r="B16" s="900" t="s">
        <v>240</v>
      </c>
      <c r="C16" s="640">
        <v>128775.82</v>
      </c>
      <c r="D16" s="640">
        <v>6487.5050000000001</v>
      </c>
      <c r="E16" s="640">
        <v>1563.655</v>
      </c>
      <c r="F16" s="640">
        <v>24741.257000000001</v>
      </c>
      <c r="G16" s="640">
        <f t="shared" si="3"/>
        <v>161568.23700000002</v>
      </c>
      <c r="H16" s="1395">
        <v>13749.763000000001</v>
      </c>
      <c r="I16" s="926">
        <f t="shared" si="4"/>
        <v>175318.00000000003</v>
      </c>
      <c r="J16" s="1396">
        <v>36712.949000000001</v>
      </c>
      <c r="K16" s="640">
        <v>313.05900000000003</v>
      </c>
      <c r="L16" s="640">
        <v>14747.786</v>
      </c>
      <c r="M16" s="640">
        <v>62915.529000000002</v>
      </c>
      <c r="N16" s="640">
        <f t="shared" si="5"/>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f t="shared" si="3"/>
        <v>107057.773</v>
      </c>
      <c r="H17" s="1395">
        <v>50565.328999999998</v>
      </c>
      <c r="I17" s="926">
        <f t="shared" si="4"/>
        <v>157623.10200000001</v>
      </c>
      <c r="J17" s="1396">
        <v>29280.859</v>
      </c>
      <c r="K17" s="640">
        <v>98.713999999999999</v>
      </c>
      <c r="L17" s="640">
        <v>13715.091</v>
      </c>
      <c r="M17" s="640">
        <v>63494.849000000002</v>
      </c>
      <c r="N17" s="640">
        <f t="shared" si="5"/>
        <v>106589.51300000001</v>
      </c>
      <c r="O17" s="640">
        <v>51033.589</v>
      </c>
      <c r="P17" s="770"/>
    </row>
    <row r="18" spans="1:16" s="321" customFormat="1" ht="14.25" customHeight="1">
      <c r="A18" s="356"/>
      <c r="B18" s="900" t="s">
        <v>238</v>
      </c>
      <c r="C18" s="640">
        <v>37233.963000000003</v>
      </c>
      <c r="D18" s="640">
        <v>5298.0129999999999</v>
      </c>
      <c r="E18" s="640">
        <v>175.71</v>
      </c>
      <c r="F18" s="640">
        <v>20049.621999999999</v>
      </c>
      <c r="G18" s="640">
        <f t="shared" si="3"/>
        <v>62757.308000000005</v>
      </c>
      <c r="H18" s="1395">
        <v>46658.277999999998</v>
      </c>
      <c r="I18" s="926">
        <f t="shared" si="4"/>
        <v>109415.58600000001</v>
      </c>
      <c r="J18" s="1396">
        <v>26595.329000000002</v>
      </c>
      <c r="K18" s="640">
        <v>37.421999999999997</v>
      </c>
      <c r="L18" s="640">
        <f>11424.849+0.01</f>
        <v>11424.859</v>
      </c>
      <c r="M18" s="640">
        <v>61724.652000000002</v>
      </c>
      <c r="N18" s="640">
        <f t="shared" si="5"/>
        <v>99782.262000000002</v>
      </c>
      <c r="O18" s="640">
        <v>9633.3340000000007</v>
      </c>
      <c r="P18" s="770"/>
    </row>
    <row r="19" spans="1:16" s="321" customFormat="1" ht="20.25" customHeight="1">
      <c r="A19" s="747">
        <v>2019</v>
      </c>
      <c r="B19" s="900" t="s">
        <v>239</v>
      </c>
      <c r="C19" s="640">
        <v>67398.918000000005</v>
      </c>
      <c r="D19" s="640">
        <v>5699.7550000000001</v>
      </c>
      <c r="E19" s="640">
        <v>45.393999999999998</v>
      </c>
      <c r="F19" s="640">
        <v>19399.987000000001</v>
      </c>
      <c r="G19" s="640">
        <f t="shared" ref="G19:G28" si="6">SUM(C19:F19)</f>
        <v>92544.054000000004</v>
      </c>
      <c r="H19" s="1395">
        <v>62112.968999999997</v>
      </c>
      <c r="I19" s="926">
        <f t="shared" ref="I19:I28" si="7">SUM(G19:H19)</f>
        <v>154657.02299999999</v>
      </c>
      <c r="J19" s="1396">
        <v>19312.689999999999</v>
      </c>
      <c r="K19" s="640">
        <v>107.473</v>
      </c>
      <c r="L19" s="640">
        <v>15787.002</v>
      </c>
      <c r="M19" s="640">
        <v>62900.487999999998</v>
      </c>
      <c r="N19" s="640">
        <f t="shared" ref="N19:N28" si="8">SUM(J19:M19)</f>
        <v>98107.652999999991</v>
      </c>
      <c r="O19" s="640">
        <v>56549.37</v>
      </c>
      <c r="P19" s="770"/>
    </row>
    <row r="20" spans="1:16" s="321" customFormat="1" ht="14.25" customHeight="1">
      <c r="A20" s="356"/>
      <c r="B20" s="900" t="s">
        <v>240</v>
      </c>
      <c r="C20" s="640">
        <v>79993.680999999997</v>
      </c>
      <c r="D20" s="640">
        <v>4638.3090000000002</v>
      </c>
      <c r="E20" s="640">
        <v>125.16800000000001</v>
      </c>
      <c r="F20" s="640">
        <v>21813.635999999999</v>
      </c>
      <c r="G20" s="640">
        <f t="shared" si="6"/>
        <v>106570.79399999999</v>
      </c>
      <c r="H20" s="1395">
        <v>28523.738000000001</v>
      </c>
      <c r="I20" s="926">
        <f t="shared" si="7"/>
        <v>135094.53200000001</v>
      </c>
      <c r="J20" s="1396">
        <v>22733.848999999998</v>
      </c>
      <c r="K20" s="640">
        <v>76.067999999999998</v>
      </c>
      <c r="L20" s="640">
        <v>15172.288</v>
      </c>
      <c r="M20" s="640">
        <v>59526.487000000001</v>
      </c>
      <c r="N20" s="640">
        <f t="shared" si="8"/>
        <v>97508.69200000001</v>
      </c>
      <c r="O20" s="640">
        <v>37585.839999999997</v>
      </c>
      <c r="P20" s="770"/>
    </row>
    <row r="21" spans="1:16" s="321" customFormat="1" ht="14.25" customHeight="1">
      <c r="A21" s="356"/>
      <c r="B21" s="900" t="s">
        <v>237</v>
      </c>
      <c r="C21" s="640">
        <v>50552.430999999997</v>
      </c>
      <c r="D21" s="640">
        <v>4629.2929999999997</v>
      </c>
      <c r="E21" s="640">
        <v>18.102</v>
      </c>
      <c r="F21" s="640">
        <v>20682.09</v>
      </c>
      <c r="G21" s="640">
        <f t="shared" si="6"/>
        <v>75881.915999999997</v>
      </c>
      <c r="H21" s="1395">
        <v>38591.319000000003</v>
      </c>
      <c r="I21" s="926">
        <f t="shared" si="7"/>
        <v>114473.235</v>
      </c>
      <c r="J21" s="1396">
        <v>23146.138999999999</v>
      </c>
      <c r="K21" s="640">
        <v>387.94099999999997</v>
      </c>
      <c r="L21" s="640">
        <v>12666.93</v>
      </c>
      <c r="M21" s="640">
        <v>57861.866000000002</v>
      </c>
      <c r="N21" s="640">
        <f t="shared" si="8"/>
        <v>94062.875999999989</v>
      </c>
      <c r="O21" s="640">
        <v>20410.359</v>
      </c>
      <c r="P21" s="770"/>
    </row>
    <row r="22" spans="1:16" s="321" customFormat="1" ht="15" customHeight="1">
      <c r="A22" s="356"/>
      <c r="B22" s="900" t="s">
        <v>238</v>
      </c>
      <c r="C22" s="640">
        <v>51415.019</v>
      </c>
      <c r="D22" s="640">
        <v>4519.7269999999999</v>
      </c>
      <c r="E22" s="640">
        <v>303.71800000000002</v>
      </c>
      <c r="F22" s="640">
        <v>18653.644</v>
      </c>
      <c r="G22" s="640">
        <f t="shared" si="6"/>
        <v>74892.108000000007</v>
      </c>
      <c r="H22" s="1395">
        <v>26850.564999999999</v>
      </c>
      <c r="I22" s="926">
        <f t="shared" si="7"/>
        <v>101742.67300000001</v>
      </c>
      <c r="J22" s="1396">
        <v>21199.171999999999</v>
      </c>
      <c r="K22" s="640">
        <v>197.86799999999999</v>
      </c>
      <c r="L22" s="640">
        <v>7749.799</v>
      </c>
      <c r="M22" s="640">
        <v>56869.620999999999</v>
      </c>
      <c r="N22" s="640">
        <f t="shared" si="8"/>
        <v>86016.459999999992</v>
      </c>
      <c r="O22" s="640">
        <v>15726.213</v>
      </c>
      <c r="P22" s="770"/>
    </row>
    <row r="23" spans="1:16" s="321" customFormat="1" ht="20.25" customHeight="1">
      <c r="A23" s="747">
        <v>2020</v>
      </c>
      <c r="B23" s="900" t="s">
        <v>239</v>
      </c>
      <c r="C23" s="640">
        <v>60043.68</v>
      </c>
      <c r="D23" s="640">
        <v>6276.223</v>
      </c>
      <c r="E23" s="640">
        <v>38.531999999999996</v>
      </c>
      <c r="F23" s="640">
        <v>23805.592000000001</v>
      </c>
      <c r="G23" s="640">
        <f t="shared" si="6"/>
        <v>90164.027000000016</v>
      </c>
      <c r="H23" s="1395">
        <v>17132.455000000002</v>
      </c>
      <c r="I23" s="926">
        <f t="shared" si="7"/>
        <v>107296.48200000002</v>
      </c>
      <c r="J23" s="1396">
        <v>21634.888999999999</v>
      </c>
      <c r="K23" s="640">
        <v>110.36799999999999</v>
      </c>
      <c r="L23" s="640">
        <v>13958.964</v>
      </c>
      <c r="M23" s="640">
        <v>63492.949000000001</v>
      </c>
      <c r="N23" s="640">
        <f t="shared" si="8"/>
        <v>99197.17</v>
      </c>
      <c r="O23" s="640">
        <v>8099.3119999999999</v>
      </c>
      <c r="P23" s="770"/>
    </row>
    <row r="24" spans="1:16" s="321" customFormat="1" ht="15" customHeight="1">
      <c r="A24" s="747"/>
      <c r="B24" s="900" t="s">
        <v>240</v>
      </c>
      <c r="C24" s="640">
        <v>65015.8</v>
      </c>
      <c r="D24" s="640">
        <v>8352.1119999999992</v>
      </c>
      <c r="E24" s="640">
        <v>85.296000000000006</v>
      </c>
      <c r="F24" s="640">
        <v>19793.214</v>
      </c>
      <c r="G24" s="640">
        <f t="shared" si="6"/>
        <v>93246.421999999991</v>
      </c>
      <c r="H24" s="1395">
        <v>11835.844999999999</v>
      </c>
      <c r="I24" s="926">
        <f t="shared" si="7"/>
        <v>105082.26699999999</v>
      </c>
      <c r="J24" s="1396">
        <v>17132.221000000001</v>
      </c>
      <c r="K24" s="640">
        <v>102.15</v>
      </c>
      <c r="L24" s="640">
        <v>16433.536</v>
      </c>
      <c r="M24" s="640">
        <v>54939.928999999996</v>
      </c>
      <c r="N24" s="640">
        <f t="shared" si="8"/>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f t="shared" si="6"/>
        <v>94573.73000000001</v>
      </c>
      <c r="H25" s="1395">
        <v>15385.348</v>
      </c>
      <c r="I25" s="926">
        <f t="shared" si="7"/>
        <v>109959.07800000001</v>
      </c>
      <c r="J25" s="1396">
        <v>16693.758000000002</v>
      </c>
      <c r="K25" s="640">
        <v>125.236</v>
      </c>
      <c r="L25" s="640">
        <v>16153.611000000001</v>
      </c>
      <c r="M25" s="640">
        <v>59388.436000000002</v>
      </c>
      <c r="N25" s="640">
        <f t="shared" si="8"/>
        <v>92361.040999999997</v>
      </c>
      <c r="O25" s="640">
        <v>17598.037</v>
      </c>
      <c r="P25" s="770"/>
    </row>
    <row r="26" spans="1:16" s="321" customFormat="1" ht="15" customHeight="1">
      <c r="A26" s="747"/>
      <c r="B26" s="900" t="s">
        <v>238</v>
      </c>
      <c r="C26" s="640">
        <v>40913.815000000002</v>
      </c>
      <c r="D26" s="640">
        <v>13467</v>
      </c>
      <c r="E26" s="640">
        <v>268.34699999999998</v>
      </c>
      <c r="F26" s="640">
        <v>18949.780999999999</v>
      </c>
      <c r="G26" s="640">
        <f t="shared" si="6"/>
        <v>73598.942999999999</v>
      </c>
      <c r="H26" s="1395">
        <v>19767.734</v>
      </c>
      <c r="I26" s="926">
        <f t="shared" si="7"/>
        <v>93366.676999999996</v>
      </c>
      <c r="J26" s="1396">
        <v>15360.942999999999</v>
      </c>
      <c r="K26" s="640">
        <v>25</v>
      </c>
      <c r="L26" s="640">
        <v>12091.141</v>
      </c>
      <c r="M26" s="640">
        <v>58771.767999999996</v>
      </c>
      <c r="N26" s="640">
        <f t="shared" si="8"/>
        <v>86248.851999999999</v>
      </c>
      <c r="O26" s="640">
        <v>7117.8249999999998</v>
      </c>
      <c r="P26" s="770"/>
    </row>
    <row r="27" spans="1:16" s="321" customFormat="1" ht="20.25" customHeight="1">
      <c r="A27" s="747">
        <v>2021</v>
      </c>
      <c r="B27" s="900" t="s">
        <v>239</v>
      </c>
      <c r="C27" s="640">
        <v>51431.955000000002</v>
      </c>
      <c r="D27" s="640">
        <v>12164.862999999999</v>
      </c>
      <c r="E27" s="640">
        <v>174.941</v>
      </c>
      <c r="F27" s="640">
        <v>21330.556</v>
      </c>
      <c r="G27" s="640">
        <f t="shared" si="6"/>
        <v>85102.315000000002</v>
      </c>
      <c r="H27" s="1395">
        <v>16453.017</v>
      </c>
      <c r="I27" s="926">
        <f t="shared" si="7"/>
        <v>101555.33199999999</v>
      </c>
      <c r="J27" s="1396">
        <v>15293.151</v>
      </c>
      <c r="K27" s="640">
        <v>207.51599999999999</v>
      </c>
      <c r="L27" s="640">
        <v>15751.993</v>
      </c>
      <c r="M27" s="640">
        <v>59720.438999999998</v>
      </c>
      <c r="N27" s="640">
        <f t="shared" si="8"/>
        <v>90973.099000000002</v>
      </c>
      <c r="O27" s="640">
        <v>10582.233</v>
      </c>
      <c r="P27" s="770"/>
    </row>
    <row r="28" spans="1:16" s="321" customFormat="1" ht="15" customHeight="1">
      <c r="A28" s="747"/>
      <c r="B28" s="900" t="s">
        <v>240</v>
      </c>
      <c r="C28" s="640">
        <v>81209.459080000001</v>
      </c>
      <c r="D28" s="640">
        <v>12316.686</v>
      </c>
      <c r="E28" s="640">
        <v>65.284999999999997</v>
      </c>
      <c r="F28" s="640">
        <v>20780.416519999999</v>
      </c>
      <c r="G28" s="640">
        <f t="shared" si="6"/>
        <v>114371.8466</v>
      </c>
      <c r="H28" s="1395">
        <v>11847.885</v>
      </c>
      <c r="I28" s="926">
        <f t="shared" si="7"/>
        <v>126219.7316</v>
      </c>
      <c r="J28" s="1396">
        <v>12684.343999999999</v>
      </c>
      <c r="K28" s="640">
        <v>60.725999999999999</v>
      </c>
      <c r="L28" s="640">
        <v>20515.491999999998</v>
      </c>
      <c r="M28" s="640">
        <v>61676.389600000002</v>
      </c>
      <c r="N28" s="640">
        <f t="shared" si="8"/>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f t="shared" ref="G29:G41" si="9">SUM(C29:F29)</f>
        <v>95680.08600000001</v>
      </c>
      <c r="H29" s="1395">
        <v>23510.807000000001</v>
      </c>
      <c r="I29" s="926">
        <f t="shared" ref="I29:I41" si="10">SUM(G29:H29)</f>
        <v>119190.89300000001</v>
      </c>
      <c r="J29" s="1396">
        <v>12911.478999999999</v>
      </c>
      <c r="K29" s="640">
        <v>40.582000000000001</v>
      </c>
      <c r="L29" s="640">
        <v>19396.543000000001</v>
      </c>
      <c r="M29" s="640">
        <v>63606.887999999999</v>
      </c>
      <c r="N29" s="640">
        <f t="shared" ref="N29:N41" si="11">SUM(J29:M29)</f>
        <v>95955.491999999998</v>
      </c>
      <c r="O29" s="640">
        <v>23235.402999999998</v>
      </c>
      <c r="P29" s="770"/>
    </row>
    <row r="30" spans="1:16" s="321" customFormat="1" ht="15" customHeight="1">
      <c r="A30" s="747"/>
      <c r="B30" s="900" t="s">
        <v>238</v>
      </c>
      <c r="C30" s="640">
        <v>55767</v>
      </c>
      <c r="D30" s="640">
        <v>12365.621999999999</v>
      </c>
      <c r="E30" s="640">
        <v>76.736000000000004</v>
      </c>
      <c r="F30" s="640">
        <v>20782.249</v>
      </c>
      <c r="G30" s="640">
        <f t="shared" si="9"/>
        <v>88991.607000000004</v>
      </c>
      <c r="H30" s="1395">
        <v>19386.87</v>
      </c>
      <c r="I30" s="926">
        <f t="shared" si="10"/>
        <v>108378.477</v>
      </c>
      <c r="J30" s="1396">
        <v>12702.965</v>
      </c>
      <c r="K30" s="640">
        <v>47.323999999999998</v>
      </c>
      <c r="L30" s="640">
        <v>16962.78</v>
      </c>
      <c r="M30" s="640">
        <v>65851.505999999994</v>
      </c>
      <c r="N30" s="640">
        <f t="shared" si="11"/>
        <v>95564.574999999997</v>
      </c>
      <c r="O30" s="640">
        <v>12813.906999999999</v>
      </c>
      <c r="P30" s="770"/>
    </row>
    <row r="31" spans="1:16" s="321" customFormat="1" ht="20.25" customHeight="1">
      <c r="A31" s="747">
        <v>2022</v>
      </c>
      <c r="B31" s="900" t="s">
        <v>239</v>
      </c>
      <c r="C31" s="640">
        <v>66484.941999999995</v>
      </c>
      <c r="D31" s="640">
        <v>10451.495999999999</v>
      </c>
      <c r="E31" s="640">
        <v>58.698</v>
      </c>
      <c r="F31" s="640">
        <v>11908.805</v>
      </c>
      <c r="G31" s="640">
        <f t="shared" si="9"/>
        <v>88903.940999999992</v>
      </c>
      <c r="H31" s="1395">
        <v>22256.692999999999</v>
      </c>
      <c r="I31" s="926">
        <f t="shared" si="10"/>
        <v>111160.63399999999</v>
      </c>
      <c r="J31" s="1396">
        <v>16148.838</v>
      </c>
      <c r="K31" s="640">
        <v>51.819000000000003</v>
      </c>
      <c r="L31" s="640">
        <v>18201.705000000002</v>
      </c>
      <c r="M31" s="640">
        <v>67809.448000000004</v>
      </c>
      <c r="N31" s="640">
        <f t="shared" si="11"/>
        <v>102211.81</v>
      </c>
      <c r="O31" s="640">
        <v>8948.8250000000007</v>
      </c>
      <c r="P31" s="770"/>
    </row>
    <row r="32" spans="1:16" s="321" customFormat="1" ht="15" customHeight="1">
      <c r="A32" s="747"/>
      <c r="B32" s="900" t="s">
        <v>240</v>
      </c>
      <c r="C32" s="640">
        <v>60005.460740000002</v>
      </c>
      <c r="D32" s="640">
        <v>6475.3230000000003</v>
      </c>
      <c r="E32" s="640">
        <v>276.971</v>
      </c>
      <c r="F32" s="640">
        <v>11518.5</v>
      </c>
      <c r="G32" s="640">
        <f t="shared" si="9"/>
        <v>78276.254740000004</v>
      </c>
      <c r="H32" s="1395">
        <v>27419.29752</v>
      </c>
      <c r="I32" s="926">
        <f t="shared" si="10"/>
        <v>105695.55226</v>
      </c>
      <c r="J32" s="1396">
        <v>9491.5669999999991</v>
      </c>
      <c r="K32" s="640">
        <v>50.65</v>
      </c>
      <c r="L32" s="640">
        <v>17721.626479999999</v>
      </c>
      <c r="M32" s="640">
        <v>70461.273350000003</v>
      </c>
      <c r="N32" s="640">
        <f t="shared" si="11"/>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f t="shared" si="9"/>
        <v>102934.87917999999</v>
      </c>
      <c r="H33" s="1395">
        <v>17569.30615</v>
      </c>
      <c r="I33" s="926">
        <f t="shared" si="10"/>
        <v>120504.18532999999</v>
      </c>
      <c r="J33" s="1396">
        <v>9691.7620000000006</v>
      </c>
      <c r="K33" s="640">
        <v>62.9</v>
      </c>
      <c r="L33" s="640">
        <v>18655.982530000001</v>
      </c>
      <c r="M33" s="640">
        <v>73978.947</v>
      </c>
      <c r="N33" s="640">
        <f t="shared" si="11"/>
        <v>102389.59153000001</v>
      </c>
      <c r="O33" s="640">
        <v>18114.63553</v>
      </c>
      <c r="P33" s="770"/>
    </row>
    <row r="34" spans="1:16" s="321" customFormat="1" ht="15" customHeight="1">
      <c r="A34" s="747"/>
      <c r="B34" s="900" t="s">
        <v>238</v>
      </c>
      <c r="C34" s="640">
        <v>71569.377110000001</v>
      </c>
      <c r="D34" s="640">
        <v>6497.97786</v>
      </c>
      <c r="E34" s="640">
        <v>338.43599999999998</v>
      </c>
      <c r="F34" s="640">
        <v>12809.913920000001</v>
      </c>
      <c r="G34" s="640">
        <f t="shared" si="9"/>
        <v>91215.704890000008</v>
      </c>
      <c r="H34" s="1395">
        <v>22401.89935</v>
      </c>
      <c r="I34" s="926">
        <f t="shared" si="10"/>
        <v>113617.60424000002</v>
      </c>
      <c r="J34" s="1396">
        <v>7843.0720000000001</v>
      </c>
      <c r="K34" s="640">
        <v>79.393000000000001</v>
      </c>
      <c r="L34" s="640">
        <v>17245.588100000001</v>
      </c>
      <c r="M34" s="640">
        <v>74687.144369999995</v>
      </c>
      <c r="N34" s="640">
        <f t="shared" si="11"/>
        <v>99855.197469999999</v>
      </c>
      <c r="O34" s="640">
        <v>13762.406789999999</v>
      </c>
      <c r="P34" s="770"/>
    </row>
    <row r="35" spans="1:16" s="321" customFormat="1" ht="20.25" customHeight="1">
      <c r="A35" s="747">
        <v>2023</v>
      </c>
      <c r="B35" s="900" t="s">
        <v>239</v>
      </c>
      <c r="C35" s="640">
        <v>78660.297340000005</v>
      </c>
      <c r="D35" s="640">
        <v>6578.3487999999998</v>
      </c>
      <c r="E35" s="640">
        <v>460.262</v>
      </c>
      <c r="F35" s="640">
        <v>12732.08589</v>
      </c>
      <c r="G35" s="640">
        <f t="shared" si="9"/>
        <v>98430.994030000002</v>
      </c>
      <c r="H35" s="1395">
        <v>17854.050429999999</v>
      </c>
      <c r="I35" s="926">
        <f t="shared" si="10"/>
        <v>116285.04446</v>
      </c>
      <c r="J35" s="1396">
        <v>7896.19</v>
      </c>
      <c r="K35" s="640">
        <v>42.386000000000003</v>
      </c>
      <c r="L35" s="640">
        <v>17850.374609999999</v>
      </c>
      <c r="M35" s="640">
        <v>77516.208549999996</v>
      </c>
      <c r="N35" s="640">
        <f t="shared" si="11"/>
        <v>103305.15916</v>
      </c>
      <c r="O35" s="640">
        <v>12979.8853</v>
      </c>
      <c r="P35" s="770"/>
    </row>
    <row r="36" spans="1:16" s="321" customFormat="1" ht="15" customHeight="1">
      <c r="A36" s="747"/>
      <c r="B36" s="900" t="s">
        <v>240</v>
      </c>
      <c r="C36" s="640">
        <v>74152.303</v>
      </c>
      <c r="D36" s="640">
        <v>18082.069</v>
      </c>
      <c r="E36" s="640">
        <v>570.19899999999996</v>
      </c>
      <c r="F36" s="640">
        <v>15163.634</v>
      </c>
      <c r="G36" s="640">
        <f t="shared" si="9"/>
        <v>107968.205</v>
      </c>
      <c r="H36" s="1395">
        <v>17903.008999999998</v>
      </c>
      <c r="I36" s="926">
        <f t="shared" si="10"/>
        <v>125871.21400000001</v>
      </c>
      <c r="J36" s="1396">
        <v>11796.826999999999</v>
      </c>
      <c r="K36" s="640">
        <v>22.283999999999999</v>
      </c>
      <c r="L36" s="640">
        <v>23618.039000000001</v>
      </c>
      <c r="M36" s="640">
        <v>76140.197</v>
      </c>
      <c r="N36" s="640">
        <f t="shared" si="11"/>
        <v>111577.34700000001</v>
      </c>
      <c r="O36" s="640">
        <v>14293.867</v>
      </c>
      <c r="P36" s="770"/>
    </row>
    <row r="37" spans="1:16" s="321" customFormat="1" ht="15" customHeight="1">
      <c r="A37" s="747"/>
      <c r="B37" s="900" t="s">
        <v>237</v>
      </c>
      <c r="C37" s="640">
        <v>69127.63</v>
      </c>
      <c r="D37" s="640">
        <v>20152.25</v>
      </c>
      <c r="E37" s="640">
        <v>396.55</v>
      </c>
      <c r="F37" s="640">
        <v>16900.900000000001</v>
      </c>
      <c r="G37" s="640">
        <f t="shared" si="9"/>
        <v>106577.33000000002</v>
      </c>
      <c r="H37" s="1395">
        <v>22363.599999999999</v>
      </c>
      <c r="I37" s="926">
        <f t="shared" si="10"/>
        <v>128940.93000000002</v>
      </c>
      <c r="J37" s="1396">
        <v>9523.89</v>
      </c>
      <c r="K37" s="640">
        <v>43.64</v>
      </c>
      <c r="L37" s="640">
        <v>20994.560000000001</v>
      </c>
      <c r="M37" s="640">
        <v>78851.47</v>
      </c>
      <c r="N37" s="640">
        <f t="shared" si="11"/>
        <v>109413.56</v>
      </c>
      <c r="O37" s="640">
        <v>19527.3</v>
      </c>
      <c r="P37" s="770"/>
    </row>
    <row r="38" spans="1:16" s="321" customFormat="1" ht="15" customHeight="1">
      <c r="A38" s="747"/>
      <c r="B38" s="900" t="s">
        <v>238</v>
      </c>
      <c r="C38" s="640">
        <v>73754.145382000002</v>
      </c>
      <c r="D38" s="640">
        <v>4667.38</v>
      </c>
      <c r="E38" s="640">
        <v>514.15800000000002</v>
      </c>
      <c r="F38" s="640">
        <v>12955.255192000001</v>
      </c>
      <c r="G38" s="640">
        <f t="shared" si="9"/>
        <v>91890.938574</v>
      </c>
      <c r="H38" s="1395">
        <v>39385.100839999999</v>
      </c>
      <c r="I38" s="926">
        <f t="shared" si="10"/>
        <v>131276.039414</v>
      </c>
      <c r="J38" s="1396">
        <v>7541.1319999999996</v>
      </c>
      <c r="K38" s="640">
        <v>37.231000000000002</v>
      </c>
      <c r="L38" s="640">
        <v>17077.053714000001</v>
      </c>
      <c r="M38" s="640">
        <v>81438.633000000002</v>
      </c>
      <c r="N38" s="640">
        <f t="shared" si="11"/>
        <v>106094.04971399999</v>
      </c>
      <c r="O38" s="640">
        <v>25181.989399999999</v>
      </c>
      <c r="P38" s="770"/>
    </row>
    <row r="39" spans="1:16" s="321" customFormat="1" ht="20.25" customHeight="1">
      <c r="A39" s="747">
        <v>2024</v>
      </c>
      <c r="B39" s="900" t="s">
        <v>239</v>
      </c>
      <c r="C39" s="640">
        <v>88276.874190000002</v>
      </c>
      <c r="D39" s="640">
        <v>20688.892980000001</v>
      </c>
      <c r="E39" s="640">
        <v>485.81299999999999</v>
      </c>
      <c r="F39" s="640">
        <v>13077.274636</v>
      </c>
      <c r="G39" s="640">
        <f t="shared" si="9"/>
        <v>122528.854806</v>
      </c>
      <c r="H39" s="1395">
        <v>35991.420010000002</v>
      </c>
      <c r="I39" s="926">
        <f t="shared" si="10"/>
        <v>158520.27481600002</v>
      </c>
      <c r="J39" s="1396">
        <v>18438.43795</v>
      </c>
      <c r="K39" s="640">
        <v>48.152000000000001</v>
      </c>
      <c r="L39" s="640">
        <v>19994.17438</v>
      </c>
      <c r="M39" s="640">
        <v>84769.472999999998</v>
      </c>
      <c r="N39" s="640">
        <f>SUM(J39:M39)+0.02</f>
        <v>123250.25733000001</v>
      </c>
      <c r="O39" s="640">
        <v>35270.039720000001</v>
      </c>
      <c r="P39" s="770"/>
    </row>
    <row r="40" spans="1:16" s="321" customFormat="1" ht="15" customHeight="1">
      <c r="A40" s="747"/>
      <c r="B40" s="900" t="s">
        <v>240</v>
      </c>
      <c r="C40" s="640">
        <v>79874.399999999994</v>
      </c>
      <c r="D40" s="640">
        <v>20927.5</v>
      </c>
      <c r="E40" s="640">
        <v>725</v>
      </c>
      <c r="F40" s="640">
        <v>13086.8</v>
      </c>
      <c r="G40" s="640">
        <f t="shared" si="9"/>
        <v>114613.7</v>
      </c>
      <c r="H40" s="1395">
        <v>74777.100000000006</v>
      </c>
      <c r="I40" s="926">
        <f t="shared" si="10"/>
        <v>189390.8</v>
      </c>
      <c r="J40" s="1396">
        <v>21193.4</v>
      </c>
      <c r="K40" s="640">
        <v>35.9</v>
      </c>
      <c r="L40" s="640">
        <v>22230.799999999999</v>
      </c>
      <c r="M40" s="640">
        <v>88276.6</v>
      </c>
      <c r="N40" s="640">
        <f t="shared" si="11"/>
        <v>131736.70000000001</v>
      </c>
      <c r="O40" s="640">
        <v>57654.1</v>
      </c>
      <c r="P40" s="770"/>
    </row>
    <row r="41" spans="1:16" s="321" customFormat="1" ht="15" customHeight="1">
      <c r="A41" s="747"/>
      <c r="B41" s="900" t="s">
        <v>237</v>
      </c>
      <c r="C41" s="640">
        <v>63881.4</v>
      </c>
      <c r="D41" s="640">
        <v>21573.5</v>
      </c>
      <c r="E41" s="640">
        <v>406.8</v>
      </c>
      <c r="F41" s="640">
        <v>13813.9</v>
      </c>
      <c r="G41" s="640">
        <f t="shared" si="9"/>
        <v>99675.599999999991</v>
      </c>
      <c r="H41" s="1395">
        <v>35869.9</v>
      </c>
      <c r="I41" s="926">
        <f t="shared" si="10"/>
        <v>135545.5</v>
      </c>
      <c r="J41" s="1396">
        <v>14560.3</v>
      </c>
      <c r="K41" s="640">
        <v>236.9</v>
      </c>
      <c r="L41" s="640">
        <v>34932.1</v>
      </c>
      <c r="M41" s="640">
        <v>70643.8</v>
      </c>
      <c r="N41" s="640">
        <f t="shared" si="11"/>
        <v>120373.1</v>
      </c>
      <c r="O41" s="640">
        <v>15172.4</v>
      </c>
      <c r="P41" s="770"/>
    </row>
    <row r="42" spans="1:16" s="321" customFormat="1" ht="15" customHeight="1">
      <c r="A42" s="747"/>
      <c r="B42" s="900" t="s">
        <v>238</v>
      </c>
      <c r="C42" s="640">
        <v>63435.7</v>
      </c>
      <c r="D42" s="640">
        <v>5236.6000000000004</v>
      </c>
      <c r="E42" s="640">
        <v>581.5</v>
      </c>
      <c r="F42" s="640">
        <v>14306.4</v>
      </c>
      <c r="G42" s="640">
        <f t="shared" ref="G42:G45" si="12">SUM(C42:F42)</f>
        <v>83560.2</v>
      </c>
      <c r="H42" s="1395">
        <v>35005.300000000003</v>
      </c>
      <c r="I42" s="926">
        <f t="shared" ref="I42:I45" si="13">SUM(G42:H42)</f>
        <v>118565.5</v>
      </c>
      <c r="J42" s="1396">
        <v>7833.2</v>
      </c>
      <c r="K42" s="640">
        <v>38</v>
      </c>
      <c r="L42" s="640">
        <v>33761.1</v>
      </c>
      <c r="M42" s="640">
        <v>72815.3</v>
      </c>
      <c r="N42" s="640">
        <f t="shared" ref="N42:N45" si="14">SUM(J42:M42)</f>
        <v>114447.6</v>
      </c>
      <c r="O42" s="640">
        <v>4117.8999999999996</v>
      </c>
      <c r="P42" s="770"/>
    </row>
    <row r="43" spans="1:16" s="321" customFormat="1" ht="20.25" customHeight="1">
      <c r="A43" s="747">
        <v>2025</v>
      </c>
      <c r="B43" s="900" t="s">
        <v>239</v>
      </c>
      <c r="C43" s="640">
        <v>88319.2</v>
      </c>
      <c r="D43" s="640">
        <v>23354.9</v>
      </c>
      <c r="E43" s="640">
        <v>950.4</v>
      </c>
      <c r="F43" s="640">
        <v>23257.1</v>
      </c>
      <c r="G43" s="640">
        <f t="shared" si="12"/>
        <v>135881.60000000001</v>
      </c>
      <c r="H43" s="1395">
        <v>31887.4</v>
      </c>
      <c r="I43" s="926">
        <f t="shared" si="13"/>
        <v>167769</v>
      </c>
      <c r="J43" s="1396">
        <v>8050.7</v>
      </c>
      <c r="K43" s="640">
        <v>28</v>
      </c>
      <c r="L43" s="640">
        <v>41258.199999999997</v>
      </c>
      <c r="M43" s="640">
        <v>76267.3</v>
      </c>
      <c r="N43" s="640">
        <f t="shared" si="14"/>
        <v>125604.2</v>
      </c>
      <c r="O43" s="640">
        <v>42164.800000000003</v>
      </c>
      <c r="P43" s="770"/>
    </row>
    <row r="44" spans="1:16" s="321" customFormat="1" ht="15" customHeight="1">
      <c r="A44" s="747"/>
      <c r="B44" s="900" t="s">
        <v>240</v>
      </c>
      <c r="C44" s="640">
        <v>60142.04</v>
      </c>
      <c r="D44" s="640">
        <v>23780.799999999999</v>
      </c>
      <c r="E44" s="640">
        <v>392.8</v>
      </c>
      <c r="F44" s="640">
        <v>15986.2</v>
      </c>
      <c r="G44" s="640">
        <f t="shared" si="12"/>
        <v>100301.84</v>
      </c>
      <c r="H44" s="1395">
        <v>39514.949999999997</v>
      </c>
      <c r="I44" s="926">
        <f t="shared" si="13"/>
        <v>139816.78999999998</v>
      </c>
      <c r="J44" s="1396">
        <v>14707.9</v>
      </c>
      <c r="K44" s="640">
        <v>41.5</v>
      </c>
      <c r="L44" s="640">
        <v>36441.599999999999</v>
      </c>
      <c r="M44" s="640">
        <v>79300.7</v>
      </c>
      <c r="N44" s="640">
        <f t="shared" si="14"/>
        <v>130491.7</v>
      </c>
      <c r="O44" s="640">
        <v>9325.1</v>
      </c>
      <c r="P44" s="770"/>
    </row>
    <row r="45" spans="1:16" s="321" customFormat="1" ht="15" customHeight="1">
      <c r="A45" s="747"/>
      <c r="B45" s="900" t="s">
        <v>237</v>
      </c>
      <c r="C45" s="640">
        <v>56769.9</v>
      </c>
      <c r="D45" s="640">
        <v>25145.75</v>
      </c>
      <c r="E45" s="640">
        <v>659.1</v>
      </c>
      <c r="F45" s="640">
        <v>15897.1</v>
      </c>
      <c r="G45" s="640">
        <f t="shared" si="12"/>
        <v>98471.85</v>
      </c>
      <c r="H45" s="1395">
        <v>56048.7</v>
      </c>
      <c r="I45" s="926">
        <f t="shared" si="13"/>
        <v>154520.54999999999</v>
      </c>
      <c r="J45" s="1396">
        <v>9158.5</v>
      </c>
      <c r="K45" s="640">
        <v>35.700000000000003</v>
      </c>
      <c r="L45" s="640">
        <v>36209.300000000003</v>
      </c>
      <c r="M45" s="640">
        <v>82127.8</v>
      </c>
      <c r="N45" s="640">
        <f t="shared" si="14"/>
        <v>127531.3</v>
      </c>
      <c r="O45" s="640">
        <v>26989.3</v>
      </c>
      <c r="P45" s="770"/>
    </row>
    <row r="46" spans="1:16" s="2" customFormat="1" ht="20.25" customHeight="1">
      <c r="A46" s="215" t="s">
        <v>1256</v>
      </c>
      <c r="B46" s="1397"/>
      <c r="C46" s="217"/>
      <c r="D46" s="217"/>
      <c r="E46" s="217"/>
      <c r="F46" s="217"/>
      <c r="G46" s="217"/>
      <c r="H46" s="217"/>
      <c r="I46" s="1398"/>
      <c r="J46" s="1398"/>
      <c r="K46" s="1398"/>
      <c r="L46" s="215"/>
      <c r="M46" s="215"/>
      <c r="N46" s="215"/>
      <c r="O46" s="236" t="s">
        <v>1257</v>
      </c>
    </row>
    <row r="47" spans="1:16" s="2" customFormat="1" ht="9" customHeight="1">
      <c r="A47" s="5"/>
      <c r="B47" s="1399"/>
      <c r="H47" s="5"/>
      <c r="I47" s="5"/>
      <c r="J47" s="5"/>
      <c r="O47" s="237"/>
    </row>
    <row r="48" spans="1:16" customFormat="1" ht="12.75">
      <c r="A48" s="382" t="s">
        <v>1258</v>
      </c>
      <c r="B48" s="1262"/>
      <c r="C48" s="1262"/>
      <c r="D48" s="1262"/>
      <c r="E48" s="1262"/>
      <c r="F48" s="1262"/>
      <c r="G48" s="1262"/>
      <c r="H48" s="1262"/>
      <c r="I48" s="1262"/>
      <c r="J48" s="1262"/>
      <c r="K48" s="1262"/>
      <c r="L48" s="1262"/>
      <c r="M48" s="1262"/>
      <c r="N48" s="1262"/>
      <c r="O48" s="1262"/>
    </row>
  </sheetData>
  <mergeCells count="3">
    <mergeCell ref="A5:B7"/>
    <mergeCell ref="A8:B10"/>
    <mergeCell ref="P9:P10"/>
  </mergeCells>
  <printOptions horizontalCentered="1" verticalCentered="1"/>
  <pageMargins left="0" right="0" top="0" bottom="0" header="0.3" footer="0.3"/>
  <pageSetup paperSize="9" scale="75"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tabSelected="1" topLeftCell="D1" zoomScale="80" zoomScaleNormal="80" workbookViewId="0">
      <pane ySplit="12" topLeftCell="A37" activePane="bottomLeft" state="frozen"/>
      <selection activeCell="N29" sqref="N29"/>
      <selection pane="bottomLeft" activeCell="N29" sqref="N29"/>
    </sheetView>
  </sheetViews>
  <sheetFormatPr defaultColWidth="18.28515625" defaultRowHeight="15.75"/>
  <cols>
    <col min="1" max="1" width="10.85546875" style="940" customWidth="1"/>
    <col min="2" max="2" width="10.7109375" style="846" customWidth="1"/>
    <col min="3" max="6" width="18.140625" style="846" customWidth="1"/>
    <col min="7" max="7" width="18.28515625" style="846" customWidth="1"/>
    <col min="8" max="8" width="18.140625" style="846" customWidth="1"/>
    <col min="9" max="9" width="18.28515625" style="846" customWidth="1"/>
    <col min="10" max="10" width="17.7109375" style="846" customWidth="1"/>
    <col min="11" max="11" width="18.28515625" style="846" customWidth="1"/>
    <col min="12" max="12" width="17.7109375" style="846" customWidth="1"/>
    <col min="13" max="13" width="18.28515625" style="846"/>
    <col min="14" max="14" width="17.7109375" style="846" customWidth="1"/>
    <col min="15" max="16384" width="18.28515625" style="846"/>
  </cols>
  <sheetData>
    <row r="1" spans="1:14" ht="18">
      <c r="A1" s="952" t="s">
        <v>1259</v>
      </c>
      <c r="B1" s="1340"/>
      <c r="C1" s="1340"/>
      <c r="D1" s="1340"/>
      <c r="E1" s="1340"/>
      <c r="F1" s="1340"/>
      <c r="G1" s="952"/>
      <c r="H1" s="952"/>
      <c r="I1" s="1340"/>
      <c r="J1" s="1340"/>
      <c r="K1" s="1340"/>
      <c r="L1" s="1340"/>
      <c r="M1" s="1340"/>
      <c r="N1" s="1340"/>
    </row>
    <row r="2" spans="1:14" ht="18">
      <c r="A2" s="951" t="s">
        <v>1260</v>
      </c>
      <c r="B2" s="1341"/>
      <c r="C2" s="1341"/>
      <c r="D2" s="1341"/>
      <c r="E2" s="1341"/>
      <c r="F2" s="1341"/>
      <c r="G2" s="1341"/>
      <c r="H2" s="1341"/>
      <c r="I2" s="1341"/>
      <c r="J2" s="1341"/>
      <c r="K2" s="1341"/>
      <c r="L2" s="1341"/>
      <c r="M2" s="1341"/>
      <c r="N2" s="1341"/>
    </row>
    <row r="3" spans="1:14">
      <c r="A3" s="949" t="s">
        <v>1261</v>
      </c>
      <c r="B3" s="949"/>
      <c r="C3" s="949"/>
      <c r="D3" s="949"/>
      <c r="E3" s="949"/>
      <c r="F3" s="949"/>
      <c r="G3" s="1342"/>
      <c r="H3" s="1342"/>
      <c r="I3" s="949"/>
      <c r="J3" s="949"/>
      <c r="K3" s="949"/>
      <c r="L3" s="949"/>
      <c r="M3" s="949"/>
      <c r="N3" s="949"/>
    </row>
    <row r="4" spans="1:14" ht="12" customHeight="1">
      <c r="A4" s="949"/>
      <c r="B4" s="949"/>
      <c r="C4" s="949"/>
      <c r="D4" s="949"/>
      <c r="E4" s="949"/>
      <c r="F4" s="949"/>
      <c r="G4" s="1342"/>
      <c r="H4" s="1342"/>
      <c r="I4" s="949"/>
      <c r="J4" s="949"/>
      <c r="K4" s="949"/>
      <c r="L4" s="949"/>
      <c r="M4" s="949"/>
      <c r="N4" s="949"/>
    </row>
    <row r="5" spans="1:14" ht="9" customHeight="1">
      <c r="A5" s="949"/>
      <c r="B5" s="949"/>
      <c r="C5" s="949"/>
      <c r="D5" s="949"/>
      <c r="E5" s="949"/>
      <c r="F5" s="949"/>
      <c r="G5" s="1342"/>
      <c r="H5" s="1342"/>
      <c r="I5" s="949"/>
      <c r="J5" s="949"/>
      <c r="K5" s="949"/>
      <c r="L5" s="949"/>
      <c r="M5" s="949"/>
      <c r="N5" s="949"/>
    </row>
    <row r="6" spans="1:14">
      <c r="A6" s="948" t="s">
        <v>369</v>
      </c>
      <c r="M6" s="727"/>
      <c r="N6" s="727" t="s">
        <v>370</v>
      </c>
    </row>
    <row r="7" spans="1:14" s="946" customFormat="1" ht="27" customHeight="1">
      <c r="A7" s="1980" t="s">
        <v>1262</v>
      </c>
      <c r="B7" s="1981"/>
      <c r="C7" s="1977" t="s">
        <v>1263</v>
      </c>
      <c r="D7" s="1977"/>
      <c r="E7" s="1977"/>
      <c r="F7" s="1977"/>
      <c r="G7" s="1980" t="s">
        <v>1264</v>
      </c>
      <c r="H7" s="1986"/>
      <c r="I7" s="1986"/>
      <c r="J7" s="1986"/>
      <c r="K7" s="1986"/>
      <c r="L7" s="1981"/>
      <c r="M7" s="1980" t="s">
        <v>1265</v>
      </c>
      <c r="N7" s="1981"/>
    </row>
    <row r="8" spans="1:14" s="946" customFormat="1" ht="27" customHeight="1">
      <c r="A8" s="1982"/>
      <c r="B8" s="1983"/>
      <c r="C8" s="1990" t="s">
        <v>1266</v>
      </c>
      <c r="D8" s="1990"/>
      <c r="E8" s="1990"/>
      <c r="F8" s="1990"/>
      <c r="G8" s="1987" t="s">
        <v>1267</v>
      </c>
      <c r="H8" s="1988"/>
      <c r="I8" s="1988"/>
      <c r="J8" s="1988"/>
      <c r="K8" s="1988"/>
      <c r="L8" s="1989"/>
      <c r="M8" s="1982"/>
      <c r="N8" s="1983"/>
    </row>
    <row r="9" spans="1:14" s="946" customFormat="1" ht="15.75" customHeight="1">
      <c r="A9" s="1982"/>
      <c r="B9" s="1983"/>
      <c r="C9" s="1980" t="s">
        <v>1268</v>
      </c>
      <c r="D9" s="1981"/>
      <c r="E9" s="1980" t="s">
        <v>1269</v>
      </c>
      <c r="F9" s="1981"/>
      <c r="G9" s="1980" t="s">
        <v>1270</v>
      </c>
      <c r="H9" s="1981"/>
      <c r="I9" s="1980" t="s">
        <v>1271</v>
      </c>
      <c r="J9" s="1981"/>
      <c r="K9" s="1980" t="s">
        <v>1272</v>
      </c>
      <c r="L9" s="1981"/>
      <c r="M9" s="1982" t="s">
        <v>1273</v>
      </c>
      <c r="N9" s="1983"/>
    </row>
    <row r="10" spans="1:14" s="1337" customFormat="1">
      <c r="A10" s="1982"/>
      <c r="B10" s="1983"/>
      <c r="C10" s="1984" t="s">
        <v>1274</v>
      </c>
      <c r="D10" s="1985"/>
      <c r="E10" s="1984" t="s">
        <v>1275</v>
      </c>
      <c r="F10" s="1985"/>
      <c r="G10" s="1978" t="s">
        <v>1276</v>
      </c>
      <c r="H10" s="1979"/>
      <c r="I10" s="1978" t="s">
        <v>1277</v>
      </c>
      <c r="J10" s="1979"/>
      <c r="K10" s="1978" t="s">
        <v>1278</v>
      </c>
      <c r="L10" s="1979"/>
      <c r="M10" s="1984"/>
      <c r="N10" s="1985"/>
    </row>
    <row r="11" spans="1:14" s="1337" customFormat="1" ht="15.75" customHeight="1">
      <c r="A11" s="1982"/>
      <c r="B11" s="1983"/>
      <c r="C11" s="1344" t="s">
        <v>1279</v>
      </c>
      <c r="D11" s="1345" t="s">
        <v>1280</v>
      </c>
      <c r="E11" s="1344" t="s">
        <v>1279</v>
      </c>
      <c r="F11" s="1345" t="s">
        <v>1280</v>
      </c>
      <c r="G11" s="1344" t="s">
        <v>1279</v>
      </c>
      <c r="H11" s="1345" t="s">
        <v>1280</v>
      </c>
      <c r="I11" s="1344" t="s">
        <v>1279</v>
      </c>
      <c r="J11" s="1345" t="s">
        <v>1280</v>
      </c>
      <c r="K11" s="1344" t="s">
        <v>1279</v>
      </c>
      <c r="L11" s="1345" t="s">
        <v>1280</v>
      </c>
      <c r="M11" s="1344" t="s">
        <v>1279</v>
      </c>
      <c r="N11" s="1345" t="s">
        <v>1280</v>
      </c>
    </row>
    <row r="12" spans="1:14" s="1337" customFormat="1">
      <c r="A12" s="1984"/>
      <c r="B12" s="1985"/>
      <c r="C12" s="1346" t="s">
        <v>1281</v>
      </c>
      <c r="D12" s="1343" t="s">
        <v>1282</v>
      </c>
      <c r="E12" s="1346" t="s">
        <v>1281</v>
      </c>
      <c r="F12" s="1343" t="s">
        <v>1282</v>
      </c>
      <c r="G12" s="1346" t="s">
        <v>1281</v>
      </c>
      <c r="H12" s="1343" t="s">
        <v>1282</v>
      </c>
      <c r="I12" s="1346" t="s">
        <v>1281</v>
      </c>
      <c r="J12" s="1343" t="s">
        <v>1282</v>
      </c>
      <c r="K12" s="1346" t="s">
        <v>1281</v>
      </c>
      <c r="L12" s="1343" t="s">
        <v>1282</v>
      </c>
      <c r="M12" s="1346" t="s">
        <v>1281</v>
      </c>
      <c r="N12" s="1343" t="s">
        <v>1282</v>
      </c>
    </row>
    <row r="13" spans="1:14" ht="21" customHeight="1">
      <c r="A13" s="1991">
        <v>2015</v>
      </c>
      <c r="B13" s="1992"/>
      <c r="C13" s="1347">
        <v>590999</v>
      </c>
      <c r="D13" s="1116">
        <v>15074.692910283002</v>
      </c>
      <c r="E13" s="1347">
        <v>103183</v>
      </c>
      <c r="F13" s="1116">
        <v>53503.828161632002</v>
      </c>
      <c r="G13" s="1116">
        <v>4881</v>
      </c>
      <c r="H13" s="1116">
        <v>1.4</v>
      </c>
      <c r="I13" s="1116">
        <v>179326</v>
      </c>
      <c r="J13" s="1116">
        <v>633.1</v>
      </c>
      <c r="K13" s="1116">
        <v>0</v>
      </c>
      <c r="L13" s="1116">
        <v>7.9999999999999996E-6</v>
      </c>
      <c r="M13" s="1115">
        <v>9271985</v>
      </c>
      <c r="N13" s="1116">
        <v>909.19894999999997</v>
      </c>
    </row>
    <row r="14" spans="1:14" ht="15.95" customHeight="1">
      <c r="A14" s="928">
        <v>2016</v>
      </c>
      <c r="B14" s="847"/>
      <c r="C14" s="1347">
        <v>232807</v>
      </c>
      <c r="D14" s="1116">
        <v>11144.820344103</v>
      </c>
      <c r="E14" s="1347">
        <v>64065</v>
      </c>
      <c r="F14" s="1116">
        <v>64772.22199427701</v>
      </c>
      <c r="G14" s="1115">
        <v>131548</v>
      </c>
      <c r="H14" s="1116">
        <v>35.700000000000003</v>
      </c>
      <c r="I14" s="1115">
        <v>2589591</v>
      </c>
      <c r="J14" s="1116">
        <v>7286.6</v>
      </c>
      <c r="K14" s="1115">
        <v>102758</v>
      </c>
      <c r="L14" s="1116">
        <v>12.5</v>
      </c>
      <c r="M14" s="1115">
        <v>11524588</v>
      </c>
      <c r="N14" s="1116">
        <v>1105.8463750000001</v>
      </c>
    </row>
    <row r="15" spans="1:14" ht="15.95" customHeight="1">
      <c r="A15" s="1991">
        <v>2017</v>
      </c>
      <c r="B15" s="1992"/>
      <c r="C15" s="1347">
        <v>204622</v>
      </c>
      <c r="D15" s="1116">
        <v>9134.1</v>
      </c>
      <c r="E15" s="1347">
        <v>45075</v>
      </c>
      <c r="F15" s="1116">
        <v>78021.100000000006</v>
      </c>
      <c r="G15" s="1115">
        <v>371841</v>
      </c>
      <c r="H15" s="1116">
        <v>87.6</v>
      </c>
      <c r="I15" s="1115">
        <v>4981026</v>
      </c>
      <c r="J15" s="1116">
        <v>9630.7999999999993</v>
      </c>
      <c r="K15" s="1115">
        <v>1244287</v>
      </c>
      <c r="L15" s="1116">
        <v>79</v>
      </c>
      <c r="M15" s="1115">
        <v>15158643</v>
      </c>
      <c r="N15" s="1116">
        <v>1429.6595</v>
      </c>
    </row>
    <row r="16" spans="1:14" ht="15.95" customHeight="1">
      <c r="A16" s="1114">
        <v>2018</v>
      </c>
      <c r="B16" s="847"/>
      <c r="C16" s="1347">
        <v>209671</v>
      </c>
      <c r="D16" s="1116">
        <v>9232.9</v>
      </c>
      <c r="E16" s="1347">
        <v>44592</v>
      </c>
      <c r="F16" s="1116">
        <v>81718.899999999994</v>
      </c>
      <c r="G16" s="1115">
        <v>962740</v>
      </c>
      <c r="H16" s="1116">
        <v>174.7</v>
      </c>
      <c r="I16" s="1115">
        <v>5831526</v>
      </c>
      <c r="J16" s="1116">
        <v>11159.1</v>
      </c>
      <c r="K16" s="1115">
        <v>1665110</v>
      </c>
      <c r="L16" s="1116">
        <v>133.1</v>
      </c>
      <c r="M16" s="1115">
        <v>17811102</v>
      </c>
      <c r="N16" s="1116">
        <v>1651.9018000000001</v>
      </c>
    </row>
    <row r="17" spans="1:15" ht="15.95" customHeight="1">
      <c r="A17" s="1114">
        <v>2019</v>
      </c>
      <c r="B17" s="847"/>
      <c r="C17" s="1347">
        <v>217703</v>
      </c>
      <c r="D17" s="1116">
        <v>9372.9</v>
      </c>
      <c r="E17" s="1347">
        <v>42223</v>
      </c>
      <c r="F17" s="1116">
        <v>85142.399999999994</v>
      </c>
      <c r="G17" s="1115">
        <v>6322911</v>
      </c>
      <c r="H17" s="1116">
        <v>542.86</v>
      </c>
      <c r="I17" s="1115">
        <v>7110816</v>
      </c>
      <c r="J17" s="1116">
        <v>12671.900000000001</v>
      </c>
      <c r="K17" s="1115">
        <v>1995920</v>
      </c>
      <c r="L17" s="1116">
        <v>291.5</v>
      </c>
      <c r="M17" s="1115">
        <v>19731651</v>
      </c>
      <c r="N17" s="1116">
        <v>1746.62482</v>
      </c>
    </row>
    <row r="18" spans="1:15" ht="15.95" customHeight="1">
      <c r="A18" s="1114">
        <v>2020</v>
      </c>
      <c r="B18" s="847"/>
      <c r="C18" s="1347">
        <v>243892</v>
      </c>
      <c r="D18" s="1116">
        <v>10593.5</v>
      </c>
      <c r="E18" s="1347">
        <v>36292</v>
      </c>
      <c r="F18" s="1116">
        <v>68026.247781167011</v>
      </c>
      <c r="G18" s="1115">
        <v>47247358</v>
      </c>
      <c r="H18" s="1116">
        <v>2237.8397709999999</v>
      </c>
      <c r="I18" s="1115">
        <v>8702806</v>
      </c>
      <c r="J18" s="1116">
        <v>13458.651462000002</v>
      </c>
      <c r="K18" s="1115">
        <v>4199985</v>
      </c>
      <c r="L18" s="1116">
        <v>465.04345800000004</v>
      </c>
      <c r="M18" s="1115">
        <v>18741958</v>
      </c>
      <c r="N18" s="1116">
        <v>1555.7394109999998</v>
      </c>
    </row>
    <row r="19" spans="1:15" ht="15.95" customHeight="1">
      <c r="A19" s="1114">
        <v>2021</v>
      </c>
      <c r="B19" s="847"/>
      <c r="C19" s="1347">
        <v>259105</v>
      </c>
      <c r="D19" s="1116">
        <v>9673.9172564569999</v>
      </c>
      <c r="E19" s="1347">
        <v>42705</v>
      </c>
      <c r="F19" s="1116">
        <v>83922.596094576002</v>
      </c>
      <c r="G19" s="1115">
        <v>141835256</v>
      </c>
      <c r="H19" s="1116">
        <v>4462.4831600739999</v>
      </c>
      <c r="I19" s="1115">
        <v>9681631</v>
      </c>
      <c r="J19" s="1116">
        <v>15378.309771431999</v>
      </c>
      <c r="K19" s="1115">
        <v>9140103</v>
      </c>
      <c r="L19" s="1116">
        <v>685.41474115000005</v>
      </c>
      <c r="M19" s="1115">
        <v>15758177</v>
      </c>
      <c r="N19" s="1116">
        <v>1419.5800263400001</v>
      </c>
    </row>
    <row r="20" spans="1:15" ht="15.95" customHeight="1">
      <c r="A20" s="1114">
        <v>2022</v>
      </c>
      <c r="B20" s="847"/>
      <c r="C20" s="1115">
        <v>266647</v>
      </c>
      <c r="D20" s="1116">
        <v>9706.1287400000001</v>
      </c>
      <c r="E20" s="1115">
        <v>43726</v>
      </c>
      <c r="F20" s="1116">
        <v>86241.370043746007</v>
      </c>
      <c r="G20" s="1115">
        <v>244925166</v>
      </c>
      <c r="H20" s="1116">
        <v>6149.5304039879993</v>
      </c>
      <c r="I20" s="1115">
        <v>10997227</v>
      </c>
      <c r="J20" s="1116">
        <v>18351.528233444998</v>
      </c>
      <c r="K20" s="1115">
        <v>11830039</v>
      </c>
      <c r="L20" s="1116">
        <v>913.24598615999992</v>
      </c>
      <c r="M20" s="1115">
        <v>14116744</v>
      </c>
      <c r="N20" s="1116">
        <v>1372.0853723799996</v>
      </c>
    </row>
    <row r="21" spans="1:15" ht="15.95" customHeight="1">
      <c r="A21" s="1114">
        <v>2023</v>
      </c>
      <c r="B21" s="847"/>
      <c r="C21" s="1115">
        <v>314663</v>
      </c>
      <c r="D21" s="1116">
        <v>9911.8071161419994</v>
      </c>
      <c r="E21" s="1115">
        <v>48429</v>
      </c>
      <c r="F21" s="1116">
        <v>104624.271310935</v>
      </c>
      <c r="G21" s="1115">
        <v>338653902</v>
      </c>
      <c r="H21" s="1116">
        <v>7404.1710555399995</v>
      </c>
      <c r="I21" s="1115">
        <v>12520338</v>
      </c>
      <c r="J21" s="1116">
        <v>20954.594999030003</v>
      </c>
      <c r="K21" s="1115">
        <v>12913067</v>
      </c>
      <c r="L21" s="1116">
        <v>1018.8718770519999</v>
      </c>
      <c r="M21" s="1115">
        <v>12252664</v>
      </c>
      <c r="N21" s="1116">
        <v>1220.7208868819998</v>
      </c>
    </row>
    <row r="22" spans="1:15" ht="15.95" customHeight="1">
      <c r="A22" s="990">
        <v>2024</v>
      </c>
      <c r="B22" s="945"/>
      <c r="C22" s="992">
        <f t="shared" ref="C22:N22" si="0">SUM(C24:C27)</f>
        <v>343019</v>
      </c>
      <c r="D22" s="991">
        <f t="shared" si="0"/>
        <v>10915.129488564999</v>
      </c>
      <c r="E22" s="992">
        <f t="shared" si="0"/>
        <v>52892</v>
      </c>
      <c r="F22" s="991">
        <f t="shared" si="0"/>
        <v>128752.96331480799</v>
      </c>
      <c r="G22" s="992">
        <f t="shared" si="0"/>
        <v>417952450</v>
      </c>
      <c r="H22" s="991">
        <f t="shared" si="0"/>
        <v>8524.5287827329994</v>
      </c>
      <c r="I22" s="992">
        <f t="shared" si="0"/>
        <v>13184829</v>
      </c>
      <c r="J22" s="991">
        <f t="shared" si="0"/>
        <v>23582.536458832998</v>
      </c>
      <c r="K22" s="992">
        <f t="shared" si="0"/>
        <v>12628131</v>
      </c>
      <c r="L22" s="991">
        <f t="shared" si="0"/>
        <v>1157.4334616220001</v>
      </c>
      <c r="M22" s="992">
        <f t="shared" si="0"/>
        <v>10117677</v>
      </c>
      <c r="N22" s="991">
        <f t="shared" si="0"/>
        <v>1092.557499987</v>
      </c>
    </row>
    <row r="23" spans="1:15" ht="21" customHeight="1">
      <c r="A23" s="1114">
        <v>2023</v>
      </c>
      <c r="B23" s="847" t="s">
        <v>238</v>
      </c>
      <c r="C23" s="1115">
        <v>83463</v>
      </c>
      <c r="D23" s="1116">
        <v>2544.6056566749999</v>
      </c>
      <c r="E23" s="1115">
        <v>12699</v>
      </c>
      <c r="F23" s="1116">
        <v>31245.974311150996</v>
      </c>
      <c r="G23" s="1115">
        <v>96696896</v>
      </c>
      <c r="H23" s="1116">
        <v>1970.276703196</v>
      </c>
      <c r="I23" s="1115">
        <v>3247098</v>
      </c>
      <c r="J23" s="1116">
        <v>5587.5411796990002</v>
      </c>
      <c r="K23" s="1115">
        <v>3370356</v>
      </c>
      <c r="L23" s="1116">
        <v>283.995160134</v>
      </c>
      <c r="M23" s="1115">
        <v>2915755</v>
      </c>
      <c r="N23" s="1116">
        <v>288.61346873399998</v>
      </c>
    </row>
    <row r="24" spans="1:15" ht="21" customHeight="1">
      <c r="A24" s="1114">
        <v>2024</v>
      </c>
      <c r="B24" s="847" t="s">
        <v>239</v>
      </c>
      <c r="C24" s="1115">
        <v>88446</v>
      </c>
      <c r="D24" s="1116">
        <v>2850.5285121779998</v>
      </c>
      <c r="E24" s="1115">
        <v>13806</v>
      </c>
      <c r="F24" s="1116">
        <v>36835.478900438997</v>
      </c>
      <c r="G24" s="1115">
        <v>97784062</v>
      </c>
      <c r="H24" s="1116">
        <v>2072.5890987239995</v>
      </c>
      <c r="I24" s="1115">
        <v>3273143</v>
      </c>
      <c r="J24" s="1116">
        <v>5700.6797468260002</v>
      </c>
      <c r="K24" s="1115">
        <v>3153113</v>
      </c>
      <c r="L24" s="1116">
        <v>267.198772975</v>
      </c>
      <c r="M24" s="1115">
        <v>2675675</v>
      </c>
      <c r="N24" s="1116">
        <v>286.44944799499996</v>
      </c>
      <c r="O24" s="1181"/>
    </row>
    <row r="25" spans="1:15" ht="15" customHeight="1">
      <c r="A25" s="1114"/>
      <c r="B25" s="847" t="s">
        <v>240</v>
      </c>
      <c r="C25" s="1115">
        <v>85274</v>
      </c>
      <c r="D25" s="1116">
        <v>2562.693101804</v>
      </c>
      <c r="E25" s="1115">
        <v>12427</v>
      </c>
      <c r="F25" s="1116">
        <v>34632.986187149007</v>
      </c>
      <c r="G25" s="1115">
        <v>102779219</v>
      </c>
      <c r="H25" s="1116">
        <v>2137.1405942319998</v>
      </c>
      <c r="I25" s="1115">
        <v>3244564</v>
      </c>
      <c r="J25" s="1116">
        <v>5923.384359789</v>
      </c>
      <c r="K25" s="1115">
        <v>3189165</v>
      </c>
      <c r="L25" s="1116">
        <v>281.34991023400005</v>
      </c>
      <c r="M25" s="1115">
        <v>2618708</v>
      </c>
      <c r="N25" s="1116">
        <v>281.597654971</v>
      </c>
      <c r="O25" s="1181"/>
    </row>
    <row r="26" spans="1:15" ht="15" customHeight="1">
      <c r="A26" s="1114"/>
      <c r="B26" s="847" t="s">
        <v>237</v>
      </c>
      <c r="C26" s="1115">
        <v>86209</v>
      </c>
      <c r="D26" s="1116">
        <v>2577.2339150759999</v>
      </c>
      <c r="E26" s="1115">
        <v>13421</v>
      </c>
      <c r="F26" s="1116">
        <v>26689.236231955998</v>
      </c>
      <c r="G26" s="1115">
        <v>102798122</v>
      </c>
      <c r="H26" s="1116">
        <v>2103.1232203270001</v>
      </c>
      <c r="I26" s="1115">
        <v>3251064</v>
      </c>
      <c r="J26" s="1116">
        <v>5815.6138574750003</v>
      </c>
      <c r="K26" s="1115">
        <v>3142266</v>
      </c>
      <c r="L26" s="1116">
        <v>302.00083434999999</v>
      </c>
      <c r="M26" s="1115">
        <v>2419327</v>
      </c>
      <c r="N26" s="1116">
        <v>264.23229637300005</v>
      </c>
      <c r="O26" s="1181"/>
    </row>
    <row r="27" spans="1:15" ht="15" customHeight="1">
      <c r="A27" s="1114"/>
      <c r="B27" s="847" t="s">
        <v>238</v>
      </c>
      <c r="C27" s="1115">
        <v>83090</v>
      </c>
      <c r="D27" s="1116">
        <v>2924.6739595069998</v>
      </c>
      <c r="E27" s="1115">
        <v>13238</v>
      </c>
      <c r="F27" s="1116">
        <v>30595.261995263998</v>
      </c>
      <c r="G27" s="1115">
        <v>114591047</v>
      </c>
      <c r="H27" s="1116">
        <v>2211.6758694500004</v>
      </c>
      <c r="I27" s="1115">
        <v>3416058</v>
      </c>
      <c r="J27" s="1116">
        <v>6142.8584947430008</v>
      </c>
      <c r="K27" s="1115">
        <v>3143587</v>
      </c>
      <c r="L27" s="1116">
        <v>306.883944063</v>
      </c>
      <c r="M27" s="1115">
        <v>2403967</v>
      </c>
      <c r="N27" s="1116">
        <v>260.27810064799996</v>
      </c>
      <c r="O27" s="1181"/>
    </row>
    <row r="28" spans="1:15" ht="21" customHeight="1">
      <c r="A28" s="1114">
        <v>2025</v>
      </c>
      <c r="B28" s="847" t="s">
        <v>239</v>
      </c>
      <c r="C28" s="1115">
        <f t="shared" ref="C28:N28" si="1">SUM(C34:C36)</f>
        <v>81752</v>
      </c>
      <c r="D28" s="1116">
        <f t="shared" si="1"/>
        <v>2753.5434626589999</v>
      </c>
      <c r="E28" s="1115">
        <f t="shared" si="1"/>
        <v>13318</v>
      </c>
      <c r="F28" s="1116">
        <f t="shared" si="1"/>
        <v>26044.038192010001</v>
      </c>
      <c r="G28" s="1115">
        <f t="shared" si="1"/>
        <v>111738767</v>
      </c>
      <c r="H28" s="1116">
        <f t="shared" si="1"/>
        <v>2302.4229634849999</v>
      </c>
      <c r="I28" s="1115">
        <f t="shared" si="1"/>
        <v>3430878</v>
      </c>
      <c r="J28" s="1116">
        <f t="shared" si="1"/>
        <v>6124.5076745409997</v>
      </c>
      <c r="K28" s="1115">
        <f t="shared" si="1"/>
        <v>2833384</v>
      </c>
      <c r="L28" s="1116">
        <f t="shared" si="1"/>
        <v>290.67716947500003</v>
      </c>
      <c r="M28" s="1115">
        <f t="shared" si="1"/>
        <v>2281267</v>
      </c>
      <c r="N28" s="1116">
        <f t="shared" si="1"/>
        <v>258.33508274400003</v>
      </c>
      <c r="O28" s="1181"/>
    </row>
    <row r="29" spans="1:15" ht="15" customHeight="1">
      <c r="A29" s="1114"/>
      <c r="B29" s="847" t="s">
        <v>240</v>
      </c>
      <c r="C29" s="1115">
        <f t="shared" ref="C29:M29" si="2">SUM(C37:C39)</f>
        <v>82288</v>
      </c>
      <c r="D29" s="1116">
        <f t="shared" si="2"/>
        <v>2771.2750713170003</v>
      </c>
      <c r="E29" s="1115">
        <f t="shared" si="2"/>
        <v>14001</v>
      </c>
      <c r="F29" s="1116">
        <f t="shared" si="2"/>
        <v>29690.464621854</v>
      </c>
      <c r="G29" s="1115">
        <f t="shared" si="2"/>
        <v>117928840</v>
      </c>
      <c r="H29" s="1116">
        <f>SUM(H37:H39)+0.03</f>
        <v>2320.9593349600004</v>
      </c>
      <c r="I29" s="1115">
        <f t="shared" si="2"/>
        <v>3643917</v>
      </c>
      <c r="J29" s="1116">
        <f>SUM(J37:J39)-0.02</f>
        <v>6842.441150667999</v>
      </c>
      <c r="K29" s="1115">
        <f t="shared" si="2"/>
        <v>3114342</v>
      </c>
      <c r="L29" s="1116">
        <f t="shared" si="2"/>
        <v>312.75108762899998</v>
      </c>
      <c r="M29" s="1115">
        <f t="shared" si="2"/>
        <v>2176881</v>
      </c>
      <c r="N29" s="1116">
        <f>SUM(N37:N39)-0.01</f>
        <v>253.14486076600002</v>
      </c>
      <c r="O29" s="1181"/>
    </row>
    <row r="30" spans="1:15" ht="15" customHeight="1">
      <c r="A30" s="990"/>
      <c r="B30" s="945" t="s">
        <v>237</v>
      </c>
      <c r="C30" s="992">
        <f>SUM(C40:C42)</f>
        <v>83402</v>
      </c>
      <c r="D30" s="991">
        <f>SUM(D40:D42)</f>
        <v>2985.6055928039996</v>
      </c>
      <c r="E30" s="992">
        <f>SUM(E40:E42)</f>
        <v>14090</v>
      </c>
      <c r="F30" s="991">
        <f>SUM(F40:F42)</f>
        <v>29694.669125414002</v>
      </c>
      <c r="G30" s="992">
        <f>SUM(G40:G42)</f>
        <v>112856115</v>
      </c>
      <c r="H30" s="991">
        <f>SUM(H40:H42)+0.02</f>
        <v>2434.5591027510004</v>
      </c>
      <c r="I30" s="992">
        <f>SUM(I40:I42)</f>
        <v>3542758</v>
      </c>
      <c r="J30" s="991">
        <f>SUM(J40:J42)</f>
        <v>6728.1078597100013</v>
      </c>
      <c r="K30" s="992">
        <f>SUM(K40:K42)</f>
        <v>2935408</v>
      </c>
      <c r="L30" s="991">
        <f>SUM(L40:L42)</f>
        <v>397.66801919400007</v>
      </c>
      <c r="M30" s="992">
        <f>SUM(M40:M42)</f>
        <v>2094130</v>
      </c>
      <c r="N30" s="991">
        <f>SUM(N40:N42)-0.05</f>
        <v>236.02916602799999</v>
      </c>
      <c r="O30" s="1181"/>
    </row>
    <row r="31" spans="1:15" ht="21" customHeight="1">
      <c r="A31" s="928">
        <v>2024</v>
      </c>
      <c r="B31" s="847" t="s">
        <v>412</v>
      </c>
      <c r="C31" s="1115">
        <v>29210</v>
      </c>
      <c r="D31" s="1116">
        <v>1044.9186134669999</v>
      </c>
      <c r="E31" s="1115">
        <v>4731</v>
      </c>
      <c r="F31" s="1116">
        <v>11673.257625201</v>
      </c>
      <c r="G31" s="1115">
        <v>38232829</v>
      </c>
      <c r="H31" s="1116">
        <v>738.3417145730001</v>
      </c>
      <c r="I31" s="1115">
        <v>1243478</v>
      </c>
      <c r="J31" s="1116">
        <v>2081.7814196189997</v>
      </c>
      <c r="K31" s="1115">
        <v>1097068</v>
      </c>
      <c r="L31" s="1116">
        <v>113.12645213100001</v>
      </c>
      <c r="M31" s="1115">
        <v>834936</v>
      </c>
      <c r="N31" s="1116">
        <v>89.779847202999989</v>
      </c>
    </row>
    <row r="32" spans="1:15">
      <c r="A32" s="928"/>
      <c r="B32" s="847" t="s">
        <v>413</v>
      </c>
      <c r="C32" s="1115">
        <v>24355</v>
      </c>
      <c r="D32" s="1116">
        <v>782.481437648</v>
      </c>
      <c r="E32" s="1115">
        <v>3979</v>
      </c>
      <c r="F32" s="1116">
        <v>9040.6888784199982</v>
      </c>
      <c r="G32" s="1115">
        <v>37296217</v>
      </c>
      <c r="H32" s="1116">
        <v>711.53645933600012</v>
      </c>
      <c r="I32" s="1115">
        <v>1016828</v>
      </c>
      <c r="J32" s="1116">
        <v>1826.7585306830001</v>
      </c>
      <c r="K32" s="1115">
        <v>964103</v>
      </c>
      <c r="L32" s="1116">
        <v>88.591265105000005</v>
      </c>
      <c r="M32" s="1115">
        <v>778529</v>
      </c>
      <c r="N32" s="1116">
        <v>83.403949932999993</v>
      </c>
    </row>
    <row r="33" spans="1:20">
      <c r="A33" s="928"/>
      <c r="B33" s="847" t="s">
        <v>414</v>
      </c>
      <c r="C33" s="1115">
        <v>29525</v>
      </c>
      <c r="D33" s="1116">
        <v>1097.2739083920001</v>
      </c>
      <c r="E33" s="1115">
        <v>4528</v>
      </c>
      <c r="F33" s="1116">
        <v>9881.3154916429994</v>
      </c>
      <c r="G33" s="1115">
        <v>39062001</v>
      </c>
      <c r="H33" s="1116">
        <v>761.79769554100017</v>
      </c>
      <c r="I33" s="1115">
        <v>1155752</v>
      </c>
      <c r="J33" s="1116">
        <v>2234.3185444410005</v>
      </c>
      <c r="K33" s="1115">
        <v>1082416</v>
      </c>
      <c r="L33" s="1116">
        <v>105.16622682700002</v>
      </c>
      <c r="M33" s="1115">
        <v>790502</v>
      </c>
      <c r="N33" s="1116">
        <v>87.094303511999982</v>
      </c>
    </row>
    <row r="34" spans="1:20" ht="21" customHeight="1">
      <c r="A34" s="928">
        <v>2025</v>
      </c>
      <c r="B34" s="847" t="s">
        <v>415</v>
      </c>
      <c r="C34" s="1115">
        <v>27222</v>
      </c>
      <c r="D34" s="1116">
        <v>1000.5313393879999</v>
      </c>
      <c r="E34" s="1115">
        <v>4579</v>
      </c>
      <c r="F34" s="1116">
        <v>9520.5376979830016</v>
      </c>
      <c r="G34" s="1115">
        <v>38304510</v>
      </c>
      <c r="H34" s="1116">
        <v>749.06456169500007</v>
      </c>
      <c r="I34" s="1115">
        <v>1199719</v>
      </c>
      <c r="J34" s="1116">
        <v>2016.1575825489997</v>
      </c>
      <c r="K34" s="1115">
        <v>970574</v>
      </c>
      <c r="L34" s="1116">
        <v>109.486474766</v>
      </c>
      <c r="M34" s="1115">
        <v>768068</v>
      </c>
      <c r="N34" s="1116">
        <v>85.408644258999999</v>
      </c>
    </row>
    <row r="35" spans="1:20" ht="15.75" customHeight="1">
      <c r="A35" s="928"/>
      <c r="B35" s="847" t="s">
        <v>416</v>
      </c>
      <c r="C35" s="1115">
        <v>26172</v>
      </c>
      <c r="D35" s="1116">
        <v>859.17107759900011</v>
      </c>
      <c r="E35" s="1115">
        <v>4245</v>
      </c>
      <c r="F35" s="1116">
        <v>7512.7613596969995</v>
      </c>
      <c r="G35" s="1115">
        <v>36284116</v>
      </c>
      <c r="H35" s="1116">
        <v>718.91115257699983</v>
      </c>
      <c r="I35" s="1115">
        <v>1101211</v>
      </c>
      <c r="J35" s="1116">
        <v>2021.9083092179997</v>
      </c>
      <c r="K35" s="1115">
        <v>889996</v>
      </c>
      <c r="L35" s="1116">
        <v>89.682381311000015</v>
      </c>
      <c r="M35" s="1115">
        <v>710964</v>
      </c>
      <c r="N35" s="1116">
        <v>80.049041971999998</v>
      </c>
    </row>
    <row r="36" spans="1:20" ht="15.75" customHeight="1">
      <c r="A36" s="928"/>
      <c r="B36" s="847" t="s">
        <v>417</v>
      </c>
      <c r="C36" s="1115">
        <v>28358</v>
      </c>
      <c r="D36" s="1116">
        <v>893.84104567199995</v>
      </c>
      <c r="E36" s="1115">
        <v>4494</v>
      </c>
      <c r="F36" s="1116">
        <v>9010.7391343300005</v>
      </c>
      <c r="G36" s="1115">
        <v>37150141</v>
      </c>
      <c r="H36" s="1116">
        <v>834.44724921300008</v>
      </c>
      <c r="I36" s="1115">
        <v>1129948</v>
      </c>
      <c r="J36" s="1116">
        <v>2086.4417827740003</v>
      </c>
      <c r="K36" s="1115">
        <v>972814</v>
      </c>
      <c r="L36" s="1116">
        <v>91.508313397999984</v>
      </c>
      <c r="M36" s="1115">
        <v>802235</v>
      </c>
      <c r="N36" s="1116">
        <v>92.877396513000008</v>
      </c>
    </row>
    <row r="37" spans="1:20" ht="15.75" customHeight="1">
      <c r="A37" s="928"/>
      <c r="B37" s="847" t="s">
        <v>418</v>
      </c>
      <c r="C37" s="1115">
        <v>29155</v>
      </c>
      <c r="D37" s="1116">
        <v>952.06190587600008</v>
      </c>
      <c r="E37" s="1115">
        <v>4915</v>
      </c>
      <c r="F37" s="1116">
        <v>10370.875397316997</v>
      </c>
      <c r="G37" s="1115">
        <v>38341501</v>
      </c>
      <c r="H37" s="1116">
        <v>757.46982629200033</v>
      </c>
      <c r="I37" s="1115">
        <v>1396899</v>
      </c>
      <c r="J37" s="1116">
        <v>2554.742908876</v>
      </c>
      <c r="K37" s="1115">
        <v>1136075</v>
      </c>
      <c r="L37" s="1116">
        <v>123.45842717599999</v>
      </c>
      <c r="M37" s="1115">
        <v>711225</v>
      </c>
      <c r="N37" s="1116">
        <v>81.819632421999998</v>
      </c>
    </row>
    <row r="38" spans="1:20" ht="15.75" customHeight="1">
      <c r="A38" s="928"/>
      <c r="B38" s="847" t="s">
        <v>419</v>
      </c>
      <c r="C38" s="1115">
        <v>26766</v>
      </c>
      <c r="D38" s="1116">
        <v>922.48196805400028</v>
      </c>
      <c r="E38" s="1115">
        <v>4812</v>
      </c>
      <c r="F38" s="1116">
        <v>9962.3156236010018</v>
      </c>
      <c r="G38" s="1115">
        <v>41587854</v>
      </c>
      <c r="H38" s="1116">
        <v>807.077894775</v>
      </c>
      <c r="I38" s="1115">
        <v>1127495</v>
      </c>
      <c r="J38" s="1116">
        <v>2124.7436145909996</v>
      </c>
      <c r="K38" s="1115">
        <v>961717</v>
      </c>
      <c r="L38" s="1116">
        <v>93.093229913000002</v>
      </c>
      <c r="M38" s="1115">
        <v>742403</v>
      </c>
      <c r="N38" s="1116">
        <v>86.243703264000004</v>
      </c>
    </row>
    <row r="39" spans="1:20" ht="15.75" customHeight="1">
      <c r="A39" s="928"/>
      <c r="B39" s="847" t="s">
        <v>420</v>
      </c>
      <c r="C39" s="1115">
        <v>26367</v>
      </c>
      <c r="D39" s="1116">
        <v>896.73119738699995</v>
      </c>
      <c r="E39" s="1115">
        <v>4274</v>
      </c>
      <c r="F39" s="1116">
        <v>9357.2736009360015</v>
      </c>
      <c r="G39" s="1115">
        <v>37999485</v>
      </c>
      <c r="H39" s="1116">
        <v>756.38161389299989</v>
      </c>
      <c r="I39" s="1115">
        <v>1119523</v>
      </c>
      <c r="J39" s="1116">
        <v>2162.9746272009997</v>
      </c>
      <c r="K39" s="1115">
        <v>1016550</v>
      </c>
      <c r="L39" s="1116">
        <v>96.199430539999994</v>
      </c>
      <c r="M39" s="1115">
        <v>723253</v>
      </c>
      <c r="N39" s="1116">
        <v>85.091525080000011</v>
      </c>
    </row>
    <row r="40" spans="1:20" ht="15.75" customHeight="1">
      <c r="A40" s="928"/>
      <c r="B40" s="847" t="s">
        <v>421</v>
      </c>
      <c r="C40" s="1115">
        <v>28320</v>
      </c>
      <c r="D40" s="1116">
        <v>1087.7593157979998</v>
      </c>
      <c r="E40" s="1115">
        <v>5048</v>
      </c>
      <c r="F40" s="1116">
        <v>11026.468650686</v>
      </c>
      <c r="G40" s="1115">
        <v>37110651</v>
      </c>
      <c r="H40" s="1116">
        <v>790.06865808500015</v>
      </c>
      <c r="I40" s="1115">
        <v>1302368</v>
      </c>
      <c r="J40" s="1116">
        <v>2391.3893577140002</v>
      </c>
      <c r="K40" s="1115">
        <v>981481</v>
      </c>
      <c r="L40" s="1116">
        <v>127.76468063800002</v>
      </c>
      <c r="M40" s="1115">
        <v>725537</v>
      </c>
      <c r="N40" s="1116">
        <v>83.434007366000031</v>
      </c>
    </row>
    <row r="41" spans="1:20" ht="15.75" customHeight="1">
      <c r="A41" s="928"/>
      <c r="B41" s="847" t="s">
        <v>422</v>
      </c>
      <c r="C41" s="1115">
        <v>26118</v>
      </c>
      <c r="D41" s="1116">
        <v>896.21391612100001</v>
      </c>
      <c r="E41" s="1115">
        <v>4341</v>
      </c>
      <c r="F41" s="1116">
        <v>9456.3160196609988</v>
      </c>
      <c r="G41" s="1115">
        <v>36985510</v>
      </c>
      <c r="H41" s="1116">
        <v>813.61331272200005</v>
      </c>
      <c r="I41" s="1115">
        <v>1119762</v>
      </c>
      <c r="J41" s="1116">
        <v>2146.5428398930003</v>
      </c>
      <c r="K41" s="1115">
        <v>973822</v>
      </c>
      <c r="L41" s="1116">
        <v>161.14514072600002</v>
      </c>
      <c r="M41" s="1115">
        <v>661257</v>
      </c>
      <c r="N41" s="1116">
        <v>74.106136948999989</v>
      </c>
    </row>
    <row r="42" spans="1:20" ht="15.75" customHeight="1">
      <c r="A42" s="928"/>
      <c r="B42" s="847" t="s">
        <v>423</v>
      </c>
      <c r="C42" s="1115">
        <v>28964</v>
      </c>
      <c r="D42" s="1116">
        <v>1001.632360885</v>
      </c>
      <c r="E42" s="1115">
        <v>4701</v>
      </c>
      <c r="F42" s="1116">
        <v>9211.8844550670019</v>
      </c>
      <c r="G42" s="1115">
        <v>38759954</v>
      </c>
      <c r="H42" s="1116">
        <v>830.85713194400012</v>
      </c>
      <c r="I42" s="1115">
        <v>1120628</v>
      </c>
      <c r="J42" s="1116">
        <v>2190.1756621030008</v>
      </c>
      <c r="K42" s="1115">
        <v>980105</v>
      </c>
      <c r="L42" s="1116">
        <v>108.75819783</v>
      </c>
      <c r="M42" s="1115">
        <v>707336</v>
      </c>
      <c r="N42" s="1116">
        <v>78.539021712999983</v>
      </c>
    </row>
    <row r="43" spans="1:20" ht="15.75" customHeight="1">
      <c r="A43" s="928"/>
      <c r="B43" s="847" t="s">
        <v>412</v>
      </c>
      <c r="C43" s="1115">
        <v>28676</v>
      </c>
      <c r="D43" s="1116">
        <v>944.74900837900009</v>
      </c>
      <c r="E43" s="1115">
        <v>5095</v>
      </c>
      <c r="F43" s="1116">
        <v>10091.961853171999</v>
      </c>
      <c r="G43" s="1115">
        <v>41355507</v>
      </c>
      <c r="H43" s="1116">
        <v>876.31087307199994</v>
      </c>
      <c r="I43" s="1115">
        <v>1297436</v>
      </c>
      <c r="J43" s="1116">
        <v>2216.0440771359995</v>
      </c>
      <c r="K43" s="1115">
        <v>997760</v>
      </c>
      <c r="L43" s="1116">
        <v>122.79701404000001</v>
      </c>
      <c r="M43" s="1115">
        <v>755596</v>
      </c>
      <c r="N43" s="1116">
        <v>84.00513983899998</v>
      </c>
    </row>
    <row r="44" spans="1:20" s="1350" customFormat="1" ht="20.25" customHeight="1">
      <c r="A44" s="1348" t="s">
        <v>1283</v>
      </c>
      <c r="B44" s="1348"/>
      <c r="C44" s="1348"/>
      <c r="D44" s="1348"/>
      <c r="E44" s="1348"/>
      <c r="F44" s="1348"/>
      <c r="G44" s="1348"/>
      <c r="H44" s="1348"/>
      <c r="I44" s="1349"/>
      <c r="J44" s="1349"/>
      <c r="K44" s="1349"/>
      <c r="L44" s="1349"/>
      <c r="M44" s="1339"/>
      <c r="N44" s="1339" t="s">
        <v>1284</v>
      </c>
      <c r="T44" s="1351"/>
    </row>
    <row r="45" spans="1:20">
      <c r="A45" s="1306" t="s">
        <v>1285</v>
      </c>
      <c r="B45" s="1335"/>
      <c r="C45" s="1335"/>
      <c r="D45" s="1335"/>
      <c r="E45" s="1335"/>
      <c r="F45" s="1335"/>
      <c r="M45" s="1352"/>
      <c r="N45" s="1352" t="s">
        <v>1286</v>
      </c>
    </row>
    <row r="46" spans="1:20">
      <c r="A46" s="1306" t="s">
        <v>1731</v>
      </c>
      <c r="B46" s="1335"/>
      <c r="C46" s="1335"/>
      <c r="D46" s="1335"/>
      <c r="E46" s="1335"/>
      <c r="F46" s="1335"/>
      <c r="G46" s="1353"/>
      <c r="H46" s="1353"/>
      <c r="I46" s="1354"/>
      <c r="J46" s="1354"/>
      <c r="K46" s="1354"/>
      <c r="L46" s="1354"/>
      <c r="M46" s="1352"/>
      <c r="N46" s="1352" t="s">
        <v>1287</v>
      </c>
    </row>
    <row r="47" spans="1:20">
      <c r="A47" s="1306" t="s">
        <v>1732</v>
      </c>
      <c r="B47" s="1335"/>
      <c r="C47" s="1335"/>
      <c r="D47" s="1335"/>
      <c r="E47" s="1335"/>
      <c r="F47" s="1335"/>
      <c r="M47" s="1352"/>
      <c r="N47" s="1352" t="s">
        <v>1733</v>
      </c>
    </row>
    <row r="48" spans="1:20">
      <c r="A48" s="1306" t="s">
        <v>1288</v>
      </c>
    </row>
    <row r="49" spans="1:14">
      <c r="A49" s="1306" t="s">
        <v>1289</v>
      </c>
      <c r="B49" s="1335"/>
      <c r="C49" s="1335"/>
      <c r="D49" s="1335"/>
      <c r="E49" s="1335"/>
      <c r="F49" s="1335"/>
      <c r="M49" s="1352"/>
      <c r="N49" s="1352" t="s">
        <v>1290</v>
      </c>
    </row>
    <row r="50" spans="1:14">
      <c r="G50" s="1355"/>
      <c r="H50" s="1355"/>
      <c r="I50" s="1355"/>
      <c r="J50" s="1355"/>
      <c r="K50" s="1355"/>
      <c r="L50" s="1355"/>
    </row>
    <row r="51" spans="1:14">
      <c r="A51" s="1325" t="s">
        <v>1291</v>
      </c>
      <c r="B51" s="1325"/>
      <c r="C51" s="1354"/>
      <c r="D51" s="1354"/>
      <c r="E51" s="1325"/>
      <c r="F51" s="1325"/>
      <c r="G51" s="1325"/>
      <c r="H51" s="1325"/>
      <c r="I51" s="1325"/>
      <c r="J51" s="1325"/>
      <c r="K51" s="1325"/>
      <c r="L51" s="1325"/>
      <c r="M51" s="1356"/>
      <c r="N51" s="1356"/>
    </row>
    <row r="52" spans="1:14">
      <c r="M52" s="1357"/>
      <c r="N52" s="1357"/>
    </row>
    <row r="53" spans="1:14">
      <c r="C53" s="1355"/>
      <c r="D53" s="1355"/>
    </row>
    <row r="54" spans="1:14">
      <c r="C54" s="1355"/>
      <c r="D54" s="1355"/>
    </row>
  </sheetData>
  <mergeCells count="19">
    <mergeCell ref="A15:B15"/>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tabSelected="1" zoomScale="80" zoomScaleNormal="80" workbookViewId="0">
      <pane ySplit="12" topLeftCell="A24" activePane="bottomLeft" state="frozen"/>
      <selection activeCell="N29" sqref="N29"/>
      <selection pane="bottomLeft" activeCell="N29" sqref="N29"/>
    </sheetView>
  </sheetViews>
  <sheetFormatPr defaultColWidth="18.28515625" defaultRowHeight="15.75"/>
  <cols>
    <col min="1" max="1" width="10.85546875" style="940" customWidth="1"/>
    <col min="2" max="2" width="10.7109375" style="846" customWidth="1"/>
    <col min="3" max="12" width="17.7109375" style="846" customWidth="1"/>
    <col min="13" max="13" width="10.42578125" style="846" customWidth="1"/>
    <col min="14" max="14" width="9.28515625" style="846" bestFit="1" customWidth="1"/>
    <col min="15" max="16384" width="18.28515625" style="846"/>
  </cols>
  <sheetData>
    <row r="1" spans="1:12" ht="18" customHeight="1">
      <c r="A1" s="1993" t="s">
        <v>1292</v>
      </c>
      <c r="B1" s="1993"/>
      <c r="C1" s="1993"/>
      <c r="D1" s="1993"/>
      <c r="E1" s="1993"/>
      <c r="F1" s="1993"/>
      <c r="G1" s="1993"/>
      <c r="H1" s="1993"/>
      <c r="I1" s="1993"/>
      <c r="J1" s="1993"/>
      <c r="K1" s="1993"/>
      <c r="L1" s="1993"/>
    </row>
    <row r="2" spans="1:12" ht="18" customHeight="1">
      <c r="A2" s="1994" t="s">
        <v>80</v>
      </c>
      <c r="B2" s="1994"/>
      <c r="C2" s="1994"/>
      <c r="D2" s="1994"/>
      <c r="E2" s="1994"/>
      <c r="F2" s="1994"/>
      <c r="G2" s="1994"/>
      <c r="H2" s="1994"/>
      <c r="I2" s="1994"/>
      <c r="J2" s="1994"/>
      <c r="K2" s="1994"/>
      <c r="L2" s="1994"/>
    </row>
    <row r="3" spans="1:12">
      <c r="A3" s="1995" t="s">
        <v>79</v>
      </c>
      <c r="B3" s="1995"/>
      <c r="C3" s="1995"/>
      <c r="D3" s="1995"/>
      <c r="E3" s="1995"/>
      <c r="F3" s="1995"/>
      <c r="G3" s="1995"/>
      <c r="H3" s="1995"/>
      <c r="I3" s="1995"/>
      <c r="J3" s="1995"/>
      <c r="K3" s="1995"/>
      <c r="L3" s="1995"/>
    </row>
    <row r="4" spans="1:12" ht="4.5" customHeight="1">
      <c r="A4" s="949"/>
      <c r="B4" s="949"/>
      <c r="C4" s="949"/>
      <c r="D4" s="949"/>
      <c r="E4" s="949"/>
      <c r="F4" s="949"/>
      <c r="G4" s="949"/>
      <c r="H4" s="949"/>
      <c r="I4" s="949"/>
      <c r="J4" s="949"/>
      <c r="K4" s="949"/>
      <c r="L4" s="949"/>
    </row>
    <row r="5" spans="1:12" hidden="1">
      <c r="A5" s="949"/>
      <c r="B5" s="949"/>
      <c r="C5" s="949"/>
      <c r="D5" s="949"/>
      <c r="E5" s="949"/>
      <c r="F5" s="949"/>
      <c r="G5" s="949"/>
      <c r="H5" s="949"/>
      <c r="I5" s="949"/>
      <c r="J5" s="949"/>
      <c r="K5" s="949"/>
      <c r="L5" s="949"/>
    </row>
    <row r="6" spans="1:12" hidden="1">
      <c r="A6" s="949"/>
      <c r="B6" s="949"/>
      <c r="C6" s="949"/>
      <c r="D6" s="949"/>
      <c r="E6" s="949"/>
      <c r="F6" s="949"/>
      <c r="G6" s="949"/>
      <c r="H6" s="949"/>
      <c r="I6" s="949"/>
      <c r="J6" s="949"/>
      <c r="K6" s="949"/>
      <c r="L6" s="949"/>
    </row>
    <row r="7" spans="1:12" hidden="1">
      <c r="A7" s="949"/>
      <c r="B7" s="949"/>
      <c r="C7" s="949"/>
      <c r="D7" s="949"/>
      <c r="E7" s="949"/>
      <c r="F7" s="949"/>
      <c r="G7" s="949"/>
      <c r="H7" s="949"/>
      <c r="I7" s="949"/>
      <c r="J7" s="949"/>
      <c r="K7" s="949"/>
      <c r="L7" s="949"/>
    </row>
    <row r="8" spans="1:12">
      <c r="A8" s="948"/>
    </row>
    <row r="9" spans="1:12" s="946" customFormat="1" ht="27" customHeight="1">
      <c r="A9" s="1996" t="s">
        <v>1262</v>
      </c>
      <c r="B9" s="1996"/>
      <c r="C9" s="1980" t="s">
        <v>1293</v>
      </c>
      <c r="D9" s="1986"/>
      <c r="E9" s="1980" t="s">
        <v>1294</v>
      </c>
      <c r="F9" s="1986"/>
      <c r="G9" s="1986"/>
      <c r="H9" s="1986"/>
      <c r="I9" s="1977" t="s">
        <v>1295</v>
      </c>
      <c r="J9" s="1977"/>
      <c r="K9" s="1977" t="s">
        <v>1296</v>
      </c>
      <c r="L9" s="1977"/>
    </row>
    <row r="10" spans="1:12" s="946" customFormat="1">
      <c r="A10" s="1996"/>
      <c r="B10" s="1996"/>
      <c r="C10" s="1984" t="s">
        <v>1297</v>
      </c>
      <c r="D10" s="1997"/>
      <c r="E10" s="1984" t="s">
        <v>1298</v>
      </c>
      <c r="F10" s="1997"/>
      <c r="G10" s="1997"/>
      <c r="H10" s="1997"/>
      <c r="I10" s="1990" t="s">
        <v>1299</v>
      </c>
      <c r="J10" s="1990"/>
      <c r="K10" s="1990" t="s">
        <v>1300</v>
      </c>
      <c r="L10" s="1990"/>
    </row>
    <row r="11" spans="1:12" s="946" customFormat="1" ht="47.25">
      <c r="A11" s="1996"/>
      <c r="B11" s="1996"/>
      <c r="C11" s="921" t="s">
        <v>1279</v>
      </c>
      <c r="D11" s="921" t="s">
        <v>1301</v>
      </c>
      <c r="E11" s="921" t="s">
        <v>1279</v>
      </c>
      <c r="F11" s="921" t="s">
        <v>1302</v>
      </c>
      <c r="G11" s="921" t="s">
        <v>1301</v>
      </c>
      <c r="H11" s="921" t="s">
        <v>1303</v>
      </c>
      <c r="I11" s="921" t="s">
        <v>1279</v>
      </c>
      <c r="J11" s="921" t="s">
        <v>1301</v>
      </c>
      <c r="K11" s="921" t="s">
        <v>1279</v>
      </c>
      <c r="L11" s="921" t="s">
        <v>1301</v>
      </c>
    </row>
    <row r="12" spans="1:12" s="1337" customFormat="1" ht="47.25">
      <c r="A12" s="1996"/>
      <c r="B12" s="1996"/>
      <c r="C12" s="947" t="s">
        <v>1281</v>
      </c>
      <c r="D12" s="947" t="s">
        <v>1304</v>
      </c>
      <c r="E12" s="947" t="s">
        <v>1281</v>
      </c>
      <c r="F12" s="947" t="s">
        <v>1305</v>
      </c>
      <c r="G12" s="947" t="s">
        <v>1304</v>
      </c>
      <c r="H12" s="947" t="s">
        <v>1305</v>
      </c>
      <c r="I12" s="947" t="s">
        <v>1281</v>
      </c>
      <c r="J12" s="947" t="s">
        <v>1304</v>
      </c>
      <c r="K12" s="947" t="s">
        <v>1281</v>
      </c>
      <c r="L12" s="947" t="s">
        <v>1304</v>
      </c>
    </row>
    <row r="13" spans="1:12" s="1337" customFormat="1" hidden="1">
      <c r="A13" s="1331">
        <v>2015</v>
      </c>
      <c r="B13" s="1332"/>
      <c r="C13" s="961">
        <v>3372471</v>
      </c>
      <c r="D13" s="961">
        <v>10479.285891078001</v>
      </c>
      <c r="E13" s="961">
        <v>84944</v>
      </c>
      <c r="F13" s="961">
        <v>2.5187466400748888E-2</v>
      </c>
      <c r="G13" s="961">
        <v>254</v>
      </c>
      <c r="H13" s="961">
        <v>2.4238292822629643E-2</v>
      </c>
      <c r="I13" s="961">
        <v>17080</v>
      </c>
      <c r="J13" s="961">
        <v>74.2</v>
      </c>
      <c r="K13" s="961">
        <v>67864</v>
      </c>
      <c r="L13" s="961">
        <v>179.8</v>
      </c>
    </row>
    <row r="14" spans="1:12" ht="21" customHeight="1">
      <c r="A14" s="928">
        <v>2016</v>
      </c>
      <c r="B14" s="1110"/>
      <c r="C14" s="1111">
        <v>3303295</v>
      </c>
      <c r="D14" s="1112">
        <v>10087.672788426</v>
      </c>
      <c r="E14" s="804">
        <v>88416</v>
      </c>
      <c r="F14" s="1113">
        <f>E14/C14</f>
        <v>2.6766001825450043E-2</v>
      </c>
      <c r="G14" s="1097">
        <v>294.89999999999998</v>
      </c>
      <c r="H14" s="1113">
        <f>G14/D14</f>
        <v>2.9233700000494744E-2</v>
      </c>
      <c r="I14" s="804">
        <v>16257</v>
      </c>
      <c r="J14" s="1097">
        <v>76.900000000000006</v>
      </c>
      <c r="K14" s="804">
        <v>72159</v>
      </c>
      <c r="L14" s="1097">
        <v>218</v>
      </c>
    </row>
    <row r="15" spans="1:12" ht="14.25" customHeight="1">
      <c r="A15" s="928">
        <v>2017</v>
      </c>
      <c r="B15" s="1110"/>
      <c r="C15" s="1111">
        <v>3300941</v>
      </c>
      <c r="D15" s="1112">
        <v>10058.5</v>
      </c>
      <c r="E15" s="804">
        <v>105111</v>
      </c>
      <c r="F15" s="1113">
        <v>3.1842738176780502E-2</v>
      </c>
      <c r="G15" s="1097">
        <v>369.79999999999995</v>
      </c>
      <c r="H15" s="1113">
        <v>3.6764925187652231E-2</v>
      </c>
      <c r="I15" s="804">
        <v>21042</v>
      </c>
      <c r="J15" s="1097">
        <v>139.19999999999999</v>
      </c>
      <c r="K15" s="804">
        <v>84069</v>
      </c>
      <c r="L15" s="1097">
        <v>230.6</v>
      </c>
    </row>
    <row r="16" spans="1:12" ht="14.25" customHeight="1">
      <c r="A16" s="928">
        <v>2018</v>
      </c>
      <c r="B16" s="1110"/>
      <c r="C16" s="1111">
        <v>3166987</v>
      </c>
      <c r="D16" s="1112">
        <v>9472.1</v>
      </c>
      <c r="E16" s="804">
        <v>99961</v>
      </c>
      <c r="F16" s="1113">
        <v>3.1563438687939038E-2</v>
      </c>
      <c r="G16" s="1097">
        <v>318.39999999999998</v>
      </c>
      <c r="H16" s="1113">
        <v>3.3614509981946976E-2</v>
      </c>
      <c r="I16" s="804">
        <v>20836</v>
      </c>
      <c r="J16" s="1097">
        <v>66.7</v>
      </c>
      <c r="K16" s="804">
        <v>79125</v>
      </c>
      <c r="L16" s="1097">
        <v>251.7</v>
      </c>
    </row>
    <row r="17" spans="1:14" ht="14.25" customHeight="1">
      <c r="A17" s="928">
        <v>2019</v>
      </c>
      <c r="B17" s="1110"/>
      <c r="C17" s="1111">
        <v>2964508</v>
      </c>
      <c r="D17" s="1112">
        <v>8737.7999999999993</v>
      </c>
      <c r="E17" s="804">
        <v>92571</v>
      </c>
      <c r="F17" s="1113">
        <v>3.1226429478348514E-2</v>
      </c>
      <c r="G17" s="1097">
        <v>252.5</v>
      </c>
      <c r="H17" s="1113">
        <v>2.8897434136739227E-2</v>
      </c>
      <c r="I17" s="804">
        <v>19039</v>
      </c>
      <c r="J17" s="1097">
        <v>59.9</v>
      </c>
      <c r="K17" s="804">
        <v>73532</v>
      </c>
      <c r="L17" s="1097">
        <v>192.20000000000002</v>
      </c>
    </row>
    <row r="18" spans="1:14" ht="14.25" customHeight="1">
      <c r="A18" s="928">
        <v>2020</v>
      </c>
      <c r="B18" s="1110"/>
      <c r="C18" s="1111">
        <v>2331423</v>
      </c>
      <c r="D18" s="1112">
        <v>7266.4000000000005</v>
      </c>
      <c r="E18" s="804">
        <v>63668</v>
      </c>
      <c r="F18" s="1113">
        <v>2.7308643690999015E-2</v>
      </c>
      <c r="G18" s="1097">
        <v>195.49999999999997</v>
      </c>
      <c r="H18" s="1113">
        <v>2.6904657051634917E-2</v>
      </c>
      <c r="I18" s="804">
        <v>13509</v>
      </c>
      <c r="J18" s="1097">
        <v>53</v>
      </c>
      <c r="K18" s="804">
        <v>50159</v>
      </c>
      <c r="L18" s="1097">
        <v>142.5</v>
      </c>
    </row>
    <row r="19" spans="1:14" ht="14.25" customHeight="1">
      <c r="A19" s="928">
        <v>2021</v>
      </c>
      <c r="B19" s="1110"/>
      <c r="C19" s="1111">
        <v>2175075</v>
      </c>
      <c r="D19" s="1112">
        <v>7254.7903695710011</v>
      </c>
      <c r="E19" s="804">
        <v>56047</v>
      </c>
      <c r="F19" s="1113">
        <v>2.7308643690999015E-2</v>
      </c>
      <c r="G19" s="1097">
        <v>242.183039342</v>
      </c>
      <c r="H19" s="1113">
        <v>2.6904657051634917E-2</v>
      </c>
      <c r="I19" s="804">
        <v>11426</v>
      </c>
      <c r="J19" s="1097">
        <v>93.595895901999995</v>
      </c>
      <c r="K19" s="804">
        <v>44621</v>
      </c>
      <c r="L19" s="1097">
        <v>148.71194344</v>
      </c>
    </row>
    <row r="20" spans="1:14" ht="14.25" customHeight="1">
      <c r="A20" s="928">
        <v>2022</v>
      </c>
      <c r="B20" s="1110"/>
      <c r="C20" s="1111">
        <v>2117536</v>
      </c>
      <c r="D20" s="1112">
        <v>7450.8159090409999</v>
      </c>
      <c r="E20" s="804">
        <v>55010</v>
      </c>
      <c r="F20" s="1113">
        <v>2.7308643690999015E-2</v>
      </c>
      <c r="G20" s="1097">
        <v>231.46888278699998</v>
      </c>
      <c r="H20" s="1113">
        <v>2.6904657051634917E-2</v>
      </c>
      <c r="I20" s="804">
        <v>10293</v>
      </c>
      <c r="J20" s="1097">
        <v>99.525927682000003</v>
      </c>
      <c r="K20" s="804">
        <v>44717</v>
      </c>
      <c r="L20" s="1097">
        <v>131.92682510499998</v>
      </c>
    </row>
    <row r="21" spans="1:14" ht="14.25" customHeight="1">
      <c r="A21" s="928">
        <v>2023</v>
      </c>
      <c r="B21" s="1110"/>
      <c r="C21" s="1111">
        <v>2035716</v>
      </c>
      <c r="D21" s="1112">
        <v>7039.9412698570004</v>
      </c>
      <c r="E21" s="804">
        <v>56777</v>
      </c>
      <c r="F21" s="1113">
        <v>2.7308643690999015E-2</v>
      </c>
      <c r="G21" s="1097">
        <v>361.26904253600003</v>
      </c>
      <c r="H21" s="1113">
        <v>2.6904657051634917E-2</v>
      </c>
      <c r="I21" s="804">
        <v>12166</v>
      </c>
      <c r="J21" s="1097">
        <v>173.856249375</v>
      </c>
      <c r="K21" s="804">
        <v>44611</v>
      </c>
      <c r="L21" s="1097">
        <v>187.34384906</v>
      </c>
    </row>
    <row r="22" spans="1:14" ht="14.25" customHeight="1">
      <c r="A22" s="944">
        <v>2024</v>
      </c>
      <c r="B22" s="985"/>
      <c r="C22" s="986">
        <f>SUM(C24:C27)</f>
        <v>1923263</v>
      </c>
      <c r="D22" s="987">
        <f>SUM(D24:D27)</f>
        <v>6552.4478915069994</v>
      </c>
      <c r="E22" s="924">
        <f>SUM(E24:E27)</f>
        <v>45900</v>
      </c>
      <c r="F22" s="988">
        <v>2.7308643690999015E-2</v>
      </c>
      <c r="G22" s="989">
        <f>SUM(G24:G27)</f>
        <v>224.55367195800002</v>
      </c>
      <c r="H22" s="988">
        <v>2.6904657051634917E-2</v>
      </c>
      <c r="I22" s="924">
        <f>SUM(I24:I27)</f>
        <v>9800</v>
      </c>
      <c r="J22" s="989">
        <f>SUM(J24:J27)</f>
        <v>50.385771542000001</v>
      </c>
      <c r="K22" s="924">
        <f>SUM(K24:K27)</f>
        <v>36100</v>
      </c>
      <c r="L22" s="989">
        <f>SUM(L24:L27)</f>
        <v>174.18008676299999</v>
      </c>
      <c r="M22" s="1197"/>
      <c r="N22" s="1197"/>
    </row>
    <row r="23" spans="1:14" ht="21" customHeight="1">
      <c r="A23" s="928">
        <v>2023</v>
      </c>
      <c r="B23" s="1110" t="s">
        <v>238</v>
      </c>
      <c r="C23" s="804">
        <v>517277</v>
      </c>
      <c r="D23" s="1097">
        <v>1699.3027308779999</v>
      </c>
      <c r="E23" s="804">
        <v>13449</v>
      </c>
      <c r="F23" s="1113">
        <v>2.5999609493559544E-2</v>
      </c>
      <c r="G23" s="1097">
        <v>54.092042536000008</v>
      </c>
      <c r="H23" s="1113">
        <v>3.183190467071844E-2</v>
      </c>
      <c r="I23" s="804">
        <v>2896</v>
      </c>
      <c r="J23" s="1097">
        <v>16.156249375000002</v>
      </c>
      <c r="K23" s="804">
        <v>10553</v>
      </c>
      <c r="L23" s="1097">
        <v>37.873849059999998</v>
      </c>
      <c r="M23" s="1197"/>
      <c r="N23" s="1197"/>
    </row>
    <row r="24" spans="1:14" ht="21" customHeight="1">
      <c r="A24" s="928">
        <v>2024</v>
      </c>
      <c r="B24" s="1110" t="s">
        <v>239</v>
      </c>
      <c r="C24" s="804">
        <v>491998</v>
      </c>
      <c r="D24" s="1097">
        <v>1639.909572609</v>
      </c>
      <c r="E24" s="804">
        <v>11833</v>
      </c>
      <c r="F24" s="1113">
        <v>2.4050910776060065E-2</v>
      </c>
      <c r="G24" s="1097">
        <v>52.461493665000006</v>
      </c>
      <c r="H24" s="1113">
        <v>3.1990479561343647E-2</v>
      </c>
      <c r="I24" s="804">
        <v>2563</v>
      </c>
      <c r="J24" s="1097">
        <v>11.129733685</v>
      </c>
      <c r="K24" s="804">
        <v>9270</v>
      </c>
      <c r="L24" s="1097">
        <v>41.363946327000001</v>
      </c>
      <c r="M24" s="1197"/>
      <c r="N24" s="1197"/>
    </row>
    <row r="25" spans="1:14" ht="15" customHeight="1">
      <c r="A25" s="928"/>
      <c r="B25" s="1110" t="s">
        <v>240</v>
      </c>
      <c r="C25" s="804">
        <v>471332</v>
      </c>
      <c r="D25" s="1097">
        <v>1623.6501877559999</v>
      </c>
      <c r="E25" s="804">
        <v>11161</v>
      </c>
      <c r="F25" s="1113">
        <v>2.3679699235358516E-2</v>
      </c>
      <c r="G25" s="1097">
        <v>59.108257872999999</v>
      </c>
      <c r="H25" s="1113">
        <v>3.6404552112725599E-2</v>
      </c>
      <c r="I25" s="804">
        <v>2165</v>
      </c>
      <c r="J25" s="1097">
        <v>17.681519854000001</v>
      </c>
      <c r="K25" s="804">
        <v>8996</v>
      </c>
      <c r="L25" s="1097">
        <v>41.406738019000002</v>
      </c>
      <c r="M25" s="1197"/>
      <c r="N25" s="1197"/>
    </row>
    <row r="26" spans="1:14" ht="15" customHeight="1">
      <c r="A26" s="928"/>
      <c r="B26" s="1110" t="s">
        <v>237</v>
      </c>
      <c r="C26" s="804">
        <v>474981</v>
      </c>
      <c r="D26" s="1097">
        <v>1615.7808093180001</v>
      </c>
      <c r="E26" s="804">
        <v>11811</v>
      </c>
      <c r="F26" s="1113">
        <v>2.4866257808207066E-2</v>
      </c>
      <c r="G26" s="1097">
        <v>40.978806246000005</v>
      </c>
      <c r="H26" s="1113">
        <v>2.5361612175166644E-2</v>
      </c>
      <c r="I26" s="804">
        <v>2519</v>
      </c>
      <c r="J26" s="1097">
        <v>12.295529341</v>
      </c>
      <c r="K26" s="804">
        <v>9292</v>
      </c>
      <c r="L26" s="1097">
        <v>28.663276904999996</v>
      </c>
      <c r="M26" s="1197"/>
      <c r="N26" s="1197"/>
    </row>
    <row r="27" spans="1:14" ht="15" customHeight="1">
      <c r="A27" s="928"/>
      <c r="B27" s="1110" t="s">
        <v>238</v>
      </c>
      <c r="C27" s="804">
        <v>484952</v>
      </c>
      <c r="D27" s="1097">
        <v>1673.1073218239999</v>
      </c>
      <c r="E27" s="804">
        <v>11095</v>
      </c>
      <c r="F27" s="1113">
        <v>2.2878552928949671E-2</v>
      </c>
      <c r="G27" s="1097">
        <v>72.005114173999999</v>
      </c>
      <c r="H27" s="1113">
        <v>4.30367575556964E-2</v>
      </c>
      <c r="I27" s="804">
        <v>2553</v>
      </c>
      <c r="J27" s="1097">
        <v>9.2789886619999997</v>
      </c>
      <c r="K27" s="804">
        <v>8542</v>
      </c>
      <c r="L27" s="1097">
        <v>62.746125511999992</v>
      </c>
      <c r="M27" s="1197"/>
      <c r="N27" s="1197"/>
    </row>
    <row r="28" spans="1:14" ht="21" customHeight="1">
      <c r="A28" s="928">
        <v>2025</v>
      </c>
      <c r="B28" s="1110" t="s">
        <v>239</v>
      </c>
      <c r="C28" s="804">
        <f>SUM(C34:C36)</f>
        <v>438378</v>
      </c>
      <c r="D28" s="1097">
        <f>SUM(D34:D36)</f>
        <v>1570.3227586580001</v>
      </c>
      <c r="E28" s="804">
        <f>SUM(E34:E36)</f>
        <v>10025</v>
      </c>
      <c r="F28" s="1113">
        <f>E28/C28</f>
        <v>2.2868392118217611E-2</v>
      </c>
      <c r="G28" s="1097">
        <f>SUM(G34:G36)</f>
        <v>45.871916663</v>
      </c>
      <c r="H28" s="1113">
        <f>G28/D28</f>
        <v>2.9211775993237338E-2</v>
      </c>
      <c r="I28" s="804">
        <f>SUM(I34:I36)</f>
        <v>2413</v>
      </c>
      <c r="J28" s="1097">
        <f>SUM(J34:J36)</f>
        <v>10.611982857000001</v>
      </c>
      <c r="K28" s="804">
        <f>SUM(K34:K36)</f>
        <v>7612</v>
      </c>
      <c r="L28" s="1097">
        <f>SUM(L34:L36)</f>
        <v>35.259933805999999</v>
      </c>
      <c r="M28" s="1197"/>
      <c r="N28" s="1197"/>
    </row>
    <row r="29" spans="1:14" ht="15" customHeight="1">
      <c r="A29" s="928"/>
      <c r="B29" s="1110" t="s">
        <v>240</v>
      </c>
      <c r="C29" s="804">
        <f>SUM(C37:C39)</f>
        <v>460747</v>
      </c>
      <c r="D29" s="1097">
        <f>SUM(D37:D39)</f>
        <v>1720.1776059280003</v>
      </c>
      <c r="E29" s="804">
        <f>SUM(E37:E39)</f>
        <v>10083</v>
      </c>
      <c r="F29" s="1113">
        <f>E29/C29</f>
        <v>2.1884027459755571E-2</v>
      </c>
      <c r="G29" s="1097">
        <f>SUM(G37:G39)</f>
        <v>44.000077470999997</v>
      </c>
      <c r="H29" s="1113">
        <f>G29/D29</f>
        <v>2.5578799142233259E-2</v>
      </c>
      <c r="I29" s="804">
        <f>SUM(I37:I39)</f>
        <v>2441</v>
      </c>
      <c r="J29" s="1097">
        <f>SUM(J37:J39)</f>
        <v>10.493805319000002</v>
      </c>
      <c r="K29" s="804">
        <f>SUM(K37:K39)</f>
        <v>7642</v>
      </c>
      <c r="L29" s="1097">
        <f>SUM(L37:L39)</f>
        <v>33.506272152000001</v>
      </c>
      <c r="M29" s="1197"/>
      <c r="N29" s="1197"/>
    </row>
    <row r="30" spans="1:14" ht="15" customHeight="1">
      <c r="A30" s="944"/>
      <c r="B30" s="985" t="s">
        <v>237</v>
      </c>
      <c r="C30" s="924">
        <f>SUM(C40:C42)</f>
        <v>448493</v>
      </c>
      <c r="D30" s="989">
        <f>SUM(D40:D42)-0.02</f>
        <v>1483.5473861060002</v>
      </c>
      <c r="E30" s="924">
        <f>SUM(E40:E42)</f>
        <v>9940</v>
      </c>
      <c r="F30" s="988">
        <f>E30/C30</f>
        <v>2.2163110684001758E-2</v>
      </c>
      <c r="G30" s="989">
        <f>SUM(G40:G42)+0.05</f>
        <v>30.670102517999997</v>
      </c>
      <c r="H30" s="988">
        <f>G30/D30</f>
        <v>2.0673490314658951E-2</v>
      </c>
      <c r="I30" s="924">
        <f>SUM(I40:I42)</f>
        <v>2585</v>
      </c>
      <c r="J30" s="989">
        <f>SUM(J40:J42)</f>
        <v>8.3638618690000008</v>
      </c>
      <c r="K30" s="924">
        <f>SUM(K40:K42)</f>
        <v>7355</v>
      </c>
      <c r="L30" s="989">
        <f>SUM(L40:L42)</f>
        <v>22.276240649000002</v>
      </c>
      <c r="M30" s="1197"/>
      <c r="N30" s="1197"/>
    </row>
    <row r="31" spans="1:14" s="1196" customFormat="1" ht="21" customHeight="1">
      <c r="A31" s="1195">
        <v>2024</v>
      </c>
      <c r="B31" s="845" t="s">
        <v>412</v>
      </c>
      <c r="C31" s="804">
        <v>167762</v>
      </c>
      <c r="D31" s="1097">
        <v>574.25161137799989</v>
      </c>
      <c r="E31" s="804">
        <v>3755</v>
      </c>
      <c r="F31" s="1113">
        <v>2.2382899583934385E-2</v>
      </c>
      <c r="G31" s="1097">
        <v>23.384396117999998</v>
      </c>
      <c r="H31" s="1113">
        <v>4.0721515890718624E-2</v>
      </c>
      <c r="I31" s="804">
        <v>836</v>
      </c>
      <c r="J31" s="1097">
        <v>3.078269204000001</v>
      </c>
      <c r="K31" s="804">
        <v>2919</v>
      </c>
      <c r="L31" s="1097">
        <v>20.306126913999996</v>
      </c>
      <c r="M31" s="1197"/>
      <c r="N31" s="1197"/>
    </row>
    <row r="32" spans="1:14" s="1196" customFormat="1">
      <c r="A32" s="1195"/>
      <c r="B32" s="845" t="s">
        <v>413</v>
      </c>
      <c r="C32" s="804">
        <v>147782</v>
      </c>
      <c r="D32" s="1097">
        <v>501.3147104900001</v>
      </c>
      <c r="E32" s="804">
        <v>3312</v>
      </c>
      <c r="F32" s="1113">
        <f t="shared" ref="F32" si="0">E32/C32</f>
        <v>2.2411389749766548E-2</v>
      </c>
      <c r="G32" s="1097">
        <v>35.678393959000005</v>
      </c>
      <c r="H32" s="1113">
        <f t="shared" ref="H32" si="1">G32/D32</f>
        <v>7.1169652939421763E-2</v>
      </c>
      <c r="I32" s="804">
        <v>830</v>
      </c>
      <c r="J32" s="1097">
        <v>3.1817398209999994</v>
      </c>
      <c r="K32" s="804">
        <v>2482</v>
      </c>
      <c r="L32" s="1097">
        <v>32.496654137999997</v>
      </c>
      <c r="M32" s="1197"/>
      <c r="N32" s="1197"/>
    </row>
    <row r="33" spans="1:14" s="1196" customFormat="1">
      <c r="A33" s="1195"/>
      <c r="B33" s="845" t="s">
        <v>414</v>
      </c>
      <c r="C33" s="804">
        <v>169408</v>
      </c>
      <c r="D33" s="1097">
        <v>597.54099995599995</v>
      </c>
      <c r="E33" s="804">
        <v>4028</v>
      </c>
      <c r="F33" s="1113">
        <f t="shared" ref="F33" si="2">E33/C33</f>
        <v>2.3776917264828109E-2</v>
      </c>
      <c r="G33" s="1097">
        <f>12.962324097-0.02</f>
        <v>12.942324097</v>
      </c>
      <c r="H33" s="1113">
        <f t="shared" ref="H33" si="3">G33/D33</f>
        <v>2.165930722402816E-2</v>
      </c>
      <c r="I33" s="804">
        <v>887</v>
      </c>
      <c r="J33" s="1097">
        <v>3.0189796369999993</v>
      </c>
      <c r="K33" s="804">
        <v>3141</v>
      </c>
      <c r="L33" s="1097">
        <v>9.9433444599999987</v>
      </c>
      <c r="M33" s="1197"/>
      <c r="N33" s="1197"/>
    </row>
    <row r="34" spans="1:14" s="1196" customFormat="1" ht="21" customHeight="1">
      <c r="A34" s="1195">
        <v>2025</v>
      </c>
      <c r="B34" s="845" t="s">
        <v>415</v>
      </c>
      <c r="C34" s="804">
        <v>148871</v>
      </c>
      <c r="D34" s="1097">
        <v>532.42127186200003</v>
      </c>
      <c r="E34" s="804">
        <v>3459</v>
      </c>
      <c r="F34" s="1113">
        <f t="shared" ref="F34" si="4">E34/C34</f>
        <v>2.3234881205876228E-2</v>
      </c>
      <c r="G34" s="1097">
        <v>12.111863500000004</v>
      </c>
      <c r="H34" s="1113">
        <f t="shared" ref="H34" si="5">G34/D34</f>
        <v>2.2748646870629385E-2</v>
      </c>
      <c r="I34" s="804">
        <v>803</v>
      </c>
      <c r="J34" s="1097">
        <v>3.8822112730000002</v>
      </c>
      <c r="K34" s="804">
        <v>2656</v>
      </c>
      <c r="L34" s="1097">
        <v>8.2296522270000008</v>
      </c>
      <c r="M34" s="1197"/>
      <c r="N34" s="1197"/>
    </row>
    <row r="35" spans="1:14" s="1196" customFormat="1" ht="15" customHeight="1">
      <c r="A35" s="1195"/>
      <c r="B35" s="845" t="s">
        <v>416</v>
      </c>
      <c r="C35" s="804">
        <v>144849</v>
      </c>
      <c r="D35" s="1097">
        <v>543.66782921099991</v>
      </c>
      <c r="E35" s="804">
        <v>3190</v>
      </c>
      <c r="F35" s="1113">
        <f t="shared" ref="F35" si="6">E35/C35</f>
        <v>2.2022934228058184E-2</v>
      </c>
      <c r="G35" s="1097">
        <v>24.007796493999997</v>
      </c>
      <c r="H35" s="1113">
        <f t="shared" ref="H35" si="7">G35/D35</f>
        <v>4.4158942655925418E-2</v>
      </c>
      <c r="I35" s="804">
        <v>770</v>
      </c>
      <c r="J35" s="1097">
        <v>3.7764272090000004</v>
      </c>
      <c r="K35" s="804">
        <v>2420</v>
      </c>
      <c r="L35" s="1097">
        <v>20.231369285</v>
      </c>
      <c r="M35" s="1197"/>
      <c r="N35" s="1197"/>
    </row>
    <row r="36" spans="1:14" s="1196" customFormat="1" ht="15" customHeight="1">
      <c r="A36" s="1195"/>
      <c r="B36" s="845" t="s">
        <v>417</v>
      </c>
      <c r="C36" s="804">
        <v>144658</v>
      </c>
      <c r="D36" s="1097">
        <v>494.23365758500006</v>
      </c>
      <c r="E36" s="804">
        <v>3376</v>
      </c>
      <c r="F36" s="1113">
        <f t="shared" ref="F36" si="8">E36/C36</f>
        <v>2.3337803647223106E-2</v>
      </c>
      <c r="G36" s="1097">
        <v>9.7522566689999994</v>
      </c>
      <c r="H36" s="1113">
        <f t="shared" ref="H36" si="9">G36/D36</f>
        <v>1.9732077164985009E-2</v>
      </c>
      <c r="I36" s="804">
        <v>840</v>
      </c>
      <c r="J36" s="1097">
        <v>2.9533443750000008</v>
      </c>
      <c r="K36" s="804">
        <v>2536</v>
      </c>
      <c r="L36" s="1097">
        <v>6.7989122939999991</v>
      </c>
      <c r="M36" s="1197"/>
      <c r="N36" s="1197"/>
    </row>
    <row r="37" spans="1:14" s="1196" customFormat="1" ht="15" customHeight="1">
      <c r="A37" s="1195"/>
      <c r="B37" s="845" t="s">
        <v>418</v>
      </c>
      <c r="C37" s="804">
        <v>164274</v>
      </c>
      <c r="D37" s="1097">
        <v>647.71785873700014</v>
      </c>
      <c r="E37" s="804">
        <v>3666</v>
      </c>
      <c r="F37" s="1113">
        <f t="shared" ref="F37" si="10">E37/C37</f>
        <v>2.2316373863179809E-2</v>
      </c>
      <c r="G37" s="1097">
        <v>13.875856334999996</v>
      </c>
      <c r="H37" s="1113">
        <f t="shared" ref="H37" si="11">G37/D37</f>
        <v>2.1422686047373844E-2</v>
      </c>
      <c r="I37" s="804">
        <v>896</v>
      </c>
      <c r="J37" s="1097">
        <v>4.3149005590000007</v>
      </c>
      <c r="K37" s="804">
        <v>2770</v>
      </c>
      <c r="L37" s="1097">
        <v>9.5609557760000001</v>
      </c>
      <c r="M37" s="1197"/>
      <c r="N37" s="1197"/>
    </row>
    <row r="38" spans="1:14" s="1196" customFormat="1" ht="15" customHeight="1">
      <c r="A38" s="1195"/>
      <c r="B38" s="845" t="s">
        <v>419</v>
      </c>
      <c r="C38" s="804">
        <v>149129</v>
      </c>
      <c r="D38" s="1097">
        <v>535.67789798600006</v>
      </c>
      <c r="E38" s="804">
        <v>2998</v>
      </c>
      <c r="F38" s="1113">
        <f t="shared" ref="F38" si="12">E38/C38</f>
        <v>2.0103400411724079E-2</v>
      </c>
      <c r="G38" s="1097">
        <v>14.909804785999999</v>
      </c>
      <c r="H38" s="1113">
        <f t="shared" ref="H38" si="13">G38/D38</f>
        <v>2.7833526158269211E-2</v>
      </c>
      <c r="I38" s="804">
        <v>706</v>
      </c>
      <c r="J38" s="1097">
        <v>2.5318428450000003</v>
      </c>
      <c r="K38" s="804">
        <v>2292</v>
      </c>
      <c r="L38" s="1097">
        <v>12.377961941000002</v>
      </c>
      <c r="M38" s="1197"/>
      <c r="N38" s="1197"/>
    </row>
    <row r="39" spans="1:14" s="1196" customFormat="1" ht="15" customHeight="1">
      <c r="A39" s="1195"/>
      <c r="B39" s="845" t="s">
        <v>420</v>
      </c>
      <c r="C39" s="804">
        <v>147344</v>
      </c>
      <c r="D39" s="1097">
        <v>536.78184920500007</v>
      </c>
      <c r="E39" s="804">
        <v>3419</v>
      </c>
      <c r="F39" s="1113">
        <f t="shared" ref="F39" si="14">E39/C39</f>
        <v>2.3204202410685198E-2</v>
      </c>
      <c r="G39" s="1097">
        <v>15.21441635</v>
      </c>
      <c r="H39" s="1113">
        <f t="shared" ref="H39" si="15">G39/D39</f>
        <v>2.8343760826736761E-2</v>
      </c>
      <c r="I39" s="804">
        <v>839</v>
      </c>
      <c r="J39" s="1097">
        <v>3.6470619150000005</v>
      </c>
      <c r="K39" s="804">
        <v>2580</v>
      </c>
      <c r="L39" s="1097">
        <v>11.567354435</v>
      </c>
      <c r="M39" s="1197"/>
      <c r="N39" s="1197"/>
    </row>
    <row r="40" spans="1:14" s="1196" customFormat="1" ht="15" customHeight="1">
      <c r="A40" s="1195"/>
      <c r="B40" s="845" t="s">
        <v>421</v>
      </c>
      <c r="C40" s="804">
        <v>155552</v>
      </c>
      <c r="D40" s="1097">
        <v>523.18188187900012</v>
      </c>
      <c r="E40" s="804">
        <v>3483</v>
      </c>
      <c r="F40" s="1113">
        <f t="shared" ref="F40" si="16">E40/C40</f>
        <v>2.2391226085167661E-2</v>
      </c>
      <c r="G40" s="1097">
        <v>11.072996641000001</v>
      </c>
      <c r="H40" s="1113">
        <f t="shared" ref="H40" si="17">G40/D40</f>
        <v>2.116471732780863E-2</v>
      </c>
      <c r="I40" s="804">
        <v>855</v>
      </c>
      <c r="J40" s="1097">
        <v>3.6575965150000007</v>
      </c>
      <c r="K40" s="804">
        <v>2628</v>
      </c>
      <c r="L40" s="1097">
        <v>7.4154001260000015</v>
      </c>
      <c r="M40" s="1197"/>
      <c r="N40" s="1197"/>
    </row>
    <row r="41" spans="1:14" s="1196" customFormat="1" ht="15" customHeight="1">
      <c r="A41" s="1195"/>
      <c r="B41" s="845" t="s">
        <v>422</v>
      </c>
      <c r="C41" s="804">
        <v>143525</v>
      </c>
      <c r="D41" s="1097">
        <v>473.33910555300002</v>
      </c>
      <c r="E41" s="804">
        <v>3278</v>
      </c>
      <c r="F41" s="1113">
        <f t="shared" ref="F41" si="18">E41/C41</f>
        <v>2.2839226615572202E-2</v>
      </c>
      <c r="G41" s="1097">
        <v>10.565190984999997</v>
      </c>
      <c r="H41" s="1113">
        <f t="shared" ref="H41" si="19">G41/D41</f>
        <v>2.2320553829282139E-2</v>
      </c>
      <c r="I41" s="804">
        <v>817</v>
      </c>
      <c r="J41" s="1097">
        <v>2.1284722459999998</v>
      </c>
      <c r="K41" s="804">
        <v>2461</v>
      </c>
      <c r="L41" s="1097">
        <f>8.436718739+0.02</f>
        <v>8.4567187389999994</v>
      </c>
      <c r="M41" s="1197"/>
      <c r="N41" s="1197"/>
    </row>
    <row r="42" spans="1:14" s="1196" customFormat="1" ht="15" customHeight="1">
      <c r="A42" s="1195"/>
      <c r="B42" s="845" t="s">
        <v>423</v>
      </c>
      <c r="C42" s="804">
        <v>149416</v>
      </c>
      <c r="D42" s="1097">
        <v>487.04639867400005</v>
      </c>
      <c r="E42" s="804">
        <v>3179</v>
      </c>
      <c r="F42" s="1113">
        <f t="shared" ref="F42" si="20">E42/C42</f>
        <v>2.1276168549552926E-2</v>
      </c>
      <c r="G42" s="1097">
        <v>8.9819148919999989</v>
      </c>
      <c r="H42" s="1113">
        <f t="shared" ref="H42" si="21">G42/D42</f>
        <v>1.8441600053821484E-2</v>
      </c>
      <c r="I42" s="804">
        <v>913</v>
      </c>
      <c r="J42" s="1097">
        <v>2.5777931079999998</v>
      </c>
      <c r="K42" s="804">
        <v>2266</v>
      </c>
      <c r="L42" s="1097">
        <v>6.4041217840000009</v>
      </c>
      <c r="M42" s="1197"/>
      <c r="N42" s="1197"/>
    </row>
    <row r="43" spans="1:14" s="1196" customFormat="1" ht="15" customHeight="1">
      <c r="A43" s="1195"/>
      <c r="B43" s="845" t="s">
        <v>412</v>
      </c>
      <c r="C43" s="804">
        <v>151461</v>
      </c>
      <c r="D43" s="1097">
        <v>544.49063449000005</v>
      </c>
      <c r="E43" s="804">
        <v>3146</v>
      </c>
      <c r="F43" s="1113">
        <f t="shared" ref="F43" si="22">E43/C43</f>
        <v>2.0771023563821711E-2</v>
      </c>
      <c r="G43" s="1097">
        <v>8.8843843279999994</v>
      </c>
      <c r="H43" s="1113">
        <f t="shared" ref="H43" si="23">G43/D43</f>
        <v>1.6316872624120713E-2</v>
      </c>
      <c r="I43" s="804">
        <v>875</v>
      </c>
      <c r="J43" s="1097">
        <v>3.1246075599999994</v>
      </c>
      <c r="K43" s="804">
        <v>2271</v>
      </c>
      <c r="L43" s="1097">
        <v>5.7597767680000009</v>
      </c>
      <c r="M43" s="1197"/>
      <c r="N43" s="1197"/>
    </row>
    <row r="44" spans="1:14">
      <c r="A44" s="1305" t="s">
        <v>1730</v>
      </c>
      <c r="B44" s="1334"/>
      <c r="C44" s="1334"/>
      <c r="D44" s="1334"/>
      <c r="E44" s="1334"/>
      <c r="F44" s="1334"/>
      <c r="G44" s="1334"/>
      <c r="H44" s="1334"/>
      <c r="I44" s="1338"/>
      <c r="J44" s="1338"/>
      <c r="K44" s="1338"/>
      <c r="L44" s="1339" t="s">
        <v>1306</v>
      </c>
    </row>
    <row r="45" spans="1:14">
      <c r="A45" s="1306"/>
      <c r="B45" s="1335"/>
      <c r="C45" s="1335"/>
      <c r="D45" s="1335"/>
      <c r="E45" s="1335"/>
      <c r="F45" s="1335"/>
      <c r="G45" s="1335"/>
      <c r="H45" s="1335"/>
    </row>
    <row r="46" spans="1:14">
      <c r="A46" s="1325" t="s">
        <v>1307</v>
      </c>
      <c r="B46" s="1325"/>
      <c r="C46" s="1325"/>
      <c r="D46" s="1325"/>
      <c r="E46" s="1325"/>
      <c r="F46" s="1325"/>
      <c r="G46" s="1325"/>
      <c r="H46" s="1325"/>
      <c r="I46" s="1325"/>
      <c r="J46" s="1325"/>
      <c r="K46" s="1325"/>
      <c r="L46" s="1325"/>
    </row>
    <row r="50" spans="5:12">
      <c r="E50" s="941"/>
      <c r="F50" s="941"/>
      <c r="G50" s="941"/>
      <c r="H50" s="941"/>
      <c r="I50" s="941"/>
      <c r="J50" s="941"/>
      <c r="K50" s="941"/>
      <c r="L50" s="941"/>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tabSelected="1" zoomScale="80" zoomScaleNormal="80" workbookViewId="0">
      <pane ySplit="15" topLeftCell="A21" activePane="bottomLeft" state="frozen"/>
      <selection activeCell="N29" sqref="N29"/>
      <selection pane="bottomLeft" activeCell="N29" sqref="N29"/>
    </sheetView>
  </sheetViews>
  <sheetFormatPr defaultColWidth="18.28515625" defaultRowHeight="15.75"/>
  <cols>
    <col min="1" max="1" width="10.85546875" style="940" customWidth="1"/>
    <col min="2" max="2" width="10.7109375" style="846" customWidth="1"/>
    <col min="3" max="4" width="18.7109375" style="846" customWidth="1"/>
    <col min="5" max="6" width="17.7109375" style="846" customWidth="1"/>
    <col min="7" max="8" width="18.7109375" style="846" customWidth="1"/>
    <col min="9" max="12" width="17.7109375" style="846" customWidth="1"/>
    <col min="13" max="13" width="18.85546875" style="846" customWidth="1"/>
    <col min="14" max="16384" width="18.28515625" style="846"/>
  </cols>
  <sheetData>
    <row r="1" spans="1:13" ht="18" customHeight="1">
      <c r="A1" s="808" t="s">
        <v>1729</v>
      </c>
      <c r="B1" s="952"/>
      <c r="C1" s="952"/>
      <c r="D1" s="952"/>
      <c r="E1" s="952"/>
      <c r="F1" s="952"/>
      <c r="G1" s="952"/>
      <c r="H1" s="952"/>
      <c r="I1" s="952"/>
      <c r="J1" s="952"/>
      <c r="K1" s="952"/>
      <c r="L1" s="952"/>
      <c r="M1" s="952"/>
    </row>
    <row r="2" spans="1:13" ht="18" customHeight="1">
      <c r="A2" s="950" t="s">
        <v>1308</v>
      </c>
      <c r="B2" s="951"/>
      <c r="C2" s="951"/>
      <c r="D2" s="951"/>
      <c r="E2" s="951"/>
      <c r="F2" s="951"/>
      <c r="G2" s="951"/>
      <c r="H2" s="951"/>
      <c r="I2" s="951"/>
      <c r="J2" s="951"/>
      <c r="K2" s="951"/>
      <c r="L2" s="951"/>
      <c r="M2" s="951"/>
    </row>
    <row r="3" spans="1:13" ht="18">
      <c r="A3" s="950" t="s">
        <v>1309</v>
      </c>
      <c r="B3" s="949"/>
      <c r="C3" s="949"/>
      <c r="D3" s="949"/>
      <c r="E3" s="949"/>
      <c r="F3" s="949"/>
      <c r="G3" s="949"/>
      <c r="H3" s="949"/>
      <c r="I3" s="949"/>
      <c r="J3" s="949"/>
      <c r="K3" s="949"/>
      <c r="L3" s="949"/>
      <c r="M3" s="949"/>
    </row>
    <row r="4" spans="1:13" hidden="1">
      <c r="A4" s="949"/>
      <c r="B4" s="949"/>
      <c r="C4" s="949"/>
      <c r="D4" s="949"/>
      <c r="E4" s="949"/>
      <c r="F4" s="949"/>
      <c r="G4" s="949"/>
      <c r="H4" s="949"/>
      <c r="I4" s="949"/>
      <c r="J4" s="949"/>
      <c r="K4" s="949"/>
      <c r="L4" s="949"/>
      <c r="M4" s="949"/>
    </row>
    <row r="5" spans="1:13" hidden="1">
      <c r="A5" s="949"/>
      <c r="B5" s="949"/>
      <c r="C5" s="949"/>
      <c r="D5" s="949"/>
      <c r="E5" s="949"/>
      <c r="F5" s="949"/>
      <c r="G5" s="949"/>
      <c r="H5" s="949"/>
      <c r="I5" s="949"/>
      <c r="J5" s="949"/>
      <c r="K5" s="949"/>
      <c r="L5" s="949"/>
      <c r="M5" s="949"/>
    </row>
    <row r="6" spans="1:13" hidden="1">
      <c r="A6" s="949"/>
      <c r="B6" s="949"/>
      <c r="C6" s="949"/>
      <c r="D6" s="949"/>
      <c r="E6" s="949"/>
      <c r="F6" s="949"/>
      <c r="G6" s="949"/>
      <c r="H6" s="949"/>
      <c r="I6" s="949"/>
      <c r="J6" s="949"/>
      <c r="K6" s="949"/>
      <c r="L6" s="949"/>
      <c r="M6" s="949"/>
    </row>
    <row r="7" spans="1:13">
      <c r="A7" s="948"/>
    </row>
    <row r="8" spans="1:13" s="946" customFormat="1">
      <c r="A8" s="1980" t="s">
        <v>1310</v>
      </c>
      <c r="B8" s="1981"/>
      <c r="C8" s="1980" t="s">
        <v>1311</v>
      </c>
      <c r="D8" s="1986"/>
      <c r="E8" s="1986"/>
      <c r="F8" s="1981"/>
      <c r="G8" s="1980" t="s">
        <v>1312</v>
      </c>
      <c r="H8" s="1986"/>
      <c r="I8" s="1986"/>
      <c r="J8" s="1981"/>
      <c r="K8" s="962" t="s">
        <v>1313</v>
      </c>
      <c r="L8" s="963"/>
      <c r="M8" s="1977" t="s">
        <v>1314</v>
      </c>
    </row>
    <row r="9" spans="1:13" s="946" customFormat="1" ht="15.75" customHeight="1">
      <c r="A9" s="1982"/>
      <c r="B9" s="1983"/>
      <c r="C9" s="1984" t="s">
        <v>1315</v>
      </c>
      <c r="D9" s="1997"/>
      <c r="E9" s="1997"/>
      <c r="F9" s="1985"/>
      <c r="G9" s="1984" t="s">
        <v>1316</v>
      </c>
      <c r="H9" s="1997"/>
      <c r="I9" s="1997"/>
      <c r="J9" s="1985"/>
      <c r="K9" s="1984" t="s">
        <v>1317</v>
      </c>
      <c r="L9" s="1985"/>
      <c r="M9" s="2001"/>
    </row>
    <row r="10" spans="1:13" s="946" customFormat="1" ht="31.5">
      <c r="A10" s="1982"/>
      <c r="B10" s="1983"/>
      <c r="C10" s="921" t="s">
        <v>1318</v>
      </c>
      <c r="D10" s="921" t="s">
        <v>1319</v>
      </c>
      <c r="E10" s="921" t="s">
        <v>382</v>
      </c>
      <c r="F10" s="921" t="s">
        <v>1320</v>
      </c>
      <c r="G10" s="921" t="s">
        <v>1318</v>
      </c>
      <c r="H10" s="921" t="s">
        <v>1319</v>
      </c>
      <c r="I10" s="921" t="s">
        <v>382</v>
      </c>
      <c r="J10" s="921" t="s">
        <v>1320</v>
      </c>
      <c r="K10" s="961" t="s">
        <v>1311</v>
      </c>
      <c r="L10" s="961" t="s">
        <v>1312</v>
      </c>
      <c r="M10" s="2001"/>
    </row>
    <row r="11" spans="1:13" s="946" customFormat="1" ht="45.75" customHeight="1">
      <c r="A11" s="1984"/>
      <c r="B11" s="1985"/>
      <c r="C11" s="922" t="s">
        <v>1321</v>
      </c>
      <c r="D11" s="922" t="s">
        <v>1322</v>
      </c>
      <c r="E11" s="922" t="s">
        <v>393</v>
      </c>
      <c r="F11" s="922" t="s">
        <v>1323</v>
      </c>
      <c r="G11" s="922" t="s">
        <v>1321</v>
      </c>
      <c r="H11" s="922" t="s">
        <v>1322</v>
      </c>
      <c r="I11" s="922" t="s">
        <v>393</v>
      </c>
      <c r="J11" s="922" t="s">
        <v>1323</v>
      </c>
      <c r="K11" s="922" t="s">
        <v>1315</v>
      </c>
      <c r="L11" s="922" t="s">
        <v>1316</v>
      </c>
      <c r="M11" s="1990"/>
    </row>
    <row r="12" spans="1:13" ht="14.25" hidden="1" customHeight="1">
      <c r="A12" s="1998"/>
      <c r="B12" s="1999"/>
      <c r="C12" s="945"/>
      <c r="D12" s="945"/>
      <c r="E12" s="986"/>
      <c r="F12" s="986"/>
      <c r="G12" s="986"/>
      <c r="H12" s="986"/>
      <c r="I12" s="924"/>
      <c r="J12" s="924"/>
      <c r="K12" s="924"/>
      <c r="L12" s="924"/>
      <c r="M12" s="989"/>
    </row>
    <row r="13" spans="1:13" ht="20.25" hidden="1" customHeight="1">
      <c r="A13" s="1114"/>
      <c r="B13" s="847"/>
      <c r="C13" s="847"/>
      <c r="D13" s="847"/>
      <c r="E13" s="1111"/>
      <c r="F13" s="1111"/>
      <c r="G13" s="1111"/>
      <c r="H13" s="1111"/>
      <c r="I13" s="804"/>
      <c r="J13" s="804"/>
      <c r="K13" s="804"/>
      <c r="L13" s="804"/>
      <c r="M13" s="1097"/>
    </row>
    <row r="14" spans="1:13" ht="14.25" hidden="1" customHeight="1">
      <c r="A14" s="1333"/>
      <c r="B14" s="847"/>
      <c r="C14" s="847"/>
      <c r="D14" s="847"/>
      <c r="E14" s="1111"/>
      <c r="F14" s="1111"/>
      <c r="G14" s="1111"/>
      <c r="H14" s="1111"/>
      <c r="I14" s="804"/>
      <c r="J14" s="804"/>
      <c r="K14" s="804"/>
      <c r="L14" s="804"/>
      <c r="M14" s="1097"/>
    </row>
    <row r="15" spans="1:13" ht="14.25" hidden="1" customHeight="1">
      <c r="A15" s="1333"/>
      <c r="B15" s="847"/>
      <c r="C15" s="847"/>
      <c r="D15" s="847"/>
      <c r="E15" s="1111"/>
      <c r="F15" s="1111"/>
      <c r="G15" s="1111"/>
      <c r="H15" s="1111"/>
      <c r="I15" s="804"/>
      <c r="J15" s="804"/>
      <c r="K15" s="804"/>
      <c r="L15" s="804"/>
      <c r="M15" s="1097"/>
    </row>
    <row r="16" spans="1:13" ht="20.25" customHeight="1">
      <c r="A16" s="928">
        <v>2018</v>
      </c>
      <c r="B16" s="847"/>
      <c r="C16" s="804">
        <v>49048695</v>
      </c>
      <c r="D16" s="804">
        <v>15425030</v>
      </c>
      <c r="E16" s="804">
        <v>64473725</v>
      </c>
      <c r="F16" s="923" t="s">
        <v>593</v>
      </c>
      <c r="G16" s="804">
        <v>1524054553.0560038</v>
      </c>
      <c r="H16" s="804">
        <v>453159702.84699965</v>
      </c>
      <c r="I16" s="804">
        <v>1977214255.9030037</v>
      </c>
      <c r="J16" s="923" t="s">
        <v>593</v>
      </c>
      <c r="K16" s="923" t="s">
        <v>593</v>
      </c>
      <c r="L16" s="923" t="s">
        <v>593</v>
      </c>
      <c r="M16" s="804">
        <v>35010</v>
      </c>
    </row>
    <row r="17" spans="1:15">
      <c r="A17" s="928">
        <v>2019</v>
      </c>
      <c r="B17" s="847"/>
      <c r="C17" s="804">
        <v>58433552</v>
      </c>
      <c r="D17" s="804">
        <v>15246093</v>
      </c>
      <c r="E17" s="804">
        <v>73679645</v>
      </c>
      <c r="F17" s="923" t="s">
        <v>593</v>
      </c>
      <c r="G17" s="804">
        <v>1877177352.7550023</v>
      </c>
      <c r="H17" s="804">
        <v>557218329.50299978</v>
      </c>
      <c r="I17" s="804">
        <v>2434395681.0980015</v>
      </c>
      <c r="J17" s="923" t="s">
        <v>593</v>
      </c>
      <c r="K17" s="923" t="s">
        <v>593</v>
      </c>
      <c r="L17" s="923" t="s">
        <v>593</v>
      </c>
      <c r="M17" s="804">
        <v>40262</v>
      </c>
    </row>
    <row r="18" spans="1:15">
      <c r="A18" s="928">
        <v>2020</v>
      </c>
      <c r="B18" s="847"/>
      <c r="C18" s="804">
        <v>77347515</v>
      </c>
      <c r="D18" s="804">
        <v>6438295</v>
      </c>
      <c r="E18" s="804">
        <v>83785810</v>
      </c>
      <c r="F18" s="923">
        <v>31863197.805222854</v>
      </c>
      <c r="G18" s="804">
        <v>2124921776.0370262</v>
      </c>
      <c r="H18" s="804">
        <v>216993593.1926941</v>
      </c>
      <c r="I18" s="804">
        <v>2341915369.1297202</v>
      </c>
      <c r="J18" s="923">
        <v>438734452.92201328</v>
      </c>
      <c r="K18" s="923" t="s">
        <v>593</v>
      </c>
      <c r="L18" s="923" t="s">
        <v>593</v>
      </c>
      <c r="M18" s="804">
        <v>24702</v>
      </c>
    </row>
    <row r="19" spans="1:15">
      <c r="A19" s="928">
        <v>2021</v>
      </c>
      <c r="B19" s="847"/>
      <c r="C19" s="804">
        <v>109539142</v>
      </c>
      <c r="D19" s="804">
        <v>16009386</v>
      </c>
      <c r="E19" s="804">
        <v>125548528</v>
      </c>
      <c r="F19" s="923">
        <v>82397936</v>
      </c>
      <c r="G19" s="804">
        <v>2707223375.2868547</v>
      </c>
      <c r="H19" s="804">
        <v>443993620.81894493</v>
      </c>
      <c r="I19" s="804">
        <v>3151216995.9857998</v>
      </c>
      <c r="J19" s="923">
        <v>1252676798.9089999</v>
      </c>
      <c r="K19" s="923">
        <v>11470238</v>
      </c>
      <c r="L19" s="923">
        <v>988113898.11504936</v>
      </c>
      <c r="M19" s="804">
        <v>32742</v>
      </c>
    </row>
    <row r="20" spans="1:15">
      <c r="A20" s="928">
        <v>2022</v>
      </c>
      <c r="B20" s="847"/>
      <c r="C20" s="804">
        <v>132102959</v>
      </c>
      <c r="D20" s="804">
        <v>30689009</v>
      </c>
      <c r="E20" s="804">
        <v>162791968</v>
      </c>
      <c r="F20" s="923">
        <v>121224262</v>
      </c>
      <c r="G20" s="804">
        <v>3090754039.8581257</v>
      </c>
      <c r="H20" s="804">
        <v>753834542.36111569</v>
      </c>
      <c r="I20" s="804">
        <v>3844588582.1192417</v>
      </c>
      <c r="J20" s="923">
        <v>1793616693.2150002</v>
      </c>
      <c r="K20" s="923">
        <v>19523811</v>
      </c>
      <c r="L20" s="923">
        <v>1305282546.3874979</v>
      </c>
      <c r="M20" s="804">
        <v>40681</v>
      </c>
    </row>
    <row r="21" spans="1:15">
      <c r="A21" s="928">
        <v>2023</v>
      </c>
      <c r="B21" s="847"/>
      <c r="C21" s="804">
        <v>147610590</v>
      </c>
      <c r="D21" s="804">
        <v>36266952</v>
      </c>
      <c r="E21" s="804">
        <v>183877542</v>
      </c>
      <c r="F21" s="923">
        <v>142708090</v>
      </c>
      <c r="G21" s="804">
        <v>3273915613.6049886</v>
      </c>
      <c r="H21" s="804">
        <v>875672992.59169924</v>
      </c>
      <c r="I21" s="804">
        <v>4149588606.1966877</v>
      </c>
      <c r="J21" s="923">
        <v>2104459326.7329998</v>
      </c>
      <c r="K21" s="923">
        <v>20606338</v>
      </c>
      <c r="L21" s="923">
        <v>1427531074.4651761</v>
      </c>
      <c r="M21" s="804">
        <v>53170</v>
      </c>
    </row>
    <row r="22" spans="1:15">
      <c r="A22" s="944">
        <v>2024</v>
      </c>
      <c r="B22" s="945"/>
      <c r="C22" s="924">
        <f t="shared" ref="C22:L22" si="0">SUM(C24:C27)</f>
        <v>177242486</v>
      </c>
      <c r="D22" s="924">
        <f t="shared" si="0"/>
        <v>40480452</v>
      </c>
      <c r="E22" s="924">
        <f t="shared" si="0"/>
        <v>217722938</v>
      </c>
      <c r="F22" s="925">
        <f t="shared" si="0"/>
        <v>168851880</v>
      </c>
      <c r="G22" s="924">
        <f t="shared" si="0"/>
        <v>3731064726.9130077</v>
      </c>
      <c r="H22" s="924">
        <f t="shared" si="0"/>
        <v>934436989.74600005</v>
      </c>
      <c r="I22" s="924">
        <f t="shared" si="0"/>
        <v>4665501714.9590082</v>
      </c>
      <c r="J22" s="925">
        <f t="shared" si="0"/>
        <v>2457044708.79</v>
      </c>
      <c r="K22" s="925">
        <f t="shared" si="0"/>
        <v>28317897</v>
      </c>
      <c r="L22" s="925">
        <f t="shared" si="0"/>
        <v>1501203188.9110079</v>
      </c>
      <c r="M22" s="924">
        <f>M27</f>
        <v>57075</v>
      </c>
    </row>
    <row r="23" spans="1:15" ht="21" customHeight="1">
      <c r="A23" s="928">
        <v>2023</v>
      </c>
      <c r="B23" s="847" t="s">
        <v>238</v>
      </c>
      <c r="C23" s="804">
        <v>39376410</v>
      </c>
      <c r="D23" s="804">
        <v>9581419</v>
      </c>
      <c r="E23" s="804">
        <v>48957829</v>
      </c>
      <c r="F23" s="923">
        <v>38008864</v>
      </c>
      <c r="G23" s="804">
        <v>846486973.94949484</v>
      </c>
      <c r="H23" s="804">
        <v>258670122.02722868</v>
      </c>
      <c r="I23" s="804">
        <v>1105157095.8767233</v>
      </c>
      <c r="J23" s="923">
        <v>554780928.91799998</v>
      </c>
      <c r="K23" s="923">
        <v>4100497</v>
      </c>
      <c r="L23" s="923">
        <v>382049034.18538964</v>
      </c>
      <c r="M23" s="804">
        <v>53170</v>
      </c>
    </row>
    <row r="24" spans="1:15" ht="21" customHeight="1">
      <c r="A24" s="928">
        <v>2024</v>
      </c>
      <c r="B24" s="847" t="s">
        <v>239</v>
      </c>
      <c r="C24" s="804">
        <v>39383698</v>
      </c>
      <c r="D24" s="804">
        <v>9535298</v>
      </c>
      <c r="E24" s="804">
        <v>48918996</v>
      </c>
      <c r="F24" s="923">
        <v>37545675</v>
      </c>
      <c r="G24" s="804">
        <v>849577043.41000056</v>
      </c>
      <c r="H24" s="804">
        <v>247802433.514</v>
      </c>
      <c r="I24" s="804">
        <v>1097379476.9240005</v>
      </c>
      <c r="J24" s="923">
        <v>562285492.65199995</v>
      </c>
      <c r="K24" s="923">
        <v>5605053</v>
      </c>
      <c r="L24" s="923">
        <v>375475878.34700048</v>
      </c>
      <c r="M24" s="804">
        <v>54445</v>
      </c>
      <c r="N24" s="1181"/>
    </row>
    <row r="25" spans="1:15" ht="15" customHeight="1">
      <c r="A25" s="928"/>
      <c r="B25" s="847" t="s">
        <v>240</v>
      </c>
      <c r="C25" s="804">
        <v>44367426</v>
      </c>
      <c r="D25" s="804">
        <v>9869246</v>
      </c>
      <c r="E25" s="804">
        <v>54236672</v>
      </c>
      <c r="F25" s="923">
        <v>42134278</v>
      </c>
      <c r="G25" s="804">
        <v>919928077.23700118</v>
      </c>
      <c r="H25" s="804">
        <v>222033857.57599998</v>
      </c>
      <c r="I25" s="804">
        <v>1141961934.0130014</v>
      </c>
      <c r="J25" s="923">
        <v>616791730.26900005</v>
      </c>
      <c r="K25" s="923">
        <v>7109808</v>
      </c>
      <c r="L25" s="923">
        <v>356309483.97100121</v>
      </c>
      <c r="M25" s="804">
        <v>55155</v>
      </c>
      <c r="N25" s="1181"/>
    </row>
    <row r="26" spans="1:15" ht="15" customHeight="1">
      <c r="A26" s="928"/>
      <c r="B26" s="847" t="s">
        <v>237</v>
      </c>
      <c r="C26" s="804">
        <v>44466895</v>
      </c>
      <c r="D26" s="804">
        <v>10430521</v>
      </c>
      <c r="E26" s="804">
        <v>54897416</v>
      </c>
      <c r="F26" s="923">
        <v>42330934</v>
      </c>
      <c r="G26" s="804">
        <v>944400823.23000264</v>
      </c>
      <c r="H26" s="804">
        <v>217150411.65200001</v>
      </c>
      <c r="I26" s="804">
        <v>1161551234.1820025</v>
      </c>
      <c r="J26" s="923">
        <v>601477942.01700008</v>
      </c>
      <c r="K26" s="923">
        <v>7562127</v>
      </c>
      <c r="L26" s="923">
        <v>384752326.91300267</v>
      </c>
      <c r="M26" s="804">
        <v>56022</v>
      </c>
      <c r="N26" s="1181"/>
    </row>
    <row r="27" spans="1:15" ht="15" customHeight="1">
      <c r="A27" s="928"/>
      <c r="B27" s="847" t="s">
        <v>238</v>
      </c>
      <c r="C27" s="804">
        <v>49024467</v>
      </c>
      <c r="D27" s="804">
        <v>10645387</v>
      </c>
      <c r="E27" s="804">
        <v>59669854</v>
      </c>
      <c r="F27" s="923">
        <v>46840993</v>
      </c>
      <c r="G27" s="804">
        <v>1017158783.0360032</v>
      </c>
      <c r="H27" s="804">
        <v>247450287.00400001</v>
      </c>
      <c r="I27" s="804">
        <v>1264609069.8400035</v>
      </c>
      <c r="J27" s="923">
        <v>676489543.852</v>
      </c>
      <c r="K27" s="923">
        <v>8040909</v>
      </c>
      <c r="L27" s="923">
        <v>384665499.68000329</v>
      </c>
      <c r="M27" s="804">
        <v>57075</v>
      </c>
      <c r="N27" s="1181"/>
    </row>
    <row r="28" spans="1:15" ht="21" customHeight="1">
      <c r="A28" s="928">
        <v>2025</v>
      </c>
      <c r="B28" s="847" t="s">
        <v>239</v>
      </c>
      <c r="C28" s="804">
        <f t="shared" ref="C28:L28" si="1">SUM(C34:C36)</f>
        <v>47746823</v>
      </c>
      <c r="D28" s="804">
        <f t="shared" si="1"/>
        <v>12234085</v>
      </c>
      <c r="E28" s="804">
        <f t="shared" si="1"/>
        <v>59980908</v>
      </c>
      <c r="F28" s="923">
        <f t="shared" si="1"/>
        <v>46113887</v>
      </c>
      <c r="G28" s="804">
        <f t="shared" si="1"/>
        <v>1013132615.8920032</v>
      </c>
      <c r="H28" s="804">
        <f t="shared" si="1"/>
        <v>239474959.044</v>
      </c>
      <c r="I28" s="804">
        <f t="shared" si="1"/>
        <v>1252607575.2360032</v>
      </c>
      <c r="J28" s="923">
        <f t="shared" si="1"/>
        <v>647249588.495</v>
      </c>
      <c r="K28" s="923">
        <f t="shared" si="1"/>
        <v>8628077</v>
      </c>
      <c r="L28" s="923">
        <f t="shared" si="1"/>
        <v>398409457.77000308</v>
      </c>
      <c r="M28" s="804">
        <f>M36</f>
        <v>58705</v>
      </c>
      <c r="N28" s="1181"/>
    </row>
    <row r="29" spans="1:15" ht="15" customHeight="1">
      <c r="A29" s="928"/>
      <c r="B29" s="847" t="s">
        <v>240</v>
      </c>
      <c r="C29" s="804">
        <f t="shared" ref="C29:L29" si="2">SUM(C37:C39)</f>
        <v>51572276</v>
      </c>
      <c r="D29" s="804">
        <f t="shared" si="2"/>
        <v>14274091</v>
      </c>
      <c r="E29" s="804">
        <f t="shared" si="2"/>
        <v>65846367</v>
      </c>
      <c r="F29" s="923">
        <f t="shared" si="2"/>
        <v>51326640</v>
      </c>
      <c r="G29" s="804">
        <f>SUM(G37:G39)+1</f>
        <v>1036185548.9320033</v>
      </c>
      <c r="H29" s="804">
        <f>SUM(H37:H39)-1</f>
        <v>261266632.14389998</v>
      </c>
      <c r="I29" s="804">
        <f t="shared" si="2"/>
        <v>1297452180.7759032</v>
      </c>
      <c r="J29" s="923">
        <f t="shared" si="2"/>
        <v>679202192.77899992</v>
      </c>
      <c r="K29" s="923">
        <f t="shared" si="2"/>
        <v>9500541</v>
      </c>
      <c r="L29" s="923">
        <f t="shared" si="2"/>
        <v>417744896.81100309</v>
      </c>
      <c r="M29" s="804">
        <f>M39</f>
        <v>60489</v>
      </c>
      <c r="N29" s="1181"/>
    </row>
    <row r="30" spans="1:15" ht="15" customHeight="1">
      <c r="A30" s="944"/>
      <c r="B30" s="945" t="s">
        <v>237</v>
      </c>
      <c r="C30" s="924">
        <f>SUM(C40:C42)</f>
        <v>53581876</v>
      </c>
      <c r="D30" s="924">
        <f>SUM(D40:D42)</f>
        <v>14010696</v>
      </c>
      <c r="E30" s="924">
        <f>SUM(E40:E42)</f>
        <v>67592572</v>
      </c>
      <c r="F30" s="925">
        <f>SUM(F40:F42)</f>
        <v>52838822</v>
      </c>
      <c r="G30" s="924">
        <f>SUM(G40:G42)+1</f>
        <v>1052571631.8280044</v>
      </c>
      <c r="H30" s="924">
        <f>SUM(H40:H42)-1</f>
        <v>250006170.37600002</v>
      </c>
      <c r="I30" s="924">
        <f>SUM(I40:I42)</f>
        <v>1302577802.1040044</v>
      </c>
      <c r="J30" s="925">
        <f>SUM(J40:J42)</f>
        <v>669930327.7420001</v>
      </c>
      <c r="K30" s="925">
        <f>SUM(K40:K42)</f>
        <v>9774824</v>
      </c>
      <c r="L30" s="925">
        <f>SUM(L40:L42)</f>
        <v>449006159.46400446</v>
      </c>
      <c r="M30" s="924">
        <f>M42</f>
        <v>61693</v>
      </c>
      <c r="N30" s="1181"/>
    </row>
    <row r="31" spans="1:15" s="1196" customFormat="1" ht="21" customHeight="1">
      <c r="A31" s="1195">
        <v>2024</v>
      </c>
      <c r="B31" s="845" t="s">
        <v>412</v>
      </c>
      <c r="C31" s="804">
        <v>16197253</v>
      </c>
      <c r="D31" s="804">
        <v>3166595</v>
      </c>
      <c r="E31" s="804">
        <v>19363848</v>
      </c>
      <c r="F31" s="804">
        <v>14989679</v>
      </c>
      <c r="G31" s="804">
        <v>340224042.54100114</v>
      </c>
      <c r="H31" s="804">
        <v>67020658.094000004</v>
      </c>
      <c r="I31" s="804">
        <v>407244700.63500112</v>
      </c>
      <c r="J31" s="804">
        <v>207933603.146</v>
      </c>
      <c r="K31" s="804">
        <v>2709498</v>
      </c>
      <c r="L31" s="804">
        <v>136023365.48900113</v>
      </c>
      <c r="M31" s="804">
        <v>56386</v>
      </c>
      <c r="N31" s="846"/>
      <c r="O31" s="846"/>
    </row>
    <row r="32" spans="1:15" s="1196" customFormat="1">
      <c r="A32" s="1195"/>
      <c r="B32" s="845" t="s">
        <v>413</v>
      </c>
      <c r="C32" s="804">
        <v>15675822</v>
      </c>
      <c r="D32" s="804">
        <v>3790126</v>
      </c>
      <c r="E32" s="804">
        <v>19465948</v>
      </c>
      <c r="F32" s="804">
        <v>15315620</v>
      </c>
      <c r="G32" s="804">
        <v>326890805.6850009</v>
      </c>
      <c r="H32" s="804">
        <v>92921000.069000006</v>
      </c>
      <c r="I32" s="804">
        <v>419811806.2540009</v>
      </c>
      <c r="J32" s="804">
        <v>227738763.722</v>
      </c>
      <c r="K32" s="804">
        <v>2534623</v>
      </c>
      <c r="L32" s="804">
        <v>121007319.09800088</v>
      </c>
      <c r="M32" s="804">
        <v>56662</v>
      </c>
      <c r="N32" s="846"/>
      <c r="O32" s="846"/>
    </row>
    <row r="33" spans="1:15" s="1196" customFormat="1">
      <c r="A33" s="1195"/>
      <c r="B33" s="845" t="s">
        <v>414</v>
      </c>
      <c r="C33" s="804">
        <v>17151392</v>
      </c>
      <c r="D33" s="804">
        <v>3688666</v>
      </c>
      <c r="E33" s="804">
        <v>20840058</v>
      </c>
      <c r="F33" s="804">
        <v>16535694</v>
      </c>
      <c r="G33" s="804">
        <v>350043934.81000125</v>
      </c>
      <c r="H33" s="804">
        <v>87508628.141000003</v>
      </c>
      <c r="I33" s="804">
        <v>437552562.95100135</v>
      </c>
      <c r="J33" s="804">
        <v>240817176.984</v>
      </c>
      <c r="K33" s="804">
        <v>2796788</v>
      </c>
      <c r="L33" s="804">
        <v>127634815.09300129</v>
      </c>
      <c r="M33" s="804">
        <v>57075</v>
      </c>
      <c r="N33" s="846"/>
      <c r="O33" s="846"/>
    </row>
    <row r="34" spans="1:15" s="1196" customFormat="1" ht="21" customHeight="1">
      <c r="A34" s="1195">
        <v>2025</v>
      </c>
      <c r="B34" s="845" t="s">
        <v>415</v>
      </c>
      <c r="C34" s="804">
        <v>16424112</v>
      </c>
      <c r="D34" s="804">
        <v>4793744</v>
      </c>
      <c r="E34" s="804">
        <v>21217856</v>
      </c>
      <c r="F34" s="804">
        <v>16432790</v>
      </c>
      <c r="G34" s="804">
        <v>342436486.26400113</v>
      </c>
      <c r="H34" s="804">
        <v>90530241.111000001</v>
      </c>
      <c r="I34" s="804">
        <v>432966727.37500113</v>
      </c>
      <c r="J34" s="804">
        <v>224865824.27700001</v>
      </c>
      <c r="K34" s="804">
        <v>2978803</v>
      </c>
      <c r="L34" s="804">
        <v>140018262.16800106</v>
      </c>
      <c r="M34" s="804">
        <v>57699</v>
      </c>
      <c r="N34" s="846"/>
      <c r="O34" s="846"/>
    </row>
    <row r="35" spans="1:15" s="1196" customFormat="1" ht="15.75" customHeight="1">
      <c r="A35" s="1195"/>
      <c r="B35" s="845" t="s">
        <v>416</v>
      </c>
      <c r="C35" s="804">
        <v>15507614</v>
      </c>
      <c r="D35" s="804">
        <v>4560022</v>
      </c>
      <c r="E35" s="804">
        <v>20067636</v>
      </c>
      <c r="F35" s="804">
        <v>15501782</v>
      </c>
      <c r="G35" s="804">
        <v>325244373.94000089</v>
      </c>
      <c r="H35" s="804">
        <v>90907486.583000004</v>
      </c>
      <c r="I35" s="804">
        <v>416151860.5230009</v>
      </c>
      <c r="J35" s="804">
        <v>215556409.78299999</v>
      </c>
      <c r="K35" s="804">
        <v>2802578</v>
      </c>
      <c r="L35" s="804">
        <v>126821149.96200088</v>
      </c>
      <c r="M35" s="804">
        <v>58116</v>
      </c>
      <c r="N35" s="846"/>
      <c r="O35" s="846"/>
    </row>
    <row r="36" spans="1:15" s="1196" customFormat="1" ht="15.75" customHeight="1">
      <c r="A36" s="1195"/>
      <c r="B36" s="845" t="s">
        <v>417</v>
      </c>
      <c r="C36" s="804">
        <v>15815097</v>
      </c>
      <c r="D36" s="804">
        <v>2880319</v>
      </c>
      <c r="E36" s="804">
        <v>18695416</v>
      </c>
      <c r="F36" s="804">
        <v>14179315</v>
      </c>
      <c r="G36" s="804">
        <v>345451755.68800116</v>
      </c>
      <c r="H36" s="804">
        <v>58037231.350000001</v>
      </c>
      <c r="I36" s="804">
        <v>403488987.33800113</v>
      </c>
      <c r="J36" s="804">
        <v>206827354.435</v>
      </c>
      <c r="K36" s="804">
        <v>2846696</v>
      </c>
      <c r="L36" s="804">
        <v>131570045.64000113</v>
      </c>
      <c r="M36" s="804">
        <v>58705</v>
      </c>
      <c r="N36" s="846"/>
      <c r="O36" s="846"/>
    </row>
    <row r="37" spans="1:15" s="1196" customFormat="1" ht="15.75" customHeight="1">
      <c r="A37" s="1195"/>
      <c r="B37" s="845" t="s">
        <v>418</v>
      </c>
      <c r="C37" s="804">
        <v>16731989</v>
      </c>
      <c r="D37" s="804">
        <v>4779163</v>
      </c>
      <c r="E37" s="804">
        <v>21511152</v>
      </c>
      <c r="F37" s="804">
        <v>16703155</v>
      </c>
      <c r="G37" s="804">
        <v>336518764.5890007</v>
      </c>
      <c r="H37" s="804">
        <v>91671350.256999999</v>
      </c>
      <c r="I37" s="804">
        <v>428190114.84600067</v>
      </c>
      <c r="J37" s="804">
        <v>224616649.58900002</v>
      </c>
      <c r="K37" s="804">
        <v>3101187</v>
      </c>
      <c r="L37" s="804">
        <v>134783575.41500065</v>
      </c>
      <c r="M37" s="804">
        <v>59868</v>
      </c>
      <c r="N37" s="846"/>
      <c r="O37" s="846"/>
    </row>
    <row r="38" spans="1:15" s="1196" customFormat="1" ht="15.75" customHeight="1">
      <c r="A38" s="1195"/>
      <c r="B38" s="845" t="s">
        <v>419</v>
      </c>
      <c r="C38" s="804">
        <v>17897935</v>
      </c>
      <c r="D38" s="804">
        <v>4851607</v>
      </c>
      <c r="E38" s="804">
        <v>22749542</v>
      </c>
      <c r="F38" s="804">
        <v>17735376</v>
      </c>
      <c r="G38" s="804">
        <v>359030010.77400118</v>
      </c>
      <c r="H38" s="804">
        <v>87885526.481999993</v>
      </c>
      <c r="I38" s="804">
        <v>446915537.25600117</v>
      </c>
      <c r="J38" s="804">
        <v>231267647.93299997</v>
      </c>
      <c r="K38" s="804">
        <v>3292657</v>
      </c>
      <c r="L38" s="804">
        <v>150222942.71500117</v>
      </c>
      <c r="M38" s="804">
        <v>60116</v>
      </c>
      <c r="N38" s="846"/>
      <c r="O38" s="846"/>
    </row>
    <row r="39" spans="1:15" s="1196" customFormat="1" ht="15.75" customHeight="1">
      <c r="A39" s="1195"/>
      <c r="B39" s="845" t="s">
        <v>420</v>
      </c>
      <c r="C39" s="804">
        <v>16942352</v>
      </c>
      <c r="D39" s="804">
        <v>4643321</v>
      </c>
      <c r="E39" s="804">
        <v>21585673</v>
      </c>
      <c r="F39" s="804">
        <v>16888109</v>
      </c>
      <c r="G39" s="804">
        <v>340636772.56900138</v>
      </c>
      <c r="H39" s="804">
        <v>81709756.404899999</v>
      </c>
      <c r="I39" s="804">
        <v>422346528.67390132</v>
      </c>
      <c r="J39" s="804">
        <v>223317895.257</v>
      </c>
      <c r="K39" s="804">
        <v>3106697</v>
      </c>
      <c r="L39" s="804">
        <v>132738378.68100134</v>
      </c>
      <c r="M39" s="804">
        <v>60489</v>
      </c>
      <c r="N39" s="846"/>
      <c r="O39" s="846"/>
    </row>
    <row r="40" spans="1:15" s="1196" customFormat="1" ht="15.75" customHeight="1">
      <c r="A40" s="1195"/>
      <c r="B40" s="845" t="s">
        <v>421</v>
      </c>
      <c r="C40" s="804">
        <v>17159605</v>
      </c>
      <c r="D40" s="804">
        <v>4552714</v>
      </c>
      <c r="E40" s="804">
        <v>21712319</v>
      </c>
      <c r="F40" s="804">
        <v>16913923</v>
      </c>
      <c r="G40" s="804">
        <v>362483233.44900167</v>
      </c>
      <c r="H40" s="804">
        <v>77605400.552000001</v>
      </c>
      <c r="I40" s="804">
        <v>440088634.00100166</v>
      </c>
      <c r="J40" s="804">
        <v>216134160.13700002</v>
      </c>
      <c r="K40" s="804">
        <v>3183079</v>
      </c>
      <c r="L40" s="804">
        <v>158293140.58000174</v>
      </c>
      <c r="M40" s="804">
        <v>60823</v>
      </c>
      <c r="N40" s="846"/>
      <c r="O40" s="846"/>
    </row>
    <row r="41" spans="1:15" s="1196" customFormat="1" ht="15.75" customHeight="1">
      <c r="A41" s="1195"/>
      <c r="B41" s="845" t="s">
        <v>422</v>
      </c>
      <c r="C41" s="804">
        <v>17732922</v>
      </c>
      <c r="D41" s="804">
        <v>5156262</v>
      </c>
      <c r="E41" s="804">
        <v>22889184</v>
      </c>
      <c r="F41" s="804">
        <v>17886301</v>
      </c>
      <c r="G41" s="804">
        <v>344050568.44500136</v>
      </c>
      <c r="H41" s="804">
        <v>92487445.061000004</v>
      </c>
      <c r="I41" s="804">
        <v>436538013.40600139</v>
      </c>
      <c r="J41" s="804">
        <v>230431870.69800001</v>
      </c>
      <c r="K41" s="804">
        <v>3291831</v>
      </c>
      <c r="L41" s="804">
        <v>145158945.2270014</v>
      </c>
      <c r="M41" s="804">
        <v>61278</v>
      </c>
      <c r="N41" s="846"/>
      <c r="O41" s="846"/>
    </row>
    <row r="42" spans="1:15" s="1196" customFormat="1" ht="15.75" customHeight="1">
      <c r="A42" s="1195"/>
      <c r="B42" s="845" t="s">
        <v>423</v>
      </c>
      <c r="C42" s="804">
        <v>18689349</v>
      </c>
      <c r="D42" s="804">
        <v>4301720</v>
      </c>
      <c r="E42" s="804">
        <v>22991069</v>
      </c>
      <c r="F42" s="804">
        <v>18038598</v>
      </c>
      <c r="G42" s="804">
        <v>346037828.93400133</v>
      </c>
      <c r="H42" s="804">
        <v>79913325.763000011</v>
      </c>
      <c r="I42" s="804">
        <v>425951154.69700134</v>
      </c>
      <c r="J42" s="804">
        <v>223364296.90700001</v>
      </c>
      <c r="K42" s="804">
        <v>3299914</v>
      </c>
      <c r="L42" s="804">
        <v>145554073.65700132</v>
      </c>
      <c r="M42" s="804">
        <v>61693</v>
      </c>
      <c r="N42" s="846"/>
      <c r="O42" s="846"/>
    </row>
    <row r="43" spans="1:15" s="1196" customFormat="1" ht="15.75" customHeight="1">
      <c r="A43" s="1195"/>
      <c r="B43" s="845" t="s">
        <v>412</v>
      </c>
      <c r="C43" s="804">
        <v>19730804</v>
      </c>
      <c r="D43" s="804">
        <v>4714635</v>
      </c>
      <c r="E43" s="804">
        <v>24445439</v>
      </c>
      <c r="F43" s="804">
        <v>19256147</v>
      </c>
      <c r="G43" s="804">
        <v>370236520.11100125</v>
      </c>
      <c r="H43" s="804">
        <v>85977612.907000005</v>
      </c>
      <c r="I43" s="804">
        <v>456214133.01800126</v>
      </c>
      <c r="J43" s="804">
        <v>235280685.91799998</v>
      </c>
      <c r="K43" s="804">
        <v>3455684</v>
      </c>
      <c r="L43" s="804">
        <v>162368601.99900126</v>
      </c>
      <c r="M43" s="804">
        <v>62113</v>
      </c>
      <c r="N43" s="846"/>
      <c r="O43" s="846"/>
    </row>
    <row r="44" spans="1:15">
      <c r="A44" s="1305"/>
      <c r="B44" s="1334"/>
      <c r="C44" s="1334"/>
      <c r="D44" s="1334"/>
      <c r="E44" s="1334"/>
      <c r="F44" s="1334"/>
      <c r="G44" s="1334"/>
      <c r="H44" s="1334"/>
      <c r="I44" s="1334"/>
      <c r="J44" s="1334"/>
      <c r="K44" s="1334"/>
      <c r="L44" s="1334"/>
      <c r="M44" s="1334"/>
    </row>
    <row r="45" spans="1:15">
      <c r="A45" s="1306"/>
      <c r="B45" s="1335"/>
      <c r="C45" s="1335"/>
      <c r="D45" s="1335"/>
      <c r="E45" s="1335"/>
      <c r="F45" s="1335"/>
      <c r="G45" s="1335"/>
      <c r="H45" s="1335"/>
      <c r="I45" s="1335"/>
      <c r="J45" s="1335"/>
      <c r="K45" s="1335"/>
      <c r="L45" s="1335"/>
      <c r="M45" s="1335"/>
    </row>
    <row r="46" spans="1:15">
      <c r="A46" s="1306"/>
      <c r="B46" s="1335"/>
      <c r="C46" s="1335"/>
      <c r="D46" s="1335"/>
      <c r="E46" s="1335"/>
      <c r="F46" s="1335"/>
      <c r="G46" s="1335"/>
      <c r="H46" s="1335"/>
      <c r="I46" s="1335"/>
      <c r="J46" s="1335"/>
      <c r="K46" s="1335"/>
      <c r="L46" s="1335"/>
      <c r="M46" s="1335"/>
    </row>
    <row r="47" spans="1:15">
      <c r="A47" s="2000" t="s">
        <v>1324</v>
      </c>
      <c r="B47" s="2000"/>
      <c r="C47" s="2000"/>
      <c r="D47" s="2000"/>
      <c r="E47" s="2000"/>
      <c r="F47" s="2000"/>
      <c r="G47" s="2000"/>
      <c r="H47" s="2000"/>
      <c r="I47" s="2000"/>
      <c r="J47" s="2000"/>
      <c r="K47" s="2000"/>
      <c r="L47" s="2000"/>
      <c r="M47" s="2000"/>
    </row>
    <row r="51" spans="9:13">
      <c r="I51" s="941"/>
      <c r="J51" s="941"/>
      <c r="K51" s="941"/>
      <c r="L51" s="941"/>
      <c r="M51" s="941"/>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abSelected="1" zoomScaleNormal="100" workbookViewId="0">
      <selection activeCell="N29" sqref="N29"/>
    </sheetView>
  </sheetViews>
  <sheetFormatPr defaultColWidth="18.28515625" defaultRowHeight="15"/>
  <cols>
    <col min="1" max="1" width="6.140625" style="1326" customWidth="1"/>
    <col min="2" max="2" width="45.85546875" style="1307" customWidth="1"/>
    <col min="3" max="3" width="15" style="1307" bestFit="1" customWidth="1"/>
    <col min="4" max="4" width="15.42578125" style="1307" bestFit="1" customWidth="1"/>
    <col min="5" max="5" width="15" style="1307" bestFit="1" customWidth="1"/>
    <col min="6" max="6" width="15.42578125" style="1307" bestFit="1" customWidth="1"/>
    <col min="7" max="7" width="15" style="1307" bestFit="1" customWidth="1"/>
    <col min="8" max="8" width="15.42578125" style="1307" bestFit="1" customWidth="1"/>
    <col min="9" max="9" width="15" style="1307" bestFit="1" customWidth="1"/>
    <col min="10" max="10" width="15.42578125" style="1307" bestFit="1" customWidth="1"/>
    <col min="11" max="11" width="15" style="1307" bestFit="1" customWidth="1"/>
    <col min="12" max="12" width="15.42578125" style="1307" bestFit="1" customWidth="1"/>
    <col min="13" max="13" width="15" style="1307" bestFit="1" customWidth="1"/>
    <col min="14" max="14" width="15.42578125" style="1307" bestFit="1" customWidth="1"/>
    <col min="15" max="15" width="46.7109375" style="1307" customWidth="1"/>
    <col min="16" max="16" width="18.28515625" style="1307"/>
    <col min="17" max="17" width="0" style="1307" hidden="1" customWidth="1"/>
    <col min="18" max="16384" width="18.28515625" style="1307"/>
  </cols>
  <sheetData>
    <row r="1" spans="1:17" ht="18" customHeight="1">
      <c r="A1" s="950" t="s">
        <v>1728</v>
      </c>
      <c r="B1" s="949"/>
      <c r="C1" s="949"/>
      <c r="D1" s="949"/>
      <c r="E1" s="949"/>
      <c r="F1" s="949"/>
      <c r="G1" s="949"/>
      <c r="H1" s="949"/>
      <c r="I1" s="949"/>
      <c r="J1" s="949"/>
      <c r="K1" s="949"/>
      <c r="L1" s="949"/>
      <c r="M1" s="949"/>
      <c r="N1" s="949"/>
      <c r="O1" s="949"/>
    </row>
    <row r="2" spans="1:17" ht="18" customHeight="1">
      <c r="A2" s="950" t="s">
        <v>1325</v>
      </c>
      <c r="B2" s="1308"/>
      <c r="C2" s="1308"/>
      <c r="D2" s="1308"/>
      <c r="E2" s="1308"/>
      <c r="F2" s="1308"/>
      <c r="G2" s="1308"/>
      <c r="H2" s="1308"/>
      <c r="I2" s="1308"/>
      <c r="J2" s="1308"/>
      <c r="K2" s="1308"/>
      <c r="L2" s="1308"/>
      <c r="M2" s="1308"/>
      <c r="N2" s="1308"/>
      <c r="O2" s="1308"/>
    </row>
    <row r="3" spans="1:17" ht="18">
      <c r="A3" s="950" t="s">
        <v>1326</v>
      </c>
      <c r="B3" s="949"/>
      <c r="C3" s="949"/>
      <c r="D3" s="949"/>
      <c r="E3" s="949"/>
      <c r="F3" s="949"/>
      <c r="G3" s="949"/>
      <c r="H3" s="949"/>
      <c r="I3" s="949"/>
      <c r="J3" s="949"/>
      <c r="K3" s="949"/>
      <c r="L3" s="949"/>
      <c r="M3" s="949"/>
      <c r="N3" s="949"/>
      <c r="O3" s="949"/>
    </row>
    <row r="4" spans="1:17" ht="4.5" customHeight="1">
      <c r="A4" s="949"/>
      <c r="B4" s="949"/>
      <c r="C4" s="1309"/>
      <c r="D4" s="1309"/>
      <c r="E4" s="1309"/>
      <c r="F4" s="1309"/>
      <c r="G4" s="1309"/>
      <c r="H4" s="1309"/>
      <c r="I4" s="1309"/>
      <c r="J4" s="1309"/>
      <c r="K4" s="1309"/>
      <c r="L4" s="1309"/>
      <c r="M4" s="1309"/>
      <c r="N4" s="1309"/>
      <c r="O4" s="949"/>
    </row>
    <row r="5" spans="1:17" ht="15.75" hidden="1" customHeight="1">
      <c r="A5" s="949"/>
      <c r="B5" s="949"/>
      <c r="C5" s="1309"/>
      <c r="D5" s="1309"/>
      <c r="E5" s="1309"/>
      <c r="F5" s="1309"/>
      <c r="G5" s="1309"/>
      <c r="H5" s="1309"/>
      <c r="I5" s="1309"/>
      <c r="J5" s="1309"/>
      <c r="K5" s="1309"/>
      <c r="L5" s="1309"/>
      <c r="M5" s="1309"/>
      <c r="N5" s="1309"/>
      <c r="O5" s="949"/>
    </row>
    <row r="6" spans="1:17" ht="15.75" hidden="1" customHeight="1">
      <c r="A6" s="949"/>
      <c r="B6" s="949"/>
      <c r="C6" s="1309"/>
      <c r="D6" s="1309"/>
      <c r="E6" s="1309"/>
      <c r="F6" s="1309"/>
      <c r="G6" s="1309"/>
      <c r="H6" s="1309"/>
      <c r="I6" s="1309"/>
      <c r="J6" s="1309"/>
      <c r="K6" s="1309"/>
      <c r="L6" s="1309"/>
      <c r="M6" s="1309"/>
      <c r="N6" s="1309"/>
      <c r="O6" s="949"/>
    </row>
    <row r="7" spans="1:17" ht="15.75" hidden="1" customHeight="1">
      <c r="A7" s="949"/>
      <c r="B7" s="949"/>
      <c r="C7" s="1309"/>
      <c r="D7" s="1309"/>
      <c r="E7" s="1309"/>
      <c r="F7" s="1309"/>
      <c r="G7" s="1309"/>
      <c r="H7" s="1309"/>
      <c r="I7" s="1309"/>
      <c r="J7" s="1309"/>
      <c r="K7" s="1309"/>
      <c r="L7" s="1309"/>
      <c r="M7" s="1309"/>
      <c r="N7" s="1309"/>
      <c r="O7" s="949"/>
    </row>
    <row r="8" spans="1:17">
      <c r="A8" s="830" t="s">
        <v>1327</v>
      </c>
      <c r="D8" s="830"/>
      <c r="F8" s="830"/>
      <c r="H8" s="830"/>
      <c r="J8" s="830"/>
      <c r="L8" s="830"/>
      <c r="N8" s="830"/>
      <c r="O8" s="830" t="s">
        <v>1328</v>
      </c>
    </row>
    <row r="9" spans="1:17" s="1311" customFormat="1" ht="20.25" customHeight="1">
      <c r="A9" s="1977"/>
      <c r="B9" s="1977" t="s">
        <v>916</v>
      </c>
      <c r="C9" s="1310">
        <v>2025</v>
      </c>
      <c r="D9" s="1310"/>
      <c r="E9" s="1310"/>
      <c r="F9" s="1310"/>
      <c r="G9" s="1310"/>
      <c r="H9" s="1310"/>
      <c r="I9" s="1310"/>
      <c r="J9" s="1310"/>
      <c r="K9" s="1310"/>
      <c r="L9" s="1310"/>
      <c r="M9" s="1310"/>
      <c r="N9" s="1310"/>
      <c r="O9" s="1977" t="s">
        <v>917</v>
      </c>
    </row>
    <row r="10" spans="1:17" s="1311" customFormat="1" ht="20.25" customHeight="1">
      <c r="A10" s="2001"/>
      <c r="B10" s="2001"/>
      <c r="C10" s="2002" t="s">
        <v>419</v>
      </c>
      <c r="D10" s="2003"/>
      <c r="E10" s="2002" t="s">
        <v>919</v>
      </c>
      <c r="F10" s="2003"/>
      <c r="G10" s="2002" t="s">
        <v>920</v>
      </c>
      <c r="H10" s="2003"/>
      <c r="I10" s="2002" t="s">
        <v>921</v>
      </c>
      <c r="J10" s="2003"/>
      <c r="K10" s="2002" t="s">
        <v>922</v>
      </c>
      <c r="L10" s="2003"/>
      <c r="M10" s="2002" t="s">
        <v>923</v>
      </c>
      <c r="N10" s="2003"/>
      <c r="O10" s="2001"/>
    </row>
    <row r="11" spans="1:17" s="1311" customFormat="1" ht="15.75">
      <c r="A11" s="2001"/>
      <c r="B11" s="2001"/>
      <c r="C11" s="921" t="s">
        <v>1311</v>
      </c>
      <c r="D11" s="921" t="s">
        <v>1280</v>
      </c>
      <c r="E11" s="921" t="s">
        <v>1311</v>
      </c>
      <c r="F11" s="921" t="s">
        <v>1280</v>
      </c>
      <c r="G11" s="921" t="s">
        <v>1311</v>
      </c>
      <c r="H11" s="921" t="s">
        <v>1280</v>
      </c>
      <c r="I11" s="921" t="s">
        <v>1311</v>
      </c>
      <c r="J11" s="921" t="s">
        <v>1280</v>
      </c>
      <c r="K11" s="921" t="s">
        <v>1311</v>
      </c>
      <c r="L11" s="921" t="s">
        <v>1280</v>
      </c>
      <c r="M11" s="921" t="s">
        <v>1311</v>
      </c>
      <c r="N11" s="921" t="s">
        <v>1280</v>
      </c>
      <c r="O11" s="2001"/>
    </row>
    <row r="12" spans="1:17" s="1312" customFormat="1" ht="15.75">
      <c r="A12" s="1990"/>
      <c r="B12" s="1990"/>
      <c r="C12" s="947" t="s">
        <v>1329</v>
      </c>
      <c r="D12" s="947" t="s">
        <v>1282</v>
      </c>
      <c r="E12" s="947" t="s">
        <v>1329</v>
      </c>
      <c r="F12" s="947" t="s">
        <v>1282</v>
      </c>
      <c r="G12" s="947" t="s">
        <v>1329</v>
      </c>
      <c r="H12" s="947" t="s">
        <v>1282</v>
      </c>
      <c r="I12" s="947" t="s">
        <v>1329</v>
      </c>
      <c r="J12" s="947" t="s">
        <v>1282</v>
      </c>
      <c r="K12" s="947" t="s">
        <v>1329</v>
      </c>
      <c r="L12" s="947" t="s">
        <v>1282</v>
      </c>
      <c r="M12" s="947" t="s">
        <v>1329</v>
      </c>
      <c r="N12" s="947" t="s">
        <v>1282</v>
      </c>
      <c r="O12" s="1990"/>
    </row>
    <row r="13" spans="1:17" ht="31.5" customHeight="1">
      <c r="A13" s="928">
        <v>1</v>
      </c>
      <c r="B13" s="1313" t="s">
        <v>957</v>
      </c>
      <c r="C13" s="1096">
        <v>13192</v>
      </c>
      <c r="D13" s="1096">
        <v>3968877.4440000001</v>
      </c>
      <c r="E13" s="1096">
        <v>9641</v>
      </c>
      <c r="F13" s="1096">
        <v>2958938.3030000003</v>
      </c>
      <c r="G13" s="1096">
        <v>5572</v>
      </c>
      <c r="H13" s="1096">
        <v>2015762.469</v>
      </c>
      <c r="I13" s="1096">
        <v>11062</v>
      </c>
      <c r="J13" s="1096">
        <v>5977119.148</v>
      </c>
      <c r="K13" s="1096">
        <v>16595</v>
      </c>
      <c r="L13" s="1096">
        <v>5625641.2909999993</v>
      </c>
      <c r="M13" s="1096">
        <v>13536</v>
      </c>
      <c r="N13" s="1096">
        <v>3511184.8620000002</v>
      </c>
      <c r="O13" s="1314" t="s">
        <v>958</v>
      </c>
      <c r="Q13" s="1330" t="e">
        <f>ROUND(#REF!,0)</f>
        <v>#REF!</v>
      </c>
    </row>
    <row r="14" spans="1:17" ht="43.5" customHeight="1">
      <c r="A14" s="928">
        <v>2</v>
      </c>
      <c r="B14" s="1315" t="s">
        <v>1330</v>
      </c>
      <c r="C14" s="1096">
        <v>28520</v>
      </c>
      <c r="D14" s="1096">
        <v>1935476.1969999999</v>
      </c>
      <c r="E14" s="1096">
        <v>16298</v>
      </c>
      <c r="F14" s="1096">
        <v>1609205.838</v>
      </c>
      <c r="G14" s="1096">
        <v>13309</v>
      </c>
      <c r="H14" s="1096">
        <v>1339343.206</v>
      </c>
      <c r="I14" s="1096">
        <v>13073</v>
      </c>
      <c r="J14" s="1096">
        <v>1177491.5150000001</v>
      </c>
      <c r="K14" s="1096">
        <v>12235</v>
      </c>
      <c r="L14" s="1096">
        <v>1152075.5290000001</v>
      </c>
      <c r="M14" s="1096">
        <v>12999</v>
      </c>
      <c r="N14" s="1096">
        <v>1322446.919</v>
      </c>
      <c r="O14" s="1316" t="s">
        <v>1331</v>
      </c>
      <c r="Q14" s="1330" t="e">
        <f>ROUND(#REF!,0)</f>
        <v>#REF!</v>
      </c>
    </row>
    <row r="15" spans="1:17" ht="31.5" customHeight="1">
      <c r="A15" s="928">
        <v>3</v>
      </c>
      <c r="B15" s="1315" t="s">
        <v>1332</v>
      </c>
      <c r="C15" s="1096">
        <v>1336103</v>
      </c>
      <c r="D15" s="1096">
        <v>9516036.3369999994</v>
      </c>
      <c r="E15" s="1096">
        <v>1289000</v>
      </c>
      <c r="F15" s="1096">
        <v>9693053.9989999998</v>
      </c>
      <c r="G15" s="1096">
        <v>1259955</v>
      </c>
      <c r="H15" s="1096">
        <v>8630124.0549999997</v>
      </c>
      <c r="I15" s="1096">
        <v>1273853</v>
      </c>
      <c r="J15" s="1096">
        <v>8626018.2129999995</v>
      </c>
      <c r="K15" s="1096">
        <v>1285071</v>
      </c>
      <c r="L15" s="1096">
        <v>8719538.3809999991</v>
      </c>
      <c r="M15" s="1096">
        <v>1396508</v>
      </c>
      <c r="N15" s="1096">
        <v>9344979.0789999999</v>
      </c>
      <c r="O15" s="1316" t="s">
        <v>1333</v>
      </c>
      <c r="Q15" s="1330" t="e">
        <f>ROUND(#REF!,0)</f>
        <v>#REF!</v>
      </c>
    </row>
    <row r="16" spans="1:17" ht="31.5" customHeight="1">
      <c r="A16" s="928">
        <v>4</v>
      </c>
      <c r="B16" s="1315" t="s">
        <v>1334</v>
      </c>
      <c r="C16" s="1096">
        <v>240280</v>
      </c>
      <c r="D16" s="1096">
        <v>5415893.6839999985</v>
      </c>
      <c r="E16" s="1096">
        <v>214979</v>
      </c>
      <c r="F16" s="1096">
        <v>5011742.7580000004</v>
      </c>
      <c r="G16" s="1096">
        <v>209375</v>
      </c>
      <c r="H16" s="1096">
        <v>5087466.8709999993</v>
      </c>
      <c r="I16" s="1096">
        <v>209232</v>
      </c>
      <c r="J16" s="1096">
        <v>5005286.7520000003</v>
      </c>
      <c r="K16" s="1096">
        <v>236455</v>
      </c>
      <c r="L16" s="1096">
        <v>5367582.1030000011</v>
      </c>
      <c r="M16" s="1096">
        <v>265210</v>
      </c>
      <c r="N16" s="1096">
        <v>5854846.949</v>
      </c>
      <c r="O16" s="1316" t="s">
        <v>1335</v>
      </c>
      <c r="Q16" s="1330" t="e">
        <f>ROUND(#REF!,0)</f>
        <v>#REF!</v>
      </c>
    </row>
    <row r="17" spans="1:17" ht="31.5" customHeight="1">
      <c r="A17" s="928">
        <v>5</v>
      </c>
      <c r="B17" s="1315" t="s">
        <v>1336</v>
      </c>
      <c r="C17" s="1096">
        <v>330761</v>
      </c>
      <c r="D17" s="1096">
        <v>105574183.70199999</v>
      </c>
      <c r="E17" s="1096">
        <v>286986</v>
      </c>
      <c r="F17" s="1096">
        <v>97185222.792000011</v>
      </c>
      <c r="G17" s="1096">
        <v>340106</v>
      </c>
      <c r="H17" s="1096">
        <v>118133812.96700001</v>
      </c>
      <c r="I17" s="1096">
        <v>328109</v>
      </c>
      <c r="J17" s="1096">
        <v>96325688.172000006</v>
      </c>
      <c r="K17" s="1096">
        <v>313676</v>
      </c>
      <c r="L17" s="1096">
        <v>89402278.184</v>
      </c>
      <c r="M17" s="1096">
        <v>280388</v>
      </c>
      <c r="N17" s="1096">
        <v>96149950.320000008</v>
      </c>
      <c r="O17" s="1316" t="s">
        <v>1337</v>
      </c>
      <c r="Q17" s="1330" t="e">
        <f>ROUND(#REF!,0)</f>
        <v>#REF!</v>
      </c>
    </row>
    <row r="18" spans="1:17" ht="47.25">
      <c r="A18" s="928">
        <v>6</v>
      </c>
      <c r="B18" s="1315" t="s">
        <v>1338</v>
      </c>
      <c r="C18" s="1096">
        <v>62562</v>
      </c>
      <c r="D18" s="1096">
        <v>3605033.4530000002</v>
      </c>
      <c r="E18" s="1096">
        <v>57723</v>
      </c>
      <c r="F18" s="1096">
        <v>2903375.7709999997</v>
      </c>
      <c r="G18" s="1096">
        <v>56956</v>
      </c>
      <c r="H18" s="1096">
        <v>3404815.0390000003</v>
      </c>
      <c r="I18" s="1096">
        <v>49771</v>
      </c>
      <c r="J18" s="1096">
        <v>3051243.2609999995</v>
      </c>
      <c r="K18" s="1096">
        <v>52337</v>
      </c>
      <c r="L18" s="1096">
        <v>3294380.8480000002</v>
      </c>
      <c r="M18" s="1096">
        <v>62613</v>
      </c>
      <c r="N18" s="1096">
        <v>3624163.5460000001</v>
      </c>
      <c r="O18" s="1317" t="s">
        <v>1339</v>
      </c>
      <c r="Q18" s="1330" t="e">
        <f>ROUND(#REF!,0)</f>
        <v>#REF!</v>
      </c>
    </row>
    <row r="19" spans="1:17" ht="31.5" customHeight="1">
      <c r="A19" s="928">
        <v>7</v>
      </c>
      <c r="B19" s="1315" t="s">
        <v>1340</v>
      </c>
      <c r="C19" s="1096">
        <v>1212582</v>
      </c>
      <c r="D19" s="1096">
        <v>13254967.643000001</v>
      </c>
      <c r="E19" s="1096">
        <v>1131544</v>
      </c>
      <c r="F19" s="1096">
        <v>13502785.007999999</v>
      </c>
      <c r="G19" s="1096">
        <v>1050404</v>
      </c>
      <c r="H19" s="1096">
        <v>11380867.513</v>
      </c>
      <c r="I19" s="1096">
        <v>1124254</v>
      </c>
      <c r="J19" s="1096">
        <v>12288379.784</v>
      </c>
      <c r="K19" s="1096">
        <v>1255515</v>
      </c>
      <c r="L19" s="1096">
        <v>13747682.131000001</v>
      </c>
      <c r="M19" s="1096">
        <v>1286694</v>
      </c>
      <c r="N19" s="1096">
        <v>13674183.223999999</v>
      </c>
      <c r="O19" s="1316" t="s">
        <v>1341</v>
      </c>
      <c r="Q19" s="1330" t="e">
        <f>ROUND(#REF!,0)</f>
        <v>#REF!</v>
      </c>
    </row>
    <row r="20" spans="1:17" ht="31.5" customHeight="1">
      <c r="A20" s="928">
        <v>8</v>
      </c>
      <c r="B20" s="1315" t="s">
        <v>1342</v>
      </c>
      <c r="C20" s="1096">
        <v>11238</v>
      </c>
      <c r="D20" s="1096">
        <v>4921125.301</v>
      </c>
      <c r="E20" s="1096">
        <v>10354</v>
      </c>
      <c r="F20" s="1096">
        <v>4515653.443</v>
      </c>
      <c r="G20" s="1096">
        <v>9154</v>
      </c>
      <c r="H20" s="1096">
        <v>3704274.3460000004</v>
      </c>
      <c r="I20" s="1096">
        <v>9441</v>
      </c>
      <c r="J20" s="1096">
        <v>3759005.8629999999</v>
      </c>
      <c r="K20" s="1096">
        <v>9468</v>
      </c>
      <c r="L20" s="1096">
        <v>3930332.2399999998</v>
      </c>
      <c r="M20" s="1096">
        <v>10966</v>
      </c>
      <c r="N20" s="1096">
        <v>5420246.608</v>
      </c>
      <c r="O20" s="1316" t="s">
        <v>1343</v>
      </c>
      <c r="Q20" s="1330" t="e">
        <f>ROUND(#REF!,0)</f>
        <v>#REF!</v>
      </c>
    </row>
    <row r="21" spans="1:17" ht="31.5" customHeight="1">
      <c r="A21" s="928">
        <v>9</v>
      </c>
      <c r="B21" s="1315" t="s">
        <v>1344</v>
      </c>
      <c r="C21" s="1096">
        <v>136868</v>
      </c>
      <c r="D21" s="1096">
        <v>3080540.9869999997</v>
      </c>
      <c r="E21" s="1096">
        <v>132331</v>
      </c>
      <c r="F21" s="1096">
        <v>2925509.3129999996</v>
      </c>
      <c r="G21" s="1096">
        <v>119086</v>
      </c>
      <c r="H21" s="1096">
        <v>2776237.537</v>
      </c>
      <c r="I21" s="1096">
        <v>137107</v>
      </c>
      <c r="J21" s="1096">
        <v>3123545.6519999998</v>
      </c>
      <c r="K21" s="1096">
        <v>142033</v>
      </c>
      <c r="L21" s="1096">
        <v>3104620.5520000001</v>
      </c>
      <c r="M21" s="1096">
        <v>145236</v>
      </c>
      <c r="N21" s="1096">
        <v>3452425.2459999998</v>
      </c>
      <c r="O21" s="1316" t="s">
        <v>1345</v>
      </c>
      <c r="Q21" s="1330" t="e">
        <f>ROUND(#REF!,0)</f>
        <v>#REF!</v>
      </c>
    </row>
    <row r="22" spans="1:17" ht="31.5" customHeight="1">
      <c r="A22" s="928">
        <v>10</v>
      </c>
      <c r="B22" s="1315" t="s">
        <v>1346</v>
      </c>
      <c r="C22" s="1096">
        <v>143112</v>
      </c>
      <c r="D22" s="1096">
        <v>4141472.4359999998</v>
      </c>
      <c r="E22" s="1096">
        <v>162595</v>
      </c>
      <c r="F22" s="1096">
        <v>4714549.0460000001</v>
      </c>
      <c r="G22" s="1096">
        <v>138966</v>
      </c>
      <c r="H22" s="1096">
        <v>3693611.5520000001</v>
      </c>
      <c r="I22" s="1096">
        <v>145954</v>
      </c>
      <c r="J22" s="1096">
        <v>3894781.2229999998</v>
      </c>
      <c r="K22" s="1096">
        <v>126962</v>
      </c>
      <c r="L22" s="1096">
        <v>3309822.3259999999</v>
      </c>
      <c r="M22" s="1096">
        <v>129059</v>
      </c>
      <c r="N22" s="1096">
        <v>3637097.2019999996</v>
      </c>
      <c r="O22" s="1316" t="s">
        <v>1347</v>
      </c>
      <c r="Q22" s="1330" t="e">
        <f>ROUND(#REF!,0)</f>
        <v>#REF!</v>
      </c>
    </row>
    <row r="23" spans="1:17" ht="31.5" customHeight="1">
      <c r="A23" s="928">
        <v>11</v>
      </c>
      <c r="B23" s="1315" t="s">
        <v>1348</v>
      </c>
      <c r="C23" s="1096">
        <v>50425</v>
      </c>
      <c r="D23" s="1096">
        <v>3183848.716</v>
      </c>
      <c r="E23" s="1096">
        <v>55504</v>
      </c>
      <c r="F23" s="1096">
        <v>3791091.4949999992</v>
      </c>
      <c r="G23" s="1096">
        <v>49762</v>
      </c>
      <c r="H23" s="1096">
        <v>3339859.4570000004</v>
      </c>
      <c r="I23" s="1096">
        <v>48899</v>
      </c>
      <c r="J23" s="1096">
        <v>3545689.7299999995</v>
      </c>
      <c r="K23" s="1096">
        <v>48311</v>
      </c>
      <c r="L23" s="1096">
        <v>3551605.7150000003</v>
      </c>
      <c r="M23" s="1096">
        <v>47631</v>
      </c>
      <c r="N23" s="1096">
        <v>3395961.9789999994</v>
      </c>
      <c r="O23" s="1316" t="s">
        <v>1349</v>
      </c>
      <c r="Q23" s="1330" t="e">
        <f>ROUND(#REF!,0)</f>
        <v>#REF!</v>
      </c>
    </row>
    <row r="24" spans="1:17" ht="30" customHeight="1">
      <c r="A24" s="928">
        <v>12</v>
      </c>
      <c r="B24" s="1315" t="s">
        <v>1350</v>
      </c>
      <c r="C24" s="1096">
        <v>36225</v>
      </c>
      <c r="D24" s="1096">
        <v>2612596.7509999997</v>
      </c>
      <c r="E24" s="1096">
        <v>31229</v>
      </c>
      <c r="F24" s="1096">
        <v>2135008.1130000004</v>
      </c>
      <c r="G24" s="1096">
        <v>36849</v>
      </c>
      <c r="H24" s="1096">
        <v>2803792.7479999997</v>
      </c>
      <c r="I24" s="1096">
        <v>37318</v>
      </c>
      <c r="J24" s="1096">
        <v>2405446.2829999998</v>
      </c>
      <c r="K24" s="1096">
        <v>40039</v>
      </c>
      <c r="L24" s="1096">
        <v>2977085.4850000003</v>
      </c>
      <c r="M24" s="1096">
        <v>41178</v>
      </c>
      <c r="N24" s="1096">
        <v>3449537.03</v>
      </c>
      <c r="O24" s="1316" t="s">
        <v>1351</v>
      </c>
      <c r="Q24" s="1330" t="e">
        <f>ROUND(#REF!,0)</f>
        <v>#REF!</v>
      </c>
    </row>
    <row r="25" spans="1:17" ht="31.5" customHeight="1">
      <c r="A25" s="928">
        <v>13</v>
      </c>
      <c r="B25" s="1315" t="s">
        <v>1352</v>
      </c>
      <c r="C25" s="1096">
        <v>246415</v>
      </c>
      <c r="D25" s="1096">
        <v>6438580.8020000001</v>
      </c>
      <c r="E25" s="1096">
        <v>234542</v>
      </c>
      <c r="F25" s="1096">
        <v>6098958.6839999994</v>
      </c>
      <c r="G25" s="1096">
        <v>240039</v>
      </c>
      <c r="H25" s="1096">
        <v>6414454.3000000007</v>
      </c>
      <c r="I25" s="1096">
        <v>244383</v>
      </c>
      <c r="J25" s="1096">
        <v>6285418.8329999996</v>
      </c>
      <c r="K25" s="1096">
        <v>245456</v>
      </c>
      <c r="L25" s="1096">
        <v>6352279.5839999998</v>
      </c>
      <c r="M25" s="1096">
        <v>261379</v>
      </c>
      <c r="N25" s="1096">
        <v>6780616.3399999999</v>
      </c>
      <c r="O25" s="1316" t="s">
        <v>1353</v>
      </c>
      <c r="Q25" s="1330" t="e">
        <f>ROUND(#REF!,0)</f>
        <v>#REF!</v>
      </c>
    </row>
    <row r="26" spans="1:17" ht="31.5" customHeight="1">
      <c r="A26" s="928">
        <v>14</v>
      </c>
      <c r="B26" s="1315" t="s">
        <v>1354</v>
      </c>
      <c r="C26" s="1096">
        <v>6033</v>
      </c>
      <c r="D26" s="1096">
        <v>446455.2539999999</v>
      </c>
      <c r="E26" s="1096">
        <v>5726</v>
      </c>
      <c r="F26" s="1096">
        <v>363315.55700000003</v>
      </c>
      <c r="G26" s="1096">
        <v>5842</v>
      </c>
      <c r="H26" s="1096">
        <v>454515.04200000002</v>
      </c>
      <c r="I26" s="1096">
        <v>5647</v>
      </c>
      <c r="J26" s="1096">
        <v>422579.70399999997</v>
      </c>
      <c r="K26" s="1096">
        <v>7114</v>
      </c>
      <c r="L26" s="1096">
        <v>380789.78</v>
      </c>
      <c r="M26" s="1096">
        <v>7661</v>
      </c>
      <c r="N26" s="1096">
        <v>425375.70299999998</v>
      </c>
      <c r="O26" s="1316" t="s">
        <v>1355</v>
      </c>
      <c r="Q26" s="1330" t="e">
        <f>ROUND(#REF!,0)</f>
        <v>#REF!</v>
      </c>
    </row>
    <row r="27" spans="1:17" ht="31.5">
      <c r="A27" s="928">
        <v>15</v>
      </c>
      <c r="B27" s="1315" t="s">
        <v>1356</v>
      </c>
      <c r="C27" s="1096">
        <v>341657</v>
      </c>
      <c r="D27" s="1096">
        <v>11426224.578000002</v>
      </c>
      <c r="E27" s="1096">
        <v>313537</v>
      </c>
      <c r="F27" s="1096">
        <v>9962851.2889999989</v>
      </c>
      <c r="G27" s="1096">
        <v>330294</v>
      </c>
      <c r="H27" s="1096">
        <v>10908841.390999999</v>
      </c>
      <c r="I27" s="1096">
        <v>344444</v>
      </c>
      <c r="J27" s="1096">
        <v>10727666.898</v>
      </c>
      <c r="K27" s="1096">
        <v>375610</v>
      </c>
      <c r="L27" s="1096">
        <v>11391860.543</v>
      </c>
      <c r="M27" s="1096">
        <v>391691</v>
      </c>
      <c r="N27" s="1096">
        <v>11676770.539999999</v>
      </c>
      <c r="O27" s="1316" t="s">
        <v>1357</v>
      </c>
      <c r="Q27" s="1330" t="e">
        <f>ROUND(#REF!,0)</f>
        <v>#REF!</v>
      </c>
    </row>
    <row r="28" spans="1:17" ht="31.5" customHeight="1">
      <c r="A28" s="928">
        <v>16</v>
      </c>
      <c r="B28" s="1315" t="s">
        <v>1358</v>
      </c>
      <c r="C28" s="1096">
        <v>18992</v>
      </c>
      <c r="D28" s="1096">
        <v>2785981.8830000004</v>
      </c>
      <c r="E28" s="1096">
        <v>5649</v>
      </c>
      <c r="F28" s="1096">
        <v>1727258.2539999997</v>
      </c>
      <c r="G28" s="1096">
        <v>6507</v>
      </c>
      <c r="H28" s="1096">
        <v>2663567.8340000003</v>
      </c>
      <c r="I28" s="1096">
        <v>6181</v>
      </c>
      <c r="J28" s="1096">
        <v>2334424.3200000003</v>
      </c>
      <c r="K28" s="1096">
        <v>5748</v>
      </c>
      <c r="L28" s="1096">
        <v>1432687.9659999998</v>
      </c>
      <c r="M28" s="1096">
        <v>6309</v>
      </c>
      <c r="N28" s="1096">
        <v>1272478.4249999998</v>
      </c>
      <c r="O28" s="1317" t="s">
        <v>1359</v>
      </c>
      <c r="Q28" s="1330" t="e">
        <f>ROUND(#REF!,0)</f>
        <v>#REF!</v>
      </c>
    </row>
    <row r="29" spans="1:17" ht="31.5" customHeight="1">
      <c r="A29" s="928">
        <v>17</v>
      </c>
      <c r="B29" s="1315" t="s">
        <v>1360</v>
      </c>
      <c r="C29" s="1096">
        <v>89765</v>
      </c>
      <c r="D29" s="1096">
        <v>1686596.432</v>
      </c>
      <c r="E29" s="1096">
        <v>90284</v>
      </c>
      <c r="F29" s="1096">
        <v>1667738.0469999998</v>
      </c>
      <c r="G29" s="1096">
        <v>85523</v>
      </c>
      <c r="H29" s="1096">
        <v>1471514.898</v>
      </c>
      <c r="I29" s="1096">
        <v>88932</v>
      </c>
      <c r="J29" s="1096">
        <v>1559466.3290000001</v>
      </c>
      <c r="K29" s="1096">
        <v>79966</v>
      </c>
      <c r="L29" s="1096">
        <v>1873497.7210000001</v>
      </c>
      <c r="M29" s="1096">
        <v>77110</v>
      </c>
      <c r="N29" s="1096">
        <v>1678372.9079999998</v>
      </c>
      <c r="O29" s="1316" t="s">
        <v>1361</v>
      </c>
      <c r="Q29" s="1330" t="e">
        <f>ROUND(#REF!,0)</f>
        <v>#REF!</v>
      </c>
    </row>
    <row r="30" spans="1:17" ht="46.5" customHeight="1">
      <c r="A30" s="928">
        <v>18</v>
      </c>
      <c r="B30" s="1315" t="s">
        <v>1362</v>
      </c>
      <c r="C30" s="1096">
        <v>22754</v>
      </c>
      <c r="D30" s="1096">
        <v>2056651.0009999997</v>
      </c>
      <c r="E30" s="1096">
        <v>22228</v>
      </c>
      <c r="F30" s="1096">
        <v>1732360.5550000002</v>
      </c>
      <c r="G30" s="1096">
        <v>24269</v>
      </c>
      <c r="H30" s="1096">
        <v>1947001.797</v>
      </c>
      <c r="I30" s="1096">
        <v>24595</v>
      </c>
      <c r="J30" s="1096">
        <v>1877854.6199999999</v>
      </c>
      <c r="K30" s="1096">
        <v>22108</v>
      </c>
      <c r="L30" s="1096">
        <v>1867557.2820000001</v>
      </c>
      <c r="M30" s="1096">
        <v>23309</v>
      </c>
      <c r="N30" s="1096">
        <v>1939982.5319999999</v>
      </c>
      <c r="O30" s="1316" t="s">
        <v>1363</v>
      </c>
      <c r="Q30" s="1330" t="e">
        <f>ROUND(#REF!,0)</f>
        <v>#REF!</v>
      </c>
    </row>
    <row r="31" spans="1:17" ht="31.5" customHeight="1">
      <c r="A31" s="928">
        <v>19</v>
      </c>
      <c r="B31" s="1315" t="s">
        <v>1364</v>
      </c>
      <c r="C31" s="1096">
        <v>10049</v>
      </c>
      <c r="D31" s="1096">
        <v>313426.772</v>
      </c>
      <c r="E31" s="1096">
        <v>8576</v>
      </c>
      <c r="F31" s="1096">
        <v>292418.94899999996</v>
      </c>
      <c r="G31" s="1096">
        <v>8392</v>
      </c>
      <c r="H31" s="1096">
        <v>269957.94099999993</v>
      </c>
      <c r="I31" s="1096">
        <v>10173</v>
      </c>
      <c r="J31" s="1096">
        <v>329467.08600000001</v>
      </c>
      <c r="K31" s="1096">
        <v>16748</v>
      </c>
      <c r="L31" s="1096">
        <v>421687.20400000003</v>
      </c>
      <c r="M31" s="1096">
        <v>12299</v>
      </c>
      <c r="N31" s="1096">
        <v>496699.08200000005</v>
      </c>
      <c r="O31" s="1316" t="s">
        <v>1365</v>
      </c>
      <c r="Q31" s="1330" t="e">
        <f>ROUND(#REF!,0)</f>
        <v>#REF!</v>
      </c>
    </row>
    <row r="32" spans="1:17" ht="31.5" customHeight="1">
      <c r="A32" s="928">
        <v>20</v>
      </c>
      <c r="B32" s="1315" t="s">
        <v>1366</v>
      </c>
      <c r="C32" s="1096">
        <v>214523</v>
      </c>
      <c r="D32" s="1096">
        <v>7347342.780000004</v>
      </c>
      <c r="E32" s="1096">
        <v>240732</v>
      </c>
      <c r="F32" s="1096">
        <v>7500818.546000002</v>
      </c>
      <c r="G32" s="1096">
        <v>209431</v>
      </c>
      <c r="H32" s="1096">
        <v>7986347.137000002</v>
      </c>
      <c r="I32" s="1096">
        <v>219924</v>
      </c>
      <c r="J32" s="1096">
        <v>6745950.4210000001</v>
      </c>
      <c r="K32" s="1096">
        <v>238940</v>
      </c>
      <c r="L32" s="1096">
        <v>10612528.900000002</v>
      </c>
      <c r="M32" s="1096">
        <v>299479</v>
      </c>
      <c r="N32" s="1096">
        <v>21865272.473000005</v>
      </c>
      <c r="O32" s="1316" t="s">
        <v>1367</v>
      </c>
      <c r="Q32" s="1330" t="e">
        <f>ROUND(#REF!,0)</f>
        <v>#REF!</v>
      </c>
    </row>
    <row r="33" spans="1:17" s="1320" customFormat="1" ht="31.5" customHeight="1">
      <c r="A33" s="944"/>
      <c r="B33" s="1318" t="s">
        <v>393</v>
      </c>
      <c r="C33" s="968">
        <v>4552056</v>
      </c>
      <c r="D33" s="968">
        <v>193711312.35299996</v>
      </c>
      <c r="E33" s="968">
        <v>4319458</v>
      </c>
      <c r="F33" s="968">
        <v>180291855.56</v>
      </c>
      <c r="G33" s="968">
        <v>4199791</v>
      </c>
      <c r="H33" s="968">
        <v>198426168</v>
      </c>
      <c r="I33" s="968">
        <v>4332352</v>
      </c>
      <c r="J33" s="968">
        <v>179462523.80699998</v>
      </c>
      <c r="K33" s="968">
        <v>4530387</v>
      </c>
      <c r="L33" s="968">
        <v>178515533.66500002</v>
      </c>
      <c r="M33" s="968">
        <v>4771255</v>
      </c>
      <c r="N33" s="968">
        <v>198972590.96700001</v>
      </c>
      <c r="O33" s="1319" t="s">
        <v>382</v>
      </c>
      <c r="Q33" s="1330" t="e">
        <f>ROUND(#REF!,0)</f>
        <v>#REF!</v>
      </c>
    </row>
    <row r="34" spans="1:17" ht="27.75" customHeight="1">
      <c r="A34" s="1321" t="s">
        <v>1368</v>
      </c>
      <c r="B34" s="1322"/>
      <c r="C34" s="1323"/>
      <c r="D34" s="1323"/>
      <c r="E34" s="1323"/>
      <c r="F34" s="1323"/>
      <c r="G34" s="1323"/>
      <c r="H34" s="1323"/>
      <c r="I34" s="1323"/>
      <c r="J34" s="1323"/>
      <c r="K34" s="1323"/>
      <c r="L34" s="1323"/>
      <c r="M34" s="1323"/>
      <c r="N34" s="1323"/>
      <c r="O34" s="1324" t="s">
        <v>1369</v>
      </c>
    </row>
    <row r="35" spans="1:17" ht="18">
      <c r="A35" s="1321" t="s">
        <v>1370</v>
      </c>
      <c r="B35" s="1322"/>
      <c r="C35" s="1323"/>
      <c r="D35" s="1323"/>
      <c r="E35" s="1323"/>
      <c r="F35" s="1323"/>
      <c r="G35" s="1323"/>
      <c r="H35" s="1323"/>
      <c r="I35" s="1323"/>
      <c r="J35" s="1323"/>
      <c r="K35" s="1323"/>
      <c r="L35" s="1323"/>
      <c r="M35" s="1323"/>
      <c r="N35" s="1323"/>
      <c r="O35" s="1324" t="s">
        <v>1371</v>
      </c>
    </row>
    <row r="36" spans="1:17">
      <c r="A36" s="1306"/>
      <c r="B36" s="1306"/>
      <c r="C36" s="1306"/>
      <c r="D36" s="1306"/>
      <c r="E36" s="1306"/>
      <c r="F36" s="1306"/>
      <c r="G36" s="1306"/>
      <c r="H36" s="1306"/>
      <c r="I36" s="1306"/>
      <c r="J36" s="1306"/>
      <c r="K36" s="1306"/>
      <c r="L36" s="1306"/>
      <c r="M36" s="1306"/>
      <c r="N36" s="1306"/>
    </row>
    <row r="37" spans="1:17">
      <c r="A37" s="1325" t="s">
        <v>1372</v>
      </c>
      <c r="B37" s="1325"/>
      <c r="C37" s="1325"/>
      <c r="D37" s="1325"/>
      <c r="E37" s="1325"/>
      <c r="F37" s="1325"/>
      <c r="G37" s="1325"/>
      <c r="H37" s="1325"/>
      <c r="I37" s="1325"/>
      <c r="J37" s="1325"/>
      <c r="K37" s="1325"/>
      <c r="L37" s="1325"/>
      <c r="M37" s="1325"/>
      <c r="N37" s="1325"/>
      <c r="O37" s="1325"/>
    </row>
    <row r="38" spans="1:17">
      <c r="C38" s="1327"/>
      <c r="D38" s="1327"/>
      <c r="E38" s="1327"/>
      <c r="F38" s="1327"/>
      <c r="G38" s="1327"/>
      <c r="H38" s="1327"/>
      <c r="I38" s="1327"/>
      <c r="J38" s="1327"/>
      <c r="K38" s="1327"/>
      <c r="L38" s="1327"/>
      <c r="M38" s="1327"/>
      <c r="N38" s="1327"/>
    </row>
    <row r="39" spans="1:17">
      <c r="C39" s="1328"/>
      <c r="D39" s="1328"/>
      <c r="E39" s="1328"/>
      <c r="F39" s="1328"/>
      <c r="G39" s="1328"/>
      <c r="H39" s="1328"/>
      <c r="I39" s="1328"/>
      <c r="J39" s="1328"/>
      <c r="K39" s="1328"/>
      <c r="L39" s="1328"/>
      <c r="M39" s="1328"/>
      <c r="N39" s="1328"/>
    </row>
    <row r="41" spans="1:17">
      <c r="C41" s="1329"/>
      <c r="D41" s="1329"/>
      <c r="E41" s="1329"/>
      <c r="F41" s="1329"/>
      <c r="G41" s="1329"/>
      <c r="H41" s="1329"/>
      <c r="I41" s="1329"/>
      <c r="J41" s="1329"/>
      <c r="K41" s="1329"/>
      <c r="L41" s="1329"/>
      <c r="M41" s="1329"/>
      <c r="N41" s="1329"/>
      <c r="O41" s="132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abSelected="1" topLeftCell="A16" zoomScale="70" zoomScaleNormal="70" workbookViewId="0">
      <selection activeCell="N29" sqref="N29"/>
    </sheetView>
  </sheetViews>
  <sheetFormatPr defaultColWidth="18.28515625" defaultRowHeight="15"/>
  <cols>
    <col min="1" max="1" width="6.140625" style="1326" customWidth="1"/>
    <col min="2" max="2" width="45.85546875" style="1307" customWidth="1"/>
    <col min="3" max="3" width="15" style="1307" bestFit="1" customWidth="1"/>
    <col min="4" max="4" width="14.28515625" style="1307" bestFit="1" customWidth="1"/>
    <col min="5" max="5" width="15" style="1307" bestFit="1" customWidth="1"/>
    <col min="6" max="6" width="14.28515625" style="1307" bestFit="1" customWidth="1"/>
    <col min="7" max="7" width="15" style="1307" bestFit="1" customWidth="1"/>
    <col min="8" max="8" width="14.28515625" style="1307" bestFit="1" customWidth="1"/>
    <col min="9" max="9" width="15" style="1307" bestFit="1" customWidth="1"/>
    <col min="10" max="10" width="14.28515625" style="1307" bestFit="1" customWidth="1"/>
    <col min="11" max="11" width="15" style="1307" bestFit="1" customWidth="1"/>
    <col min="12" max="12" width="14.28515625" style="1307" bestFit="1" customWidth="1"/>
    <col min="13" max="13" width="15" style="1307" bestFit="1" customWidth="1"/>
    <col min="14" max="14" width="14.28515625" style="1307" bestFit="1" customWidth="1"/>
    <col min="15" max="15" width="46.7109375" style="1307" customWidth="1"/>
    <col min="16" max="16384" width="18.28515625" style="1307"/>
  </cols>
  <sheetData>
    <row r="1" spans="1:15" ht="18" customHeight="1">
      <c r="A1" s="950" t="s">
        <v>1727</v>
      </c>
      <c r="B1" s="949"/>
      <c r="C1" s="949"/>
      <c r="D1" s="949"/>
      <c r="E1" s="949"/>
      <c r="F1" s="949"/>
      <c r="G1" s="949"/>
      <c r="H1" s="949"/>
      <c r="I1" s="949"/>
      <c r="J1" s="949"/>
      <c r="K1" s="949"/>
      <c r="L1" s="949"/>
      <c r="M1" s="949"/>
      <c r="N1" s="949"/>
      <c r="O1" s="949"/>
    </row>
    <row r="2" spans="1:15" ht="18" customHeight="1">
      <c r="A2" s="950" t="s">
        <v>1373</v>
      </c>
      <c r="B2" s="1308"/>
      <c r="C2" s="1308"/>
      <c r="D2" s="1308"/>
      <c r="E2" s="1308"/>
      <c r="F2" s="1308"/>
      <c r="G2" s="1308"/>
      <c r="H2" s="1308"/>
      <c r="I2" s="1308"/>
      <c r="J2" s="1308"/>
      <c r="K2" s="1308"/>
      <c r="L2" s="1308"/>
      <c r="M2" s="1308"/>
      <c r="N2" s="1308"/>
      <c r="O2" s="1308"/>
    </row>
    <row r="3" spans="1:15" ht="18">
      <c r="A3" s="950" t="s">
        <v>1374</v>
      </c>
      <c r="B3" s="949"/>
      <c r="C3" s="949"/>
      <c r="D3" s="949"/>
      <c r="E3" s="949"/>
      <c r="F3" s="949"/>
      <c r="G3" s="949"/>
      <c r="H3" s="949"/>
      <c r="I3" s="949"/>
      <c r="J3" s="949"/>
      <c r="K3" s="949"/>
      <c r="L3" s="949"/>
      <c r="M3" s="949"/>
      <c r="N3" s="949"/>
      <c r="O3" s="949"/>
    </row>
    <row r="4" spans="1:15" ht="4.5" customHeight="1">
      <c r="A4" s="949"/>
      <c r="B4" s="949"/>
      <c r="C4" s="1309"/>
      <c r="D4" s="1309"/>
      <c r="E4" s="1309"/>
      <c r="F4" s="1309"/>
      <c r="G4" s="1309"/>
      <c r="H4" s="1309"/>
      <c r="I4" s="1309"/>
      <c r="J4" s="1309"/>
      <c r="K4" s="1309"/>
      <c r="L4" s="1309"/>
      <c r="M4" s="1309"/>
      <c r="N4" s="1309"/>
      <c r="O4" s="949"/>
    </row>
    <row r="5" spans="1:15" ht="15.75" hidden="1" customHeight="1">
      <c r="A5" s="949"/>
      <c r="B5" s="949"/>
      <c r="C5" s="1309"/>
      <c r="D5" s="1309"/>
      <c r="E5" s="1309"/>
      <c r="F5" s="1309"/>
      <c r="G5" s="1309"/>
      <c r="H5" s="1309"/>
      <c r="I5" s="1309"/>
      <c r="J5" s="1309"/>
      <c r="K5" s="1309"/>
      <c r="L5" s="1309"/>
      <c r="M5" s="1309"/>
      <c r="N5" s="1309"/>
      <c r="O5" s="949"/>
    </row>
    <row r="6" spans="1:15" ht="15.75" hidden="1" customHeight="1">
      <c r="A6" s="949"/>
      <c r="B6" s="949"/>
      <c r="C6" s="1309"/>
      <c r="D6" s="1309"/>
      <c r="E6" s="1309"/>
      <c r="F6" s="1309"/>
      <c r="G6" s="1309"/>
      <c r="H6" s="1309"/>
      <c r="I6" s="1309"/>
      <c r="J6" s="1309"/>
      <c r="K6" s="1309"/>
      <c r="L6" s="1309"/>
      <c r="M6" s="1309"/>
      <c r="N6" s="1309"/>
      <c r="O6" s="949"/>
    </row>
    <row r="7" spans="1:15" ht="15.75" hidden="1" customHeight="1">
      <c r="A7" s="949"/>
      <c r="B7" s="949"/>
      <c r="C7" s="1309"/>
      <c r="D7" s="1309"/>
      <c r="E7" s="1309"/>
      <c r="F7" s="1309"/>
      <c r="G7" s="1309"/>
      <c r="H7" s="1309"/>
      <c r="I7" s="1309"/>
      <c r="J7" s="1309"/>
      <c r="K7" s="1309"/>
      <c r="L7" s="1309"/>
      <c r="M7" s="1309"/>
      <c r="N7" s="1309"/>
      <c r="O7" s="949"/>
    </row>
    <row r="8" spans="1:15">
      <c r="A8" s="830" t="s">
        <v>1327</v>
      </c>
      <c r="D8" s="830"/>
      <c r="F8" s="830"/>
      <c r="H8" s="830"/>
      <c r="J8" s="830"/>
      <c r="L8" s="830"/>
      <c r="N8" s="830"/>
      <c r="O8" s="830" t="s">
        <v>1328</v>
      </c>
    </row>
    <row r="9" spans="1:15" s="1311" customFormat="1" ht="20.25" customHeight="1">
      <c r="A9" s="1977"/>
      <c r="B9" s="1977" t="s">
        <v>916</v>
      </c>
      <c r="C9" s="1310">
        <v>2025</v>
      </c>
      <c r="D9" s="1310"/>
      <c r="E9" s="1310"/>
      <c r="F9" s="1310"/>
      <c r="G9" s="1310"/>
      <c r="H9" s="1310"/>
      <c r="I9" s="1310"/>
      <c r="J9" s="1310"/>
      <c r="K9" s="1310"/>
      <c r="L9" s="1310"/>
      <c r="M9" s="1310"/>
      <c r="N9" s="1310"/>
      <c r="O9" s="1977" t="s">
        <v>917</v>
      </c>
    </row>
    <row r="10" spans="1:15" s="1311" customFormat="1" ht="20.25" customHeight="1">
      <c r="A10" s="2001"/>
      <c r="B10" s="2001"/>
      <c r="C10" s="2002" t="s">
        <v>419</v>
      </c>
      <c r="D10" s="2003"/>
      <c r="E10" s="2002" t="s">
        <v>919</v>
      </c>
      <c r="F10" s="2003"/>
      <c r="G10" s="2002" t="s">
        <v>920</v>
      </c>
      <c r="H10" s="2003"/>
      <c r="I10" s="2002" t="s">
        <v>921</v>
      </c>
      <c r="J10" s="2003"/>
      <c r="K10" s="2002" t="s">
        <v>922</v>
      </c>
      <c r="L10" s="2003"/>
      <c r="M10" s="2002" t="s">
        <v>923</v>
      </c>
      <c r="N10" s="2003"/>
      <c r="O10" s="2001"/>
    </row>
    <row r="11" spans="1:15" s="1311" customFormat="1" ht="15.75">
      <c r="A11" s="2001"/>
      <c r="B11" s="2001"/>
      <c r="C11" s="921" t="s">
        <v>1311</v>
      </c>
      <c r="D11" s="921" t="s">
        <v>1280</v>
      </c>
      <c r="E11" s="921" t="s">
        <v>1311</v>
      </c>
      <c r="F11" s="921" t="s">
        <v>1280</v>
      </c>
      <c r="G11" s="921" t="s">
        <v>1311</v>
      </c>
      <c r="H11" s="921" t="s">
        <v>1280</v>
      </c>
      <c r="I11" s="921" t="s">
        <v>1311</v>
      </c>
      <c r="J11" s="921" t="s">
        <v>1280</v>
      </c>
      <c r="K11" s="921" t="s">
        <v>1311</v>
      </c>
      <c r="L11" s="921" t="s">
        <v>1280</v>
      </c>
      <c r="M11" s="921" t="s">
        <v>1311</v>
      </c>
      <c r="N11" s="921" t="s">
        <v>1280</v>
      </c>
      <c r="O11" s="2001"/>
    </row>
    <row r="12" spans="1:15" s="1312" customFormat="1" ht="15.75">
      <c r="A12" s="1990"/>
      <c r="B12" s="1990"/>
      <c r="C12" s="947" t="s">
        <v>1329</v>
      </c>
      <c r="D12" s="947" t="s">
        <v>1282</v>
      </c>
      <c r="E12" s="947" t="s">
        <v>1329</v>
      </c>
      <c r="F12" s="947" t="s">
        <v>1282</v>
      </c>
      <c r="G12" s="947" t="s">
        <v>1329</v>
      </c>
      <c r="H12" s="947" t="s">
        <v>1282</v>
      </c>
      <c r="I12" s="947" t="s">
        <v>1329</v>
      </c>
      <c r="J12" s="947" t="s">
        <v>1282</v>
      </c>
      <c r="K12" s="947" t="s">
        <v>1329</v>
      </c>
      <c r="L12" s="947" t="s">
        <v>1282</v>
      </c>
      <c r="M12" s="947" t="s">
        <v>1329</v>
      </c>
      <c r="N12" s="947" t="s">
        <v>1282</v>
      </c>
      <c r="O12" s="1990"/>
    </row>
    <row r="13" spans="1:15" ht="31.5" customHeight="1">
      <c r="A13" s="928">
        <v>1</v>
      </c>
      <c r="B13" s="1313" t="s">
        <v>957</v>
      </c>
      <c r="C13" s="1096">
        <v>3201</v>
      </c>
      <c r="D13" s="1096">
        <v>922880.696</v>
      </c>
      <c r="E13" s="1096">
        <v>2177</v>
      </c>
      <c r="F13" s="1096">
        <v>651232.93700000003</v>
      </c>
      <c r="G13" s="1096">
        <v>1978</v>
      </c>
      <c r="H13" s="1096">
        <v>561652.96299999999</v>
      </c>
      <c r="I13" s="1096">
        <v>1967</v>
      </c>
      <c r="J13" s="1096">
        <v>1007640.441</v>
      </c>
      <c r="K13" s="1096">
        <v>3665</v>
      </c>
      <c r="L13" s="1096">
        <v>1184989.281</v>
      </c>
      <c r="M13" s="1096">
        <v>3714</v>
      </c>
      <c r="N13" s="1096">
        <v>978081.14599999995</v>
      </c>
      <c r="O13" s="1314" t="s">
        <v>958</v>
      </c>
    </row>
    <row r="14" spans="1:15" ht="43.5" customHeight="1">
      <c r="A14" s="928">
        <v>2</v>
      </c>
      <c r="B14" s="1315" t="s">
        <v>1330</v>
      </c>
      <c r="C14" s="1096">
        <v>85240</v>
      </c>
      <c r="D14" s="1096">
        <v>8532047.3880000003</v>
      </c>
      <c r="E14" s="1096">
        <v>75266</v>
      </c>
      <c r="F14" s="1096">
        <v>8113459.2509000022</v>
      </c>
      <c r="G14" s="1096">
        <v>73523</v>
      </c>
      <c r="H14" s="1096">
        <v>6653089.7880000006</v>
      </c>
      <c r="I14" s="1096">
        <v>89135</v>
      </c>
      <c r="J14" s="1096">
        <v>8799693.8790000007</v>
      </c>
      <c r="K14" s="1096">
        <v>74560</v>
      </c>
      <c r="L14" s="1096">
        <v>7144669.574</v>
      </c>
      <c r="M14" s="1096">
        <v>78281</v>
      </c>
      <c r="N14" s="1096">
        <v>7820792.1800000025</v>
      </c>
      <c r="O14" s="1316" t="s">
        <v>1331</v>
      </c>
    </row>
    <row r="15" spans="1:15" ht="31.5" customHeight="1">
      <c r="A15" s="928">
        <v>3</v>
      </c>
      <c r="B15" s="1315" t="s">
        <v>1332</v>
      </c>
      <c r="C15" s="1096">
        <v>712549</v>
      </c>
      <c r="D15" s="1096">
        <v>8048598.8319999995</v>
      </c>
      <c r="E15" s="1096">
        <v>727403</v>
      </c>
      <c r="F15" s="1096">
        <v>8316127.3650000002</v>
      </c>
      <c r="G15" s="1096">
        <v>702231</v>
      </c>
      <c r="H15" s="1096">
        <v>7776909.4760000007</v>
      </c>
      <c r="I15" s="1096">
        <v>803287</v>
      </c>
      <c r="J15" s="1096">
        <v>9315493.4910000004</v>
      </c>
      <c r="K15" s="1096">
        <v>755630</v>
      </c>
      <c r="L15" s="1096">
        <v>8530912.5769999996</v>
      </c>
      <c r="M15" s="1096">
        <v>814746</v>
      </c>
      <c r="N15" s="1096">
        <v>8979542.7239999995</v>
      </c>
      <c r="O15" s="1316" t="s">
        <v>1333</v>
      </c>
    </row>
    <row r="16" spans="1:15" ht="31.5" customHeight="1">
      <c r="A16" s="928">
        <v>4</v>
      </c>
      <c r="B16" s="1315" t="s">
        <v>1334</v>
      </c>
      <c r="C16" s="1096">
        <v>31254</v>
      </c>
      <c r="D16" s="1096">
        <v>1000339.0160000002</v>
      </c>
      <c r="E16" s="1096">
        <v>29899</v>
      </c>
      <c r="F16" s="1096">
        <v>842762.12600000005</v>
      </c>
      <c r="G16" s="1096">
        <v>28607</v>
      </c>
      <c r="H16" s="1096">
        <v>880878.478</v>
      </c>
      <c r="I16" s="1096">
        <v>32275</v>
      </c>
      <c r="J16" s="1096">
        <v>961247.90599999996</v>
      </c>
      <c r="K16" s="1096">
        <v>29683</v>
      </c>
      <c r="L16" s="1096">
        <v>893018.8949999999</v>
      </c>
      <c r="M16" s="1096">
        <v>32466</v>
      </c>
      <c r="N16" s="1096">
        <v>982127.505</v>
      </c>
      <c r="O16" s="1316" t="s">
        <v>1335</v>
      </c>
    </row>
    <row r="17" spans="1:15" ht="31.5" customHeight="1">
      <c r="A17" s="928">
        <v>5</v>
      </c>
      <c r="B17" s="1315" t="s">
        <v>1336</v>
      </c>
      <c r="C17" s="1096">
        <v>56413</v>
      </c>
      <c r="D17" s="1096">
        <v>1616246.6849999998</v>
      </c>
      <c r="E17" s="1096">
        <v>43899</v>
      </c>
      <c r="F17" s="1096">
        <v>1409965.9780000001</v>
      </c>
      <c r="G17" s="1096">
        <v>42319</v>
      </c>
      <c r="H17" s="1096">
        <v>1702613.8589999999</v>
      </c>
      <c r="I17" s="1096">
        <v>38984</v>
      </c>
      <c r="J17" s="1096">
        <v>1589321.0080000001</v>
      </c>
      <c r="K17" s="1096">
        <v>43353</v>
      </c>
      <c r="L17" s="1096">
        <v>1933756.4410000001</v>
      </c>
      <c r="M17" s="1096">
        <v>48408</v>
      </c>
      <c r="N17" s="1096">
        <v>1617738.442</v>
      </c>
      <c r="O17" s="1316" t="s">
        <v>1337</v>
      </c>
    </row>
    <row r="18" spans="1:15" ht="47.25">
      <c r="A18" s="928">
        <v>6</v>
      </c>
      <c r="B18" s="1315" t="s">
        <v>1338</v>
      </c>
      <c r="C18" s="1096">
        <v>13853</v>
      </c>
      <c r="D18" s="1096">
        <v>391629.011</v>
      </c>
      <c r="E18" s="1096">
        <v>12958</v>
      </c>
      <c r="F18" s="1096">
        <v>340244.87200000003</v>
      </c>
      <c r="G18" s="1096">
        <v>12634</v>
      </c>
      <c r="H18" s="1096">
        <v>340151.29700000002</v>
      </c>
      <c r="I18" s="1096">
        <v>13897</v>
      </c>
      <c r="J18" s="1096">
        <v>413204.62599999999</v>
      </c>
      <c r="K18" s="1096">
        <v>10197</v>
      </c>
      <c r="L18" s="1096">
        <v>336261.29399999994</v>
      </c>
      <c r="M18" s="1096">
        <v>12420</v>
      </c>
      <c r="N18" s="1096">
        <v>349148.98900000006</v>
      </c>
      <c r="O18" s="1317" t="s">
        <v>1339</v>
      </c>
    </row>
    <row r="19" spans="1:15" ht="31.5" customHeight="1">
      <c r="A19" s="928">
        <v>7</v>
      </c>
      <c r="B19" s="1315" t="s">
        <v>1340</v>
      </c>
      <c r="C19" s="1096">
        <v>177800</v>
      </c>
      <c r="D19" s="1096">
        <v>1826338.169</v>
      </c>
      <c r="E19" s="1096">
        <v>171744</v>
      </c>
      <c r="F19" s="1096">
        <v>1864436.9480000001</v>
      </c>
      <c r="G19" s="1096">
        <v>170341</v>
      </c>
      <c r="H19" s="1096">
        <v>1766006.0029999998</v>
      </c>
      <c r="I19" s="1096">
        <v>257387</v>
      </c>
      <c r="J19" s="1096">
        <v>2614566.8739999998</v>
      </c>
      <c r="K19" s="1096">
        <v>249365</v>
      </c>
      <c r="L19" s="1096">
        <v>2612687.2750000004</v>
      </c>
      <c r="M19" s="1096">
        <v>281663</v>
      </c>
      <c r="N19" s="1096">
        <v>2959458.0180000002</v>
      </c>
      <c r="O19" s="1316" t="s">
        <v>1341</v>
      </c>
    </row>
    <row r="20" spans="1:15" ht="31.5" customHeight="1">
      <c r="A20" s="928">
        <v>8</v>
      </c>
      <c r="B20" s="1315" t="s">
        <v>1342</v>
      </c>
      <c r="C20" s="1096">
        <v>5601</v>
      </c>
      <c r="D20" s="1096">
        <v>3643750.875</v>
      </c>
      <c r="E20" s="1096">
        <v>5032</v>
      </c>
      <c r="F20" s="1096">
        <v>3094946.7919999999</v>
      </c>
      <c r="G20" s="1096">
        <v>4815</v>
      </c>
      <c r="H20" s="1096">
        <v>2804814.7</v>
      </c>
      <c r="I20" s="1096">
        <v>7031</v>
      </c>
      <c r="J20" s="1096">
        <v>4361090.9890000001</v>
      </c>
      <c r="K20" s="1096">
        <v>5559</v>
      </c>
      <c r="L20" s="1096">
        <v>4007397.5510000004</v>
      </c>
      <c r="M20" s="1096">
        <v>5642</v>
      </c>
      <c r="N20" s="1096">
        <v>4396180.227</v>
      </c>
      <c r="O20" s="1316" t="s">
        <v>1343</v>
      </c>
    </row>
    <row r="21" spans="1:15" ht="31.5" customHeight="1">
      <c r="A21" s="928">
        <v>9</v>
      </c>
      <c r="B21" s="1315" t="s">
        <v>1344</v>
      </c>
      <c r="C21" s="1096">
        <v>77843</v>
      </c>
      <c r="D21" s="1096">
        <v>2427586.3289999999</v>
      </c>
      <c r="E21" s="1096">
        <v>67266</v>
      </c>
      <c r="F21" s="1096">
        <v>1963381.416</v>
      </c>
      <c r="G21" s="1096">
        <v>58544</v>
      </c>
      <c r="H21" s="1096">
        <v>1701127.196</v>
      </c>
      <c r="I21" s="1096">
        <v>74303</v>
      </c>
      <c r="J21" s="1096">
        <v>1972220.003</v>
      </c>
      <c r="K21" s="1096">
        <v>58543</v>
      </c>
      <c r="L21" s="1096">
        <v>1865331.2019999998</v>
      </c>
      <c r="M21" s="1096">
        <v>65090</v>
      </c>
      <c r="N21" s="1096">
        <v>2110183.5959999999</v>
      </c>
      <c r="O21" s="1316" t="s">
        <v>1345</v>
      </c>
    </row>
    <row r="22" spans="1:15" ht="31.5" customHeight="1">
      <c r="A22" s="928">
        <v>10</v>
      </c>
      <c r="B22" s="1315" t="s">
        <v>1346</v>
      </c>
      <c r="C22" s="1096">
        <v>75276</v>
      </c>
      <c r="D22" s="1096">
        <v>3924580.9949999992</v>
      </c>
      <c r="E22" s="1096">
        <v>78933</v>
      </c>
      <c r="F22" s="1096">
        <v>3778363.7350000003</v>
      </c>
      <c r="G22" s="1096">
        <v>74723</v>
      </c>
      <c r="H22" s="1096">
        <v>3168797.983</v>
      </c>
      <c r="I22" s="1096">
        <v>98244</v>
      </c>
      <c r="J22" s="1096">
        <v>3945456.6299999994</v>
      </c>
      <c r="K22" s="1096">
        <v>63998</v>
      </c>
      <c r="L22" s="1096">
        <v>3148394.2850000001</v>
      </c>
      <c r="M22" s="1096">
        <v>75844</v>
      </c>
      <c r="N22" s="1096">
        <v>4037875.6539999996</v>
      </c>
      <c r="O22" s="1316" t="s">
        <v>1347</v>
      </c>
    </row>
    <row r="23" spans="1:15" ht="31.5" customHeight="1">
      <c r="A23" s="928">
        <v>11</v>
      </c>
      <c r="B23" s="1315" t="s">
        <v>1348</v>
      </c>
      <c r="C23" s="1096">
        <v>10608</v>
      </c>
      <c r="D23" s="1096">
        <v>423719.41699999996</v>
      </c>
      <c r="E23" s="1096">
        <v>12140</v>
      </c>
      <c r="F23" s="1096">
        <v>478574.35000000009</v>
      </c>
      <c r="G23" s="1096">
        <v>11323</v>
      </c>
      <c r="H23" s="1096">
        <v>461590.06</v>
      </c>
      <c r="I23" s="1096">
        <v>13633</v>
      </c>
      <c r="J23" s="1096">
        <v>507305.19099999993</v>
      </c>
      <c r="K23" s="1096">
        <v>10497</v>
      </c>
      <c r="L23" s="1096">
        <v>510701.39099999995</v>
      </c>
      <c r="M23" s="1096">
        <v>10728</v>
      </c>
      <c r="N23" s="1096">
        <v>483449.88</v>
      </c>
      <c r="O23" s="1316" t="s">
        <v>1349</v>
      </c>
    </row>
    <row r="24" spans="1:15" ht="30" customHeight="1">
      <c r="A24" s="928">
        <v>12</v>
      </c>
      <c r="B24" s="1315" t="s">
        <v>1350</v>
      </c>
      <c r="C24" s="1096">
        <v>137163</v>
      </c>
      <c r="D24" s="1096">
        <v>537501.6</v>
      </c>
      <c r="E24" s="1096">
        <v>123417</v>
      </c>
      <c r="F24" s="1096">
        <v>484031.70600000001</v>
      </c>
      <c r="G24" s="1096">
        <v>124819</v>
      </c>
      <c r="H24" s="1096">
        <v>534591.28</v>
      </c>
      <c r="I24" s="1096">
        <v>133190</v>
      </c>
      <c r="J24" s="1096">
        <v>586270.55700000003</v>
      </c>
      <c r="K24" s="1096">
        <v>103411</v>
      </c>
      <c r="L24" s="1096">
        <v>534609.33900000004</v>
      </c>
      <c r="M24" s="1096">
        <v>111359</v>
      </c>
      <c r="N24" s="1096">
        <v>548302.03300000005</v>
      </c>
      <c r="O24" s="1316" t="s">
        <v>1351</v>
      </c>
    </row>
    <row r="25" spans="1:15" ht="31.5" customHeight="1">
      <c r="A25" s="928">
        <v>13</v>
      </c>
      <c r="B25" s="1315" t="s">
        <v>1352</v>
      </c>
      <c r="C25" s="1096">
        <v>39264</v>
      </c>
      <c r="D25" s="1096">
        <v>476208.527</v>
      </c>
      <c r="E25" s="1096">
        <v>37364</v>
      </c>
      <c r="F25" s="1096">
        <v>464220.27200000006</v>
      </c>
      <c r="G25" s="1096">
        <v>41145</v>
      </c>
      <c r="H25" s="1096">
        <v>501944.10099999991</v>
      </c>
      <c r="I25" s="1096">
        <v>55669</v>
      </c>
      <c r="J25" s="1096">
        <v>591877.41799999995</v>
      </c>
      <c r="K25" s="1096">
        <v>50172</v>
      </c>
      <c r="L25" s="1096">
        <v>553784.91599999997</v>
      </c>
      <c r="M25" s="1096">
        <v>54072</v>
      </c>
      <c r="N25" s="1096">
        <v>612895.5830000001</v>
      </c>
      <c r="O25" s="1316" t="s">
        <v>1353</v>
      </c>
    </row>
    <row r="26" spans="1:15" ht="31.5" customHeight="1">
      <c r="A26" s="928">
        <v>14</v>
      </c>
      <c r="B26" s="1315" t="s">
        <v>1354</v>
      </c>
      <c r="C26" s="1096">
        <v>9447</v>
      </c>
      <c r="D26" s="1096">
        <v>148689.48699999999</v>
      </c>
      <c r="E26" s="1096">
        <v>7074</v>
      </c>
      <c r="F26" s="1096">
        <v>126998.13000000002</v>
      </c>
      <c r="G26" s="1096">
        <v>6569</v>
      </c>
      <c r="H26" s="1096">
        <v>130299.80399999999</v>
      </c>
      <c r="I26" s="1096">
        <v>7379</v>
      </c>
      <c r="J26" s="1096">
        <v>150852.37299999999</v>
      </c>
      <c r="K26" s="1096">
        <v>8826</v>
      </c>
      <c r="L26" s="1096">
        <v>128245.19700000001</v>
      </c>
      <c r="M26" s="1096">
        <v>9710</v>
      </c>
      <c r="N26" s="1096">
        <v>155030.29800000001</v>
      </c>
      <c r="O26" s="1316" t="s">
        <v>1355</v>
      </c>
    </row>
    <row r="27" spans="1:15" ht="31.5">
      <c r="A27" s="928">
        <v>15</v>
      </c>
      <c r="B27" s="1315" t="s">
        <v>1356</v>
      </c>
      <c r="C27" s="1096">
        <v>85339</v>
      </c>
      <c r="D27" s="1096">
        <v>1835572.3059999999</v>
      </c>
      <c r="E27" s="1096">
        <v>81469</v>
      </c>
      <c r="F27" s="1096">
        <v>1577185.179</v>
      </c>
      <c r="G27" s="1096">
        <v>80580</v>
      </c>
      <c r="H27" s="1096">
        <v>1518817.003</v>
      </c>
      <c r="I27" s="1096">
        <v>92366</v>
      </c>
      <c r="J27" s="1096">
        <v>1730704.5819999999</v>
      </c>
      <c r="K27" s="1096">
        <v>81089</v>
      </c>
      <c r="L27" s="1096">
        <v>1739153.635</v>
      </c>
      <c r="M27" s="1096">
        <v>88102</v>
      </c>
      <c r="N27" s="1096">
        <v>1799033.6240000001</v>
      </c>
      <c r="O27" s="1316" t="s">
        <v>1357</v>
      </c>
    </row>
    <row r="28" spans="1:15" ht="31.5" customHeight="1">
      <c r="A28" s="928">
        <v>16</v>
      </c>
      <c r="B28" s="1315" t="s">
        <v>1358</v>
      </c>
      <c r="C28" s="1096">
        <v>7243</v>
      </c>
      <c r="D28" s="1096">
        <v>616950.3110000001</v>
      </c>
      <c r="E28" s="1096">
        <v>2481</v>
      </c>
      <c r="F28" s="1096">
        <v>448222.85700000002</v>
      </c>
      <c r="G28" s="1096">
        <v>2226</v>
      </c>
      <c r="H28" s="1096">
        <v>721242.38900000008</v>
      </c>
      <c r="I28" s="1096">
        <v>2364</v>
      </c>
      <c r="J28" s="1096">
        <v>486600.12099999998</v>
      </c>
      <c r="K28" s="1096">
        <v>2257</v>
      </c>
      <c r="L28" s="1096">
        <v>327136.77500000008</v>
      </c>
      <c r="M28" s="1096">
        <v>2715</v>
      </c>
      <c r="N28" s="1096">
        <v>386417.90400000004</v>
      </c>
      <c r="O28" s="1317" t="s">
        <v>1359</v>
      </c>
    </row>
    <row r="29" spans="1:15" ht="31.5" customHeight="1">
      <c r="A29" s="928">
        <v>17</v>
      </c>
      <c r="B29" s="1315" t="s">
        <v>1360</v>
      </c>
      <c r="C29" s="1096">
        <v>47350</v>
      </c>
      <c r="D29" s="1096">
        <v>838201.78000000014</v>
      </c>
      <c r="E29" s="1096">
        <v>43364</v>
      </c>
      <c r="F29" s="1096">
        <v>777172.55200000003</v>
      </c>
      <c r="G29" s="1096">
        <v>40397</v>
      </c>
      <c r="H29" s="1096">
        <v>713284.66300000006</v>
      </c>
      <c r="I29" s="1096">
        <v>47940</v>
      </c>
      <c r="J29" s="1096">
        <v>897875.70799999998</v>
      </c>
      <c r="K29" s="1096">
        <v>31792</v>
      </c>
      <c r="L29" s="1096">
        <v>734213.88500000013</v>
      </c>
      <c r="M29" s="1096">
        <v>35163</v>
      </c>
      <c r="N29" s="1096">
        <v>802114.85100000002</v>
      </c>
      <c r="O29" s="1316" t="s">
        <v>1361</v>
      </c>
    </row>
    <row r="30" spans="1:15" ht="46.5" customHeight="1">
      <c r="A30" s="928">
        <v>18</v>
      </c>
      <c r="B30" s="1315" t="s">
        <v>1362</v>
      </c>
      <c r="C30" s="1096">
        <v>6161</v>
      </c>
      <c r="D30" s="1096">
        <v>459148.66499999998</v>
      </c>
      <c r="E30" s="1096">
        <v>6035</v>
      </c>
      <c r="F30" s="1096">
        <v>389495.201</v>
      </c>
      <c r="G30" s="1096">
        <v>6318</v>
      </c>
      <c r="H30" s="1096">
        <v>448235.67699999997</v>
      </c>
      <c r="I30" s="1096">
        <v>8274</v>
      </c>
      <c r="J30" s="1096">
        <v>550931.46100000001</v>
      </c>
      <c r="K30" s="1096">
        <v>6720</v>
      </c>
      <c r="L30" s="1096">
        <v>484018.74699999997</v>
      </c>
      <c r="M30" s="1096">
        <v>7039</v>
      </c>
      <c r="N30" s="1096">
        <v>469258.40499999997</v>
      </c>
      <c r="O30" s="1316" t="s">
        <v>1363</v>
      </c>
    </row>
    <row r="31" spans="1:15" ht="31.5" customHeight="1">
      <c r="A31" s="928">
        <v>19</v>
      </c>
      <c r="B31" s="1315" t="s">
        <v>1364</v>
      </c>
      <c r="C31" s="1096">
        <v>2891</v>
      </c>
      <c r="D31" s="1096">
        <v>78144.006000000008</v>
      </c>
      <c r="E31" s="1096">
        <v>2860</v>
      </c>
      <c r="F31" s="1096">
        <v>77371.642999999996</v>
      </c>
      <c r="G31" s="1096">
        <v>2412</v>
      </c>
      <c r="H31" s="1096">
        <v>70138.565000000002</v>
      </c>
      <c r="I31" s="1096">
        <v>3057</v>
      </c>
      <c r="J31" s="1096">
        <v>80340.968999999997</v>
      </c>
      <c r="K31" s="1096">
        <v>2966</v>
      </c>
      <c r="L31" s="1096">
        <v>81529.552000000011</v>
      </c>
      <c r="M31" s="1096">
        <v>3347</v>
      </c>
      <c r="N31" s="1096">
        <v>140908.315</v>
      </c>
      <c r="O31" s="1316" t="s">
        <v>1365</v>
      </c>
    </row>
    <row r="32" spans="1:15" ht="31.5" customHeight="1">
      <c r="A32" s="928">
        <v>20</v>
      </c>
      <c r="B32" s="1315" t="s">
        <v>1366</v>
      </c>
      <c r="C32" s="1096">
        <v>125952</v>
      </c>
      <c r="D32" s="1096">
        <v>4537199.6199999992</v>
      </c>
      <c r="E32" s="1096">
        <v>137443</v>
      </c>
      <c r="F32" s="1096">
        <v>4443480.129999999</v>
      </c>
      <c r="G32" s="1096">
        <v>132567</v>
      </c>
      <c r="H32" s="1096">
        <v>4347739.9510000013</v>
      </c>
      <c r="I32" s="1096">
        <v>160899</v>
      </c>
      <c r="J32" s="1096">
        <v>5081795.6629999997</v>
      </c>
      <c r="K32" s="1096">
        <v>130320</v>
      </c>
      <c r="L32" s="1096">
        <v>4743278.4450000012</v>
      </c>
      <c r="M32" s="1096">
        <v>143105</v>
      </c>
      <c r="N32" s="1096">
        <v>5041008.37</v>
      </c>
      <c r="O32" s="1316" t="s">
        <v>1367</v>
      </c>
    </row>
    <row r="33" spans="1:15" s="1320" customFormat="1" ht="31.5" customHeight="1">
      <c r="A33" s="944"/>
      <c r="B33" s="1318" t="s">
        <v>393</v>
      </c>
      <c r="C33" s="968">
        <v>1710448</v>
      </c>
      <c r="D33" s="968">
        <v>42285333.814999998</v>
      </c>
      <c r="E33" s="968">
        <v>1668224</v>
      </c>
      <c r="F33" s="968">
        <v>39641673.439899996</v>
      </c>
      <c r="G33" s="968">
        <v>1618071</v>
      </c>
      <c r="H33" s="968">
        <v>36803925.236000001</v>
      </c>
      <c r="I33" s="968">
        <v>1941281</v>
      </c>
      <c r="J33" s="968">
        <v>45644489.989999995</v>
      </c>
      <c r="K33" s="968">
        <v>1722603</v>
      </c>
      <c r="L33" s="968">
        <v>41494089.957000002</v>
      </c>
      <c r="M33" s="968">
        <v>1883614</v>
      </c>
      <c r="N33" s="968">
        <v>44669547.544000007</v>
      </c>
      <c r="O33" s="1319" t="s">
        <v>382</v>
      </c>
    </row>
    <row r="34" spans="1:15" ht="27.75" customHeight="1">
      <c r="A34" s="1321" t="s">
        <v>1368</v>
      </c>
      <c r="B34" s="1322"/>
      <c r="C34" s="1323"/>
      <c r="D34" s="1323"/>
      <c r="E34" s="1323"/>
      <c r="F34" s="1323"/>
      <c r="G34" s="1323"/>
      <c r="H34" s="1323"/>
      <c r="I34" s="1323"/>
      <c r="J34" s="1323"/>
      <c r="K34" s="1323"/>
      <c r="L34" s="1323"/>
      <c r="M34" s="1323"/>
      <c r="N34" s="1323"/>
      <c r="O34" s="1324" t="s">
        <v>1369</v>
      </c>
    </row>
    <row r="35" spans="1:15" ht="18">
      <c r="A35" s="1321" t="s">
        <v>1370</v>
      </c>
      <c r="B35" s="1322"/>
      <c r="C35" s="1323"/>
      <c r="D35" s="1323"/>
      <c r="E35" s="1323"/>
      <c r="F35" s="1323"/>
      <c r="G35" s="1323"/>
      <c r="H35" s="1323"/>
      <c r="I35" s="1323"/>
      <c r="J35" s="1323"/>
      <c r="K35" s="1323"/>
      <c r="L35" s="1323"/>
      <c r="M35" s="1323"/>
      <c r="N35" s="1323"/>
      <c r="O35" s="1324" t="s">
        <v>1371</v>
      </c>
    </row>
    <row r="36" spans="1:15" ht="18">
      <c r="A36" s="1321"/>
      <c r="B36" s="1322"/>
      <c r="C36" s="1323"/>
      <c r="D36" s="1323"/>
      <c r="E36" s="1323"/>
      <c r="F36" s="1323"/>
      <c r="G36" s="1323"/>
      <c r="H36" s="1323"/>
      <c r="I36" s="1323"/>
      <c r="J36" s="1323"/>
      <c r="K36" s="1323"/>
      <c r="L36" s="1323"/>
      <c r="M36" s="1323"/>
      <c r="N36" s="1323"/>
      <c r="O36" s="1324"/>
    </row>
    <row r="37" spans="1:15">
      <c r="A37" s="1325" t="s">
        <v>1375</v>
      </c>
      <c r="B37" s="1325"/>
      <c r="C37" s="1325"/>
      <c r="D37" s="1325"/>
      <c r="E37" s="1325"/>
      <c r="F37" s="1325"/>
      <c r="G37" s="1325"/>
      <c r="H37" s="1325"/>
      <c r="I37" s="1325"/>
      <c r="J37" s="1325"/>
      <c r="K37" s="1325"/>
      <c r="L37" s="1325"/>
      <c r="M37" s="1325"/>
      <c r="N37" s="1325"/>
      <c r="O37" s="1325"/>
    </row>
    <row r="38" spans="1:15">
      <c r="C38" s="1327"/>
      <c r="D38" s="1327"/>
      <c r="E38" s="1327"/>
      <c r="F38" s="1327"/>
      <c r="G38" s="1327"/>
      <c r="H38" s="1327"/>
      <c r="I38" s="1327"/>
      <c r="J38" s="1327"/>
      <c r="K38" s="1327"/>
      <c r="L38" s="1327"/>
      <c r="M38" s="1327"/>
      <c r="N38" s="1327"/>
    </row>
    <row r="39" spans="1:15">
      <c r="C39" s="1328"/>
      <c r="D39" s="1328"/>
      <c r="E39" s="1328"/>
      <c r="F39" s="1328"/>
      <c r="G39" s="1328"/>
      <c r="H39" s="1328"/>
      <c r="I39" s="1328"/>
      <c r="J39" s="1328"/>
      <c r="K39" s="1328"/>
      <c r="L39" s="1328"/>
      <c r="M39" s="1328"/>
      <c r="N39" s="1328"/>
    </row>
    <row r="41" spans="1:15">
      <c r="C41" s="1329"/>
      <c r="D41" s="1329"/>
      <c r="E41" s="1329"/>
      <c r="F41" s="1329"/>
      <c r="G41" s="1329"/>
      <c r="H41" s="1329"/>
      <c r="I41" s="1329"/>
      <c r="J41" s="1329"/>
      <c r="K41" s="1329"/>
      <c r="L41" s="1329"/>
      <c r="M41" s="1329"/>
      <c r="N41" s="1329"/>
      <c r="O41" s="132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tabSelected="1" zoomScale="90" zoomScaleNormal="90" workbookViewId="0">
      <pane ySplit="12" topLeftCell="A22" activePane="bottomLeft" state="frozen"/>
      <selection activeCell="N29" sqref="N29"/>
      <selection pane="bottomLeft" activeCell="N29" sqref="N29"/>
    </sheetView>
  </sheetViews>
  <sheetFormatPr defaultColWidth="7.85546875" defaultRowHeight="12.75"/>
  <cols>
    <col min="1" max="2" width="9.7109375" customWidth="1"/>
    <col min="3" max="11" width="14.7109375" style="25" customWidth="1"/>
    <col min="12" max="12" width="14.7109375" style="156" customWidth="1"/>
    <col min="13" max="16384" width="7.85546875" style="25"/>
  </cols>
  <sheetData>
    <row r="1" spans="1:13" s="23" customFormat="1" ht="18">
      <c r="A1" s="16" t="s">
        <v>1769</v>
      </c>
      <c r="B1" s="4"/>
      <c r="C1" s="4"/>
      <c r="D1" s="4"/>
      <c r="E1" s="4"/>
      <c r="F1" s="4"/>
      <c r="G1" s="4"/>
      <c r="H1" s="4"/>
      <c r="I1" s="4"/>
      <c r="J1" s="4"/>
      <c r="K1" s="4"/>
      <c r="L1" s="1720"/>
    </row>
    <row r="2" spans="1:13" s="23" customFormat="1" ht="18">
      <c r="A2" s="1721" t="s">
        <v>7</v>
      </c>
      <c r="B2" s="4"/>
      <c r="C2" s="4"/>
      <c r="D2" s="4"/>
      <c r="E2" s="4"/>
      <c r="F2" s="4"/>
      <c r="G2" s="4"/>
      <c r="H2" s="4"/>
      <c r="I2" s="4"/>
      <c r="J2" s="4"/>
      <c r="K2" s="4"/>
      <c r="L2" s="1720"/>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369</v>
      </c>
      <c r="L6" s="151" t="s">
        <v>370</v>
      </c>
    </row>
    <row r="7" spans="1:13" s="41" customFormat="1" ht="18" customHeight="1">
      <c r="A7" s="28"/>
      <c r="B7" s="43"/>
      <c r="C7" s="264" t="s">
        <v>425</v>
      </c>
      <c r="D7" s="40"/>
      <c r="E7" s="40"/>
      <c r="F7" s="123"/>
      <c r="G7" s="123"/>
      <c r="H7" s="213"/>
      <c r="I7" s="222"/>
      <c r="J7" s="267" t="s">
        <v>426</v>
      </c>
      <c r="K7" s="303"/>
      <c r="L7" s="214"/>
    </row>
    <row r="8" spans="1:13" s="41" customFormat="1" ht="18" customHeight="1">
      <c r="A8" s="158"/>
      <c r="B8" s="104"/>
      <c r="C8" s="265" t="s">
        <v>427</v>
      </c>
      <c r="D8" s="40"/>
      <c r="E8" s="123"/>
      <c r="F8" s="243"/>
      <c r="G8" s="123"/>
      <c r="H8" s="266" t="s">
        <v>428</v>
      </c>
      <c r="I8" s="95"/>
      <c r="J8" s="72"/>
      <c r="K8" s="79" t="s">
        <v>429</v>
      </c>
      <c r="L8" s="152" t="s">
        <v>426</v>
      </c>
    </row>
    <row r="9" spans="1:13" s="34" customFormat="1" ht="18" customHeight="1">
      <c r="A9" s="24" t="s">
        <v>379</v>
      </c>
      <c r="B9" s="74"/>
      <c r="C9" s="39"/>
      <c r="D9" s="75"/>
      <c r="E9" s="75"/>
      <c r="F9" s="76"/>
      <c r="G9" s="77"/>
      <c r="H9" s="78" t="s">
        <v>430</v>
      </c>
      <c r="I9" s="270" t="s">
        <v>431</v>
      </c>
      <c r="J9" s="271" t="s">
        <v>382</v>
      </c>
      <c r="K9" s="79" t="s">
        <v>432</v>
      </c>
      <c r="L9" s="152" t="s">
        <v>433</v>
      </c>
    </row>
    <row r="10" spans="1:13" s="41" customFormat="1" ht="18" customHeight="1">
      <c r="A10" s="80" t="s">
        <v>387</v>
      </c>
      <c r="B10" s="81"/>
      <c r="C10" s="73" t="s">
        <v>434</v>
      </c>
      <c r="D10" s="79" t="s">
        <v>435</v>
      </c>
      <c r="E10" s="79" t="s">
        <v>436</v>
      </c>
      <c r="F10" s="79" t="s">
        <v>437</v>
      </c>
      <c r="G10" s="638" t="s">
        <v>438</v>
      </c>
      <c r="H10" s="79" t="s">
        <v>439</v>
      </c>
      <c r="I10" s="269" t="s">
        <v>440</v>
      </c>
      <c r="J10" s="268" t="s">
        <v>393</v>
      </c>
      <c r="K10" s="64" t="s">
        <v>6</v>
      </c>
      <c r="L10" s="153" t="s">
        <v>6</v>
      </c>
    </row>
    <row r="11" spans="1:13" s="50" customFormat="1" ht="18" customHeight="1">
      <c r="A11" s="82"/>
      <c r="B11" s="83"/>
      <c r="C11" s="84" t="s">
        <v>441</v>
      </c>
      <c r="D11" s="84" t="s">
        <v>442</v>
      </c>
      <c r="E11" s="84" t="s">
        <v>443</v>
      </c>
      <c r="F11" s="84" t="s">
        <v>444</v>
      </c>
      <c r="G11" s="85" t="s">
        <v>445</v>
      </c>
      <c r="H11" s="86" t="s">
        <v>393</v>
      </c>
      <c r="I11" s="84"/>
      <c r="J11" s="84"/>
      <c r="K11" s="64" t="s">
        <v>446</v>
      </c>
      <c r="L11" s="154" t="s">
        <v>447</v>
      </c>
    </row>
    <row r="12" spans="1:13" s="50" customFormat="1" ht="18" customHeight="1">
      <c r="A12" s="87"/>
      <c r="B12" s="88"/>
      <c r="C12" s="48"/>
      <c r="D12" s="89"/>
      <c r="E12" s="90"/>
      <c r="F12" s="90"/>
      <c r="G12" s="91"/>
      <c r="H12" s="92" t="s">
        <v>448</v>
      </c>
      <c r="I12" s="93"/>
      <c r="J12" s="90"/>
      <c r="K12" s="90" t="s">
        <v>449</v>
      </c>
      <c r="L12" s="155" t="s">
        <v>406</v>
      </c>
    </row>
    <row r="13" spans="1:13" s="306" customFormat="1" ht="20.25" customHeight="1">
      <c r="A13" s="405">
        <v>2015</v>
      </c>
      <c r="B13" s="406"/>
      <c r="C13" s="1722">
        <v>512.4</v>
      </c>
      <c r="D13" s="657">
        <v>66.099999999999994</v>
      </c>
      <c r="E13" s="1723">
        <v>19.600000000000001</v>
      </c>
      <c r="F13" s="1723">
        <v>25.1</v>
      </c>
      <c r="G13" s="1723">
        <v>8.3000000000000007</v>
      </c>
      <c r="H13" s="1645">
        <v>631.5</v>
      </c>
      <c r="I13" s="1723">
        <v>18.600000000000001</v>
      </c>
      <c r="J13" s="1645">
        <v>650.1</v>
      </c>
      <c r="K13" s="657">
        <v>124.93659186170002</v>
      </c>
      <c r="L13" s="1724">
        <v>525.16340813830004</v>
      </c>
      <c r="M13" s="314"/>
    </row>
    <row r="14" spans="1:13" s="408" customFormat="1" ht="14.25" customHeight="1">
      <c r="A14" s="356">
        <v>2016</v>
      </c>
      <c r="B14" s="407"/>
      <c r="C14" s="1725">
        <v>529.29999999999995</v>
      </c>
      <c r="D14" s="1718">
        <v>69.7</v>
      </c>
      <c r="E14" s="1726">
        <v>20.6</v>
      </c>
      <c r="F14" s="1726">
        <v>23.2</v>
      </c>
      <c r="G14" s="1726">
        <v>8</v>
      </c>
      <c r="H14" s="1725">
        <v>650.80000000000007</v>
      </c>
      <c r="I14" s="1726">
        <v>19.8</v>
      </c>
      <c r="J14" s="1725">
        <v>670.6</v>
      </c>
      <c r="K14" s="1718">
        <v>135.30073358308633</v>
      </c>
      <c r="L14" s="1725">
        <v>535.29926641691372</v>
      </c>
      <c r="M14" s="314"/>
    </row>
    <row r="15" spans="1:13" s="408" customFormat="1" ht="14.25" customHeight="1">
      <c r="A15" s="356">
        <v>2017</v>
      </c>
      <c r="B15" s="407"/>
      <c r="C15" s="1725">
        <v>517.6</v>
      </c>
      <c r="D15" s="1718">
        <v>71.099999999999994</v>
      </c>
      <c r="E15" s="1726">
        <v>21.8</v>
      </c>
      <c r="F15" s="1726">
        <v>23.4</v>
      </c>
      <c r="G15" s="1726">
        <v>8.1999999999999993</v>
      </c>
      <c r="H15" s="1725">
        <v>642.1</v>
      </c>
      <c r="I15" s="1726">
        <v>20.6</v>
      </c>
      <c r="J15" s="1725">
        <v>662.7</v>
      </c>
      <c r="K15" s="1718">
        <v>135.87010868949105</v>
      </c>
      <c r="L15" s="1725">
        <v>526.82989131050897</v>
      </c>
      <c r="M15" s="314"/>
    </row>
    <row r="16" spans="1:13" s="321" customFormat="1" ht="14.25" customHeight="1">
      <c r="A16" s="747">
        <v>2018</v>
      </c>
      <c r="B16" s="748"/>
      <c r="C16" s="1142">
        <v>522.29999999999995</v>
      </c>
      <c r="D16" s="1166">
        <v>79.400000000000006</v>
      </c>
      <c r="E16" s="1167">
        <v>24.4</v>
      </c>
      <c r="F16" s="1167">
        <v>24.9</v>
      </c>
      <c r="G16" s="1167">
        <v>9.1999999999999993</v>
      </c>
      <c r="H16" s="1142">
        <v>660.19999999999993</v>
      </c>
      <c r="I16" s="1167">
        <v>21.5</v>
      </c>
      <c r="J16" s="1142">
        <v>681.7</v>
      </c>
      <c r="K16" s="1166">
        <v>153.61401866671198</v>
      </c>
      <c r="L16" s="1168">
        <v>528.08598133328803</v>
      </c>
      <c r="M16" s="762"/>
    </row>
    <row r="17" spans="1:22" s="321" customFormat="1" ht="14.25" customHeight="1">
      <c r="A17" s="747">
        <v>2019</v>
      </c>
      <c r="B17" s="748"/>
      <c r="C17" s="1142">
        <v>521.5</v>
      </c>
      <c r="D17" s="1166">
        <v>81</v>
      </c>
      <c r="E17" s="1167">
        <v>28.2</v>
      </c>
      <c r="F17" s="1167">
        <v>24.9</v>
      </c>
      <c r="G17" s="1167">
        <v>9.1</v>
      </c>
      <c r="H17" s="1142">
        <v>664.7</v>
      </c>
      <c r="I17" s="1167">
        <v>22.4</v>
      </c>
      <c r="J17" s="1142">
        <v>687.1</v>
      </c>
      <c r="K17" s="1166">
        <v>152.01815108439322</v>
      </c>
      <c r="L17" s="1168">
        <v>535.08184891560677</v>
      </c>
      <c r="M17" s="762"/>
    </row>
    <row r="18" spans="1:22" s="321" customFormat="1" ht="14.25" customHeight="1">
      <c r="A18" s="747">
        <v>2020</v>
      </c>
      <c r="B18" s="748"/>
      <c r="C18" s="1142">
        <v>575.9</v>
      </c>
      <c r="D18" s="1166">
        <v>82.1</v>
      </c>
      <c r="E18" s="1167">
        <v>29.8</v>
      </c>
      <c r="F18" s="1167">
        <v>24.5</v>
      </c>
      <c r="G18" s="1167">
        <v>9.8000000000000007</v>
      </c>
      <c r="H18" s="1142">
        <v>722.09999999999991</v>
      </c>
      <c r="I18" s="1167">
        <v>23</v>
      </c>
      <c r="J18" s="1142">
        <v>745.1</v>
      </c>
      <c r="K18" s="1166">
        <v>152.14040643960661</v>
      </c>
      <c r="L18" s="1168">
        <v>592.95959356039339</v>
      </c>
      <c r="M18" s="762"/>
    </row>
    <row r="19" spans="1:22" s="321" customFormat="1" ht="14.25" customHeight="1">
      <c r="A19" s="747">
        <v>2021</v>
      </c>
      <c r="B19" s="748"/>
      <c r="C19" s="1142">
        <v>539.70000000000005</v>
      </c>
      <c r="D19" s="1166">
        <v>76.599999999999994</v>
      </c>
      <c r="E19" s="1167">
        <v>31.4</v>
      </c>
      <c r="F19" s="1167">
        <v>24.6</v>
      </c>
      <c r="G19" s="1167">
        <v>8.9</v>
      </c>
      <c r="H19" s="1142">
        <v>681.2</v>
      </c>
      <c r="I19" s="1167">
        <v>22.8</v>
      </c>
      <c r="J19" s="1142">
        <v>704</v>
      </c>
      <c r="K19" s="1166">
        <v>145.95841701867218</v>
      </c>
      <c r="L19" s="1168">
        <v>558.04158298132779</v>
      </c>
      <c r="M19" s="762"/>
    </row>
    <row r="20" spans="1:22" s="321" customFormat="1" ht="14.25" customHeight="1">
      <c r="A20" s="747">
        <v>2022</v>
      </c>
      <c r="B20" s="748"/>
      <c r="C20" s="1142">
        <v>515.9</v>
      </c>
      <c r="D20" s="1166">
        <v>72.7</v>
      </c>
      <c r="E20" s="1167">
        <v>37.299999999999997</v>
      </c>
      <c r="F20" s="1167">
        <v>25.8</v>
      </c>
      <c r="G20" s="1167">
        <v>9.8000000000000007</v>
      </c>
      <c r="H20" s="1142">
        <v>661.49999999999989</v>
      </c>
      <c r="I20" s="1167">
        <v>22.9</v>
      </c>
      <c r="J20" s="1142">
        <v>684.4</v>
      </c>
      <c r="K20" s="1166">
        <v>177.85355717154039</v>
      </c>
      <c r="L20" s="1168">
        <v>506.54644282845959</v>
      </c>
      <c r="M20" s="762"/>
    </row>
    <row r="21" spans="1:22" s="321" customFormat="1" ht="14.25" customHeight="1">
      <c r="A21" s="747">
        <v>2023</v>
      </c>
      <c r="B21" s="748"/>
      <c r="C21" s="1142">
        <v>502.4</v>
      </c>
      <c r="D21" s="1166">
        <v>69.7</v>
      </c>
      <c r="E21" s="1167">
        <v>35.9</v>
      </c>
      <c r="F21" s="1167">
        <v>26.3</v>
      </c>
      <c r="G21" s="1167">
        <v>10.4</v>
      </c>
      <c r="H21" s="1142">
        <v>644.69999999999993</v>
      </c>
      <c r="I21" s="1167">
        <v>23.1</v>
      </c>
      <c r="J21" s="1142">
        <v>667.8</v>
      </c>
      <c r="K21" s="1166">
        <v>135.90690119702001</v>
      </c>
      <c r="L21" s="1168">
        <v>531.89309880297992</v>
      </c>
      <c r="M21" s="762"/>
    </row>
    <row r="22" spans="1:22" s="321" customFormat="1" ht="14.25" customHeight="1">
      <c r="A22" s="907">
        <v>2024</v>
      </c>
      <c r="B22" s="999"/>
      <c r="C22" s="1058">
        <f t="shared" ref="C22:L22" si="0">C27</f>
        <v>508.5</v>
      </c>
      <c r="D22" s="1087">
        <f t="shared" si="0"/>
        <v>66.7</v>
      </c>
      <c r="E22" s="1088">
        <f t="shared" si="0"/>
        <v>34</v>
      </c>
      <c r="F22" s="1088">
        <f t="shared" si="0"/>
        <v>26.5</v>
      </c>
      <c r="G22" s="1088">
        <f t="shared" si="0"/>
        <v>11.9</v>
      </c>
      <c r="H22" s="1058">
        <f t="shared" si="0"/>
        <v>647.6</v>
      </c>
      <c r="I22" s="1088">
        <f t="shared" si="0"/>
        <v>23.2</v>
      </c>
      <c r="J22" s="1058">
        <f t="shared" si="0"/>
        <v>670.8</v>
      </c>
      <c r="K22" s="1087">
        <f t="shared" si="0"/>
        <v>136.80272008418029</v>
      </c>
      <c r="L22" s="1089">
        <f t="shared" si="0"/>
        <v>533.99727991581972</v>
      </c>
      <c r="M22" s="762"/>
    </row>
    <row r="23" spans="1:22" s="321" customFormat="1" ht="21" customHeight="1">
      <c r="A23" s="747">
        <v>2023</v>
      </c>
      <c r="B23" s="748" t="s">
        <v>238</v>
      </c>
      <c r="C23" s="1142">
        <v>502.4</v>
      </c>
      <c r="D23" s="1166">
        <v>69.7</v>
      </c>
      <c r="E23" s="1167">
        <v>35.9</v>
      </c>
      <c r="F23" s="1167">
        <v>26.3</v>
      </c>
      <c r="G23" s="1167">
        <v>10.4</v>
      </c>
      <c r="H23" s="1142">
        <v>644.69999999999993</v>
      </c>
      <c r="I23" s="1167">
        <v>23.1</v>
      </c>
      <c r="J23" s="1142">
        <v>667.8</v>
      </c>
      <c r="K23" s="1166">
        <v>135.90690119702001</v>
      </c>
      <c r="L23" s="1142">
        <v>531.89309880297992</v>
      </c>
      <c r="M23" s="762"/>
    </row>
    <row r="24" spans="1:22" s="321" customFormat="1" ht="21" customHeight="1">
      <c r="A24" s="747">
        <v>2024</v>
      </c>
      <c r="B24" s="748" t="s">
        <v>239</v>
      </c>
      <c r="C24" s="1142">
        <v>524.6</v>
      </c>
      <c r="D24" s="1166">
        <v>72.7</v>
      </c>
      <c r="E24" s="1167">
        <v>39.5</v>
      </c>
      <c r="F24" s="1167">
        <v>28.6</v>
      </c>
      <c r="G24" s="1167">
        <v>11.5</v>
      </c>
      <c r="H24" s="1142">
        <v>676.90000000000009</v>
      </c>
      <c r="I24" s="1167">
        <v>23.2</v>
      </c>
      <c r="J24" s="1142">
        <v>700.1</v>
      </c>
      <c r="K24" s="1166">
        <v>188.62148606014091</v>
      </c>
      <c r="L24" s="1142">
        <v>511.47851393985911</v>
      </c>
      <c r="M24" s="762"/>
    </row>
    <row r="25" spans="1:22" s="321" customFormat="1" ht="15" customHeight="1">
      <c r="A25" s="747"/>
      <c r="B25" s="748" t="s">
        <v>240</v>
      </c>
      <c r="C25" s="1142">
        <v>515.29999999999995</v>
      </c>
      <c r="D25" s="1166">
        <v>73.2</v>
      </c>
      <c r="E25" s="1167">
        <v>38.9</v>
      </c>
      <c r="F25" s="1167">
        <v>30.9</v>
      </c>
      <c r="G25" s="1167">
        <v>13.5</v>
      </c>
      <c r="H25" s="1142">
        <v>671.8</v>
      </c>
      <c r="I25" s="1167">
        <v>23.2</v>
      </c>
      <c r="J25" s="1142">
        <v>695</v>
      </c>
      <c r="K25" s="1166">
        <v>156.66274595305768</v>
      </c>
      <c r="L25" s="1142">
        <v>538.33725404694235</v>
      </c>
      <c r="M25" s="762"/>
    </row>
    <row r="26" spans="1:22" s="321" customFormat="1" ht="15" customHeight="1">
      <c r="A26" s="747"/>
      <c r="B26" s="748" t="s">
        <v>237</v>
      </c>
      <c r="C26" s="1142">
        <v>506.1</v>
      </c>
      <c r="D26" s="1166">
        <v>67.900000000000006</v>
      </c>
      <c r="E26" s="1167">
        <v>35.1</v>
      </c>
      <c r="F26" s="1167">
        <v>28</v>
      </c>
      <c r="G26" s="1167">
        <v>12.4</v>
      </c>
      <c r="H26" s="1142">
        <v>649.5</v>
      </c>
      <c r="I26" s="1167">
        <v>23.2</v>
      </c>
      <c r="J26" s="1142">
        <v>672.7</v>
      </c>
      <c r="K26" s="1166">
        <v>128.34604386187928</v>
      </c>
      <c r="L26" s="1142">
        <v>544.35395613812079</v>
      </c>
      <c r="M26" s="762"/>
    </row>
    <row r="27" spans="1:22" s="321" customFormat="1" ht="15" customHeight="1">
      <c r="A27" s="747"/>
      <c r="B27" s="748" t="s">
        <v>238</v>
      </c>
      <c r="C27" s="1142">
        <v>508.5</v>
      </c>
      <c r="D27" s="1166">
        <v>66.7</v>
      </c>
      <c r="E27" s="1167">
        <v>34</v>
      </c>
      <c r="F27" s="1167">
        <v>26.5</v>
      </c>
      <c r="G27" s="1167">
        <v>11.9</v>
      </c>
      <c r="H27" s="1142">
        <v>647.6</v>
      </c>
      <c r="I27" s="1167">
        <v>23.2</v>
      </c>
      <c r="J27" s="1142">
        <v>670.8</v>
      </c>
      <c r="K27" s="1166">
        <v>136.80272008418029</v>
      </c>
      <c r="L27" s="1142">
        <v>533.99727991581972</v>
      </c>
      <c r="M27" s="762"/>
    </row>
    <row r="28" spans="1:22" s="321" customFormat="1" ht="21" customHeight="1">
      <c r="A28" s="747">
        <v>2025</v>
      </c>
      <c r="B28" s="748" t="s">
        <v>239</v>
      </c>
      <c r="C28" s="1142">
        <f t="shared" ref="C28:L28" si="1">C36</f>
        <v>529.4</v>
      </c>
      <c r="D28" s="1166">
        <f t="shared" si="1"/>
        <v>70.400000000000006</v>
      </c>
      <c r="E28" s="1167">
        <f t="shared" si="1"/>
        <v>37.1</v>
      </c>
      <c r="F28" s="1167">
        <f t="shared" si="1"/>
        <v>30.4</v>
      </c>
      <c r="G28" s="1167">
        <f t="shared" si="1"/>
        <v>13.8</v>
      </c>
      <c r="H28" s="1142">
        <f t="shared" si="1"/>
        <v>681.09999999999991</v>
      </c>
      <c r="I28" s="1167">
        <f t="shared" si="1"/>
        <v>23.4</v>
      </c>
      <c r="J28" s="1142">
        <f t="shared" si="1"/>
        <v>704.5</v>
      </c>
      <c r="K28" s="1166">
        <f t="shared" si="1"/>
        <v>112.65437204347867</v>
      </c>
      <c r="L28" s="1142">
        <f t="shared" si="1"/>
        <v>591.8456279565213</v>
      </c>
      <c r="M28" s="762"/>
    </row>
    <row r="29" spans="1:22" s="321" customFormat="1" ht="15" customHeight="1">
      <c r="A29" s="747"/>
      <c r="B29" s="748" t="s">
        <v>240</v>
      </c>
      <c r="C29" s="1142">
        <f t="shared" ref="C29:L29" si="2">C39</f>
        <v>530.29999999999995</v>
      </c>
      <c r="D29" s="1166">
        <f t="shared" si="2"/>
        <v>69.8</v>
      </c>
      <c r="E29" s="1167">
        <f t="shared" si="2"/>
        <v>35.9</v>
      </c>
      <c r="F29" s="1167">
        <f t="shared" si="2"/>
        <v>31.7</v>
      </c>
      <c r="G29" s="1167">
        <f t="shared" si="2"/>
        <v>14.8</v>
      </c>
      <c r="H29" s="1142">
        <f t="shared" si="2"/>
        <v>682.49999999999989</v>
      </c>
      <c r="I29" s="1167">
        <f t="shared" si="2"/>
        <v>23.4</v>
      </c>
      <c r="J29" s="1142">
        <f t="shared" si="2"/>
        <v>705.9</v>
      </c>
      <c r="K29" s="1166">
        <f t="shared" si="2"/>
        <v>127.21298189242717</v>
      </c>
      <c r="L29" s="1142">
        <f t="shared" si="2"/>
        <v>578.68701810757284</v>
      </c>
      <c r="M29" s="762"/>
    </row>
    <row r="30" spans="1:22" s="321" customFormat="1" ht="15" customHeight="1">
      <c r="A30" s="907"/>
      <c r="B30" s="999" t="s">
        <v>237</v>
      </c>
      <c r="C30" s="1058">
        <f t="shared" ref="C30:L30" si="3">C42</f>
        <v>515.4</v>
      </c>
      <c r="D30" s="1087">
        <f t="shared" si="3"/>
        <v>65.400000000000006</v>
      </c>
      <c r="E30" s="1088">
        <f t="shared" si="3"/>
        <v>33.700000000000003</v>
      </c>
      <c r="F30" s="1088">
        <f t="shared" si="3"/>
        <v>28.9</v>
      </c>
      <c r="G30" s="1088">
        <f t="shared" si="3"/>
        <v>12.8</v>
      </c>
      <c r="H30" s="1058">
        <f t="shared" si="3"/>
        <v>656.19999999999993</v>
      </c>
      <c r="I30" s="1088">
        <f t="shared" si="3"/>
        <v>23.3</v>
      </c>
      <c r="J30" s="1058">
        <f t="shared" si="3"/>
        <v>679.5</v>
      </c>
      <c r="K30" s="1087">
        <f t="shared" si="3"/>
        <v>220.8016936297899</v>
      </c>
      <c r="L30" s="1058">
        <f t="shared" si="3"/>
        <v>458.6983063702101</v>
      </c>
      <c r="M30" s="762"/>
    </row>
    <row r="31" spans="1:22" s="306" customFormat="1" ht="21" customHeight="1">
      <c r="A31" s="405">
        <v>2024</v>
      </c>
      <c r="B31" s="406" t="s">
        <v>412</v>
      </c>
      <c r="C31" s="1142">
        <v>512.4</v>
      </c>
      <c r="D31" s="1166">
        <v>67.8</v>
      </c>
      <c r="E31" s="1167">
        <v>35.299999999999997</v>
      </c>
      <c r="F31" s="1167">
        <v>27.4</v>
      </c>
      <c r="G31" s="1167">
        <v>12.2</v>
      </c>
      <c r="H31" s="1142">
        <v>655.09999999999991</v>
      </c>
      <c r="I31" s="1167">
        <v>23.2</v>
      </c>
      <c r="J31" s="1142">
        <v>678.3</v>
      </c>
      <c r="K31" s="1166">
        <v>128.57536755232715</v>
      </c>
      <c r="L31" s="1168">
        <v>549.72463244767278</v>
      </c>
      <c r="M31" s="778"/>
      <c r="N31" s="321"/>
      <c r="O31" s="321"/>
      <c r="P31" s="321"/>
      <c r="Q31" s="321"/>
      <c r="R31" s="321"/>
      <c r="S31" s="321"/>
      <c r="T31" s="321"/>
      <c r="U31" s="321"/>
      <c r="V31" s="321"/>
    </row>
    <row r="32" spans="1:22" s="306" customFormat="1" ht="15">
      <c r="A32" s="405"/>
      <c r="B32" s="406" t="s">
        <v>413</v>
      </c>
      <c r="C32" s="1142">
        <v>518.1</v>
      </c>
      <c r="D32" s="1166">
        <v>67.7</v>
      </c>
      <c r="E32" s="1167">
        <v>34.4</v>
      </c>
      <c r="F32" s="1167">
        <v>27</v>
      </c>
      <c r="G32" s="1167">
        <v>11.8</v>
      </c>
      <c r="H32" s="1142">
        <f t="shared" ref="H32" si="4">SUM(C32:G32)</f>
        <v>659</v>
      </c>
      <c r="I32" s="1167">
        <v>23.2</v>
      </c>
      <c r="J32" s="1142">
        <f>'1'!J32</f>
        <v>682.2</v>
      </c>
      <c r="K32" s="1166">
        <f>'14'!C32</f>
        <v>138.1821236248075</v>
      </c>
      <c r="L32" s="1168">
        <f t="shared" ref="L32" si="5">J32-K32</f>
        <v>544.0178763751926</v>
      </c>
      <c r="M32" s="778"/>
      <c r="N32" s="321"/>
      <c r="O32" s="321"/>
      <c r="P32" s="321"/>
      <c r="Q32" s="321"/>
      <c r="R32" s="321"/>
      <c r="S32" s="321"/>
      <c r="T32" s="321"/>
      <c r="U32" s="321"/>
      <c r="V32" s="321"/>
    </row>
    <row r="33" spans="1:22" s="306" customFormat="1" ht="15">
      <c r="A33" s="405"/>
      <c r="B33" s="406" t="s">
        <v>414</v>
      </c>
      <c r="C33" s="1142">
        <v>508.5</v>
      </c>
      <c r="D33" s="1166">
        <v>66.7</v>
      </c>
      <c r="E33" s="1167">
        <v>34</v>
      </c>
      <c r="F33" s="1167">
        <v>26.5</v>
      </c>
      <c r="G33" s="1167">
        <v>11.9</v>
      </c>
      <c r="H33" s="1142">
        <f t="shared" ref="H33" si="6">SUM(C33:G33)</f>
        <v>647.6</v>
      </c>
      <c r="I33" s="1167">
        <v>23.2</v>
      </c>
      <c r="J33" s="1142">
        <f>'1'!J33</f>
        <v>670.8</v>
      </c>
      <c r="K33" s="1166">
        <f>'14'!C33</f>
        <v>136.80272008418029</v>
      </c>
      <c r="L33" s="1168">
        <f t="shared" ref="L33" si="7">J33-K33</f>
        <v>533.99727991581972</v>
      </c>
      <c r="M33" s="778"/>
      <c r="N33" s="321"/>
      <c r="O33" s="321"/>
      <c r="P33" s="321"/>
      <c r="Q33" s="321"/>
      <c r="R33" s="321"/>
      <c r="S33" s="321"/>
      <c r="T33" s="321"/>
      <c r="U33" s="321"/>
      <c r="V33" s="321"/>
    </row>
    <row r="34" spans="1:22" s="306" customFormat="1" ht="21" customHeight="1">
      <c r="A34" s="405">
        <v>2025</v>
      </c>
      <c r="B34" s="406" t="s">
        <v>415</v>
      </c>
      <c r="C34" s="1142">
        <v>512.20000000000005</v>
      </c>
      <c r="D34" s="1166">
        <v>66</v>
      </c>
      <c r="E34" s="1167">
        <v>33.700000000000003</v>
      </c>
      <c r="F34" s="1167">
        <v>26.5</v>
      </c>
      <c r="G34" s="1167">
        <v>11.6</v>
      </c>
      <c r="H34" s="1142">
        <f t="shared" ref="H34" si="8">SUM(C34:G34)</f>
        <v>650.00000000000011</v>
      </c>
      <c r="I34" s="1167">
        <v>23.2</v>
      </c>
      <c r="J34" s="1142">
        <f>'1'!J34</f>
        <v>673.2</v>
      </c>
      <c r="K34" s="1166">
        <f>'14'!C34</f>
        <v>135.31230926818117</v>
      </c>
      <c r="L34" s="1168">
        <f t="shared" ref="L34" si="9">J34-K34</f>
        <v>537.88769073181891</v>
      </c>
      <c r="M34" s="778"/>
      <c r="N34" s="321"/>
      <c r="O34" s="321"/>
      <c r="P34" s="321"/>
      <c r="Q34" s="321"/>
      <c r="R34" s="321"/>
      <c r="S34" s="321"/>
      <c r="T34" s="321"/>
      <c r="U34" s="321"/>
      <c r="V34" s="321"/>
    </row>
    <row r="35" spans="1:22" s="306" customFormat="1" ht="15" customHeight="1">
      <c r="A35" s="405"/>
      <c r="B35" s="406" t="s">
        <v>416</v>
      </c>
      <c r="C35" s="1142">
        <v>516.1</v>
      </c>
      <c r="D35" s="1166">
        <v>66.599999999999994</v>
      </c>
      <c r="E35" s="1167">
        <v>34.700000000000003</v>
      </c>
      <c r="F35" s="1167">
        <v>26.6</v>
      </c>
      <c r="G35" s="1167">
        <v>11.4</v>
      </c>
      <c r="H35" s="1142">
        <f t="shared" ref="H35" si="10">SUM(C35:G35)</f>
        <v>655.40000000000009</v>
      </c>
      <c r="I35" s="1167">
        <v>23.3</v>
      </c>
      <c r="J35" s="1142">
        <f>'1'!J35</f>
        <v>678.7</v>
      </c>
      <c r="K35" s="1166">
        <f>'14'!C35</f>
        <v>118.26035760203857</v>
      </c>
      <c r="L35" s="1168">
        <f t="shared" ref="L35" si="11">J35-K35</f>
        <v>560.43964239796151</v>
      </c>
      <c r="M35" s="778"/>
      <c r="N35" s="321"/>
      <c r="O35" s="321"/>
      <c r="P35" s="321"/>
      <c r="Q35" s="321"/>
      <c r="R35" s="321"/>
      <c r="S35" s="321"/>
      <c r="T35" s="321"/>
      <c r="U35" s="321"/>
      <c r="V35" s="321"/>
    </row>
    <row r="36" spans="1:22" s="306" customFormat="1" ht="15" customHeight="1">
      <c r="A36" s="405"/>
      <c r="B36" s="406" t="s">
        <v>417</v>
      </c>
      <c r="C36" s="1142">
        <v>529.4</v>
      </c>
      <c r="D36" s="1166">
        <v>70.400000000000006</v>
      </c>
      <c r="E36" s="1167">
        <v>37.1</v>
      </c>
      <c r="F36" s="1167">
        <v>30.4</v>
      </c>
      <c r="G36" s="1167">
        <v>13.8</v>
      </c>
      <c r="H36" s="1142">
        <f t="shared" ref="H36" si="12">SUM(C36:G36)</f>
        <v>681.09999999999991</v>
      </c>
      <c r="I36" s="1167">
        <v>23.4</v>
      </c>
      <c r="J36" s="1142">
        <f>'1'!J36</f>
        <v>704.5</v>
      </c>
      <c r="K36" s="1166">
        <f>'14'!C36</f>
        <v>112.65437204347867</v>
      </c>
      <c r="L36" s="1168">
        <f t="shared" ref="L36" si="13">J36-K36</f>
        <v>591.8456279565213</v>
      </c>
      <c r="M36" s="778"/>
      <c r="N36" s="321"/>
      <c r="O36" s="321"/>
      <c r="P36" s="321"/>
      <c r="Q36" s="321"/>
      <c r="R36" s="321"/>
      <c r="S36" s="321"/>
      <c r="T36" s="321"/>
      <c r="U36" s="321"/>
      <c r="V36" s="321"/>
    </row>
    <row r="37" spans="1:22" s="306" customFormat="1" ht="15" customHeight="1">
      <c r="A37" s="405"/>
      <c r="B37" s="406" t="s">
        <v>418</v>
      </c>
      <c r="C37" s="1142">
        <v>526.1</v>
      </c>
      <c r="D37" s="1166">
        <v>68.5</v>
      </c>
      <c r="E37" s="1167">
        <v>35.299999999999997</v>
      </c>
      <c r="F37" s="1167">
        <v>29.9</v>
      </c>
      <c r="G37" s="1167">
        <v>13.6</v>
      </c>
      <c r="H37" s="1142">
        <f t="shared" ref="H37" si="14">SUM(C37:G37)</f>
        <v>673.4</v>
      </c>
      <c r="I37" s="1167">
        <v>23.3</v>
      </c>
      <c r="J37" s="1142">
        <f>'1'!J37</f>
        <v>696.7</v>
      </c>
      <c r="K37" s="1166">
        <f>'14'!C37</f>
        <v>123.66029960269142</v>
      </c>
      <c r="L37" s="1168">
        <f t="shared" ref="L37" si="15">J37-K37</f>
        <v>573.03970039730859</v>
      </c>
      <c r="M37" s="778"/>
      <c r="N37" s="321"/>
      <c r="O37" s="321"/>
      <c r="P37" s="321"/>
      <c r="Q37" s="321"/>
      <c r="R37" s="321"/>
      <c r="S37" s="321"/>
      <c r="T37" s="321"/>
      <c r="U37" s="321"/>
      <c r="V37" s="321"/>
    </row>
    <row r="38" spans="1:22" s="306" customFormat="1" ht="15" customHeight="1">
      <c r="A38" s="405"/>
      <c r="B38" s="406" t="s">
        <v>419</v>
      </c>
      <c r="C38" s="1142">
        <v>525.70000000000005</v>
      </c>
      <c r="D38" s="1166">
        <v>70.2</v>
      </c>
      <c r="E38" s="1167">
        <v>37.299999999999997</v>
      </c>
      <c r="F38" s="1167">
        <v>32.1</v>
      </c>
      <c r="G38" s="1167">
        <v>14.8</v>
      </c>
      <c r="H38" s="1142">
        <f t="shared" ref="H38" si="16">SUM(C38:G38)</f>
        <v>680.1</v>
      </c>
      <c r="I38" s="1167">
        <v>23.4</v>
      </c>
      <c r="J38" s="1142">
        <f>'1'!J38</f>
        <v>703.5</v>
      </c>
      <c r="K38" s="1166">
        <f>'14'!C38</f>
        <v>125.46282625978367</v>
      </c>
      <c r="L38" s="1168">
        <f t="shared" ref="L38" si="17">J38-K38</f>
        <v>578.0371737402163</v>
      </c>
      <c r="M38" s="778"/>
      <c r="N38" s="321"/>
      <c r="O38" s="321"/>
      <c r="P38" s="321"/>
      <c r="Q38" s="321"/>
      <c r="R38" s="321"/>
      <c r="S38" s="321"/>
      <c r="T38" s="321"/>
      <c r="U38" s="321"/>
      <c r="V38" s="321"/>
    </row>
    <row r="39" spans="1:22" s="306" customFormat="1" ht="15" customHeight="1">
      <c r="A39" s="405"/>
      <c r="B39" s="406" t="s">
        <v>420</v>
      </c>
      <c r="C39" s="1142">
        <v>530.29999999999995</v>
      </c>
      <c r="D39" s="1166">
        <v>69.8</v>
      </c>
      <c r="E39" s="1167">
        <v>35.9</v>
      </c>
      <c r="F39" s="1167">
        <v>31.7</v>
      </c>
      <c r="G39" s="1167">
        <v>14.8</v>
      </c>
      <c r="H39" s="1142">
        <f t="shared" ref="H39" si="18">SUM(C39:G39)</f>
        <v>682.49999999999989</v>
      </c>
      <c r="I39" s="1167">
        <v>23.4</v>
      </c>
      <c r="J39" s="1142">
        <f>'1'!J39</f>
        <v>705.9</v>
      </c>
      <c r="K39" s="1166">
        <f>'14'!C39</f>
        <v>127.21298189242717</v>
      </c>
      <c r="L39" s="1168">
        <f t="shared" ref="L39" si="19">J39-K39</f>
        <v>578.68701810757284</v>
      </c>
      <c r="M39" s="778"/>
      <c r="N39" s="321"/>
      <c r="O39" s="321"/>
      <c r="P39" s="321"/>
      <c r="Q39" s="321"/>
      <c r="R39" s="321"/>
      <c r="S39" s="321"/>
      <c r="T39" s="321"/>
      <c r="U39" s="321"/>
      <c r="V39" s="321"/>
    </row>
    <row r="40" spans="1:22" s="306" customFormat="1" ht="15" customHeight="1">
      <c r="A40" s="405"/>
      <c r="B40" s="406" t="s">
        <v>421</v>
      </c>
      <c r="C40" s="1142">
        <v>523</v>
      </c>
      <c r="D40" s="1166">
        <v>66.7</v>
      </c>
      <c r="E40" s="1167">
        <v>34.200000000000003</v>
      </c>
      <c r="F40" s="1167">
        <v>30.6</v>
      </c>
      <c r="G40" s="1167">
        <v>14</v>
      </c>
      <c r="H40" s="1142">
        <f t="shared" ref="H40" si="20">SUM(C40:G40)</f>
        <v>668.50000000000011</v>
      </c>
      <c r="I40" s="1167">
        <v>23.4</v>
      </c>
      <c r="J40" s="1142">
        <f>'1'!J40</f>
        <v>691.9</v>
      </c>
      <c r="K40" s="1166">
        <f>'14'!C40</f>
        <v>184.00138336706829</v>
      </c>
      <c r="L40" s="1168">
        <f t="shared" ref="L40" si="21">J40-K40</f>
        <v>507.89861663293169</v>
      </c>
      <c r="M40" s="778"/>
      <c r="N40" s="321"/>
      <c r="O40" s="321"/>
      <c r="P40" s="321"/>
      <c r="Q40" s="321"/>
      <c r="R40" s="321"/>
      <c r="S40" s="321"/>
      <c r="T40" s="321"/>
      <c r="U40" s="321"/>
      <c r="V40" s="321"/>
    </row>
    <row r="41" spans="1:22" s="306" customFormat="1" ht="15" customHeight="1">
      <c r="A41" s="405"/>
      <c r="B41" s="406" t="s">
        <v>422</v>
      </c>
      <c r="C41" s="1142">
        <v>515.4</v>
      </c>
      <c r="D41" s="1166">
        <v>64.900000000000006</v>
      </c>
      <c r="E41" s="1167">
        <v>33.6</v>
      </c>
      <c r="F41" s="1167">
        <v>29.8</v>
      </c>
      <c r="G41" s="1167">
        <v>13.4</v>
      </c>
      <c r="H41" s="1142">
        <f t="shared" ref="H41" si="22">SUM(C41:G41)</f>
        <v>657.09999999999991</v>
      </c>
      <c r="I41" s="1167">
        <v>23.4</v>
      </c>
      <c r="J41" s="1142">
        <f>'1'!J41</f>
        <v>680.5</v>
      </c>
      <c r="K41" s="1166">
        <f>'14'!C41</f>
        <v>172.37130876621356</v>
      </c>
      <c r="L41" s="1168">
        <f t="shared" ref="L41" si="23">J41-K41</f>
        <v>508.12869123378641</v>
      </c>
      <c r="M41" s="778"/>
      <c r="N41" s="321"/>
      <c r="O41" s="321"/>
      <c r="P41" s="321"/>
      <c r="Q41" s="321"/>
      <c r="R41" s="321"/>
      <c r="S41" s="321"/>
      <c r="T41" s="321"/>
      <c r="U41" s="321"/>
      <c r="V41" s="321"/>
    </row>
    <row r="42" spans="1:22" s="306" customFormat="1" ht="15" customHeight="1">
      <c r="A42" s="405"/>
      <c r="B42" s="406" t="s">
        <v>423</v>
      </c>
      <c r="C42" s="1142">
        <v>515.4</v>
      </c>
      <c r="D42" s="1166">
        <v>65.400000000000006</v>
      </c>
      <c r="E42" s="1167">
        <v>33.700000000000003</v>
      </c>
      <c r="F42" s="1167">
        <v>28.9</v>
      </c>
      <c r="G42" s="1167">
        <v>12.8</v>
      </c>
      <c r="H42" s="1142">
        <f t="shared" ref="H42" si="24">SUM(C42:G42)</f>
        <v>656.19999999999993</v>
      </c>
      <c r="I42" s="1167">
        <v>23.3</v>
      </c>
      <c r="J42" s="1142">
        <f>'1'!J42</f>
        <v>679.5</v>
      </c>
      <c r="K42" s="1166">
        <f>'14'!C42</f>
        <v>220.8016936297899</v>
      </c>
      <c r="L42" s="1168">
        <f t="shared" ref="L42" si="25">J42-K42</f>
        <v>458.6983063702101</v>
      </c>
      <c r="M42" s="778"/>
      <c r="N42" s="321"/>
      <c r="O42" s="321"/>
      <c r="P42" s="321"/>
      <c r="Q42" s="321"/>
      <c r="R42" s="321"/>
      <c r="S42" s="321"/>
      <c r="T42" s="321"/>
      <c r="U42" s="321"/>
      <c r="V42" s="321"/>
    </row>
    <row r="43" spans="1:22" s="306" customFormat="1" ht="15" customHeight="1">
      <c r="A43" s="405"/>
      <c r="B43" s="406" t="s">
        <v>412</v>
      </c>
      <c r="C43" s="1142">
        <v>511.7</v>
      </c>
      <c r="D43" s="1166">
        <v>64.599999999999994</v>
      </c>
      <c r="E43" s="1167">
        <v>33.5</v>
      </c>
      <c r="F43" s="1167">
        <v>28.2</v>
      </c>
      <c r="G43" s="1167">
        <v>12.3</v>
      </c>
      <c r="H43" s="1142">
        <f t="shared" ref="H43" si="26">SUM(C43:G43)</f>
        <v>650.29999999999995</v>
      </c>
      <c r="I43" s="1167">
        <v>23.4</v>
      </c>
      <c r="J43" s="1142">
        <f>'1'!J43</f>
        <v>673.7</v>
      </c>
      <c r="K43" s="1166">
        <f>'14'!C43</f>
        <v>176.86320916793096</v>
      </c>
      <c r="L43" s="1168">
        <f t="shared" ref="L43" si="27">J43-K43</f>
        <v>496.83679083206908</v>
      </c>
      <c r="M43" s="778"/>
      <c r="N43" s="321"/>
      <c r="O43" s="321"/>
      <c r="P43" s="321"/>
      <c r="Q43" s="321"/>
      <c r="R43" s="321"/>
      <c r="S43" s="321"/>
      <c r="T43" s="321"/>
      <c r="U43" s="321"/>
      <c r="V43" s="321"/>
    </row>
    <row r="44" spans="1:22" ht="19.5" customHeight="1">
      <c r="A44" s="221" t="s">
        <v>450</v>
      </c>
      <c r="B44" s="220"/>
      <c r="C44" s="220"/>
      <c r="D44" s="220"/>
      <c r="E44" s="220"/>
      <c r="F44" s="220"/>
      <c r="G44" s="220"/>
      <c r="H44" s="220"/>
      <c r="I44" s="220"/>
      <c r="J44" s="220"/>
      <c r="K44" s="220"/>
      <c r="L44" s="235" t="s">
        <v>451</v>
      </c>
    </row>
    <row r="45" spans="1:22" ht="14.25">
      <c r="A45" s="25"/>
      <c r="B45" s="25"/>
      <c r="C45" s="1727"/>
      <c r="H45" s="1727"/>
      <c r="I45" s="146"/>
      <c r="J45" s="304"/>
      <c r="K45"/>
      <c r="L45" s="157"/>
    </row>
    <row r="46" spans="1:22" ht="14.25">
      <c r="A46" s="25"/>
      <c r="B46" s="25"/>
      <c r="C46" s="1727"/>
      <c r="H46" s="1727"/>
      <c r="K46"/>
      <c r="L46" s="1728"/>
    </row>
    <row r="47" spans="1:22" ht="14.25">
      <c r="A47" s="318" t="s">
        <v>452</v>
      </c>
      <c r="B47" s="1262"/>
      <c r="C47" s="1729"/>
      <c r="D47" s="3"/>
      <c r="E47" s="3"/>
      <c r="F47" s="3"/>
      <c r="G47" s="3"/>
      <c r="H47" s="1729"/>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abSelected="1" topLeftCell="A14" zoomScale="70" zoomScaleNormal="70" workbookViewId="0">
      <selection activeCell="N29" sqref="N29"/>
    </sheetView>
  </sheetViews>
  <sheetFormatPr defaultColWidth="18.28515625" defaultRowHeight="15"/>
  <cols>
    <col min="1" max="1" width="6.140625" style="1326" customWidth="1"/>
    <col min="2" max="2" width="45.85546875" style="1307" customWidth="1"/>
    <col min="3" max="3" width="15" style="1307" bestFit="1" customWidth="1"/>
    <col min="4" max="4" width="15.42578125" style="1307" bestFit="1" customWidth="1"/>
    <col min="5" max="5" width="15" style="1307" bestFit="1" customWidth="1"/>
    <col min="6" max="6" width="15.42578125" style="1307" bestFit="1" customWidth="1"/>
    <col min="7" max="7" width="15" style="1307" bestFit="1" customWidth="1"/>
    <col min="8" max="8" width="15.42578125" style="1307" bestFit="1" customWidth="1"/>
    <col min="9" max="9" width="15" style="1307" bestFit="1" customWidth="1"/>
    <col min="10" max="10" width="15.42578125" style="1307" bestFit="1" customWidth="1"/>
    <col min="11" max="11" width="15" style="1307" bestFit="1" customWidth="1"/>
    <col min="12" max="12" width="15.42578125" style="1307" bestFit="1" customWidth="1"/>
    <col min="13" max="13" width="15" style="1307" bestFit="1" customWidth="1"/>
    <col min="14" max="14" width="15.42578125" style="1307" bestFit="1" customWidth="1"/>
    <col min="15" max="15" width="46.7109375" style="1307" customWidth="1"/>
    <col min="16" max="16384" width="18.28515625" style="1307"/>
  </cols>
  <sheetData>
    <row r="1" spans="1:15" ht="18" customHeight="1">
      <c r="A1" s="950" t="s">
        <v>1726</v>
      </c>
      <c r="B1" s="949"/>
      <c r="C1" s="949"/>
      <c r="D1" s="949"/>
      <c r="E1" s="949"/>
      <c r="F1" s="949"/>
      <c r="G1" s="949"/>
      <c r="H1" s="949"/>
      <c r="I1" s="949"/>
      <c r="J1" s="949"/>
      <c r="K1" s="949"/>
      <c r="L1" s="949"/>
      <c r="M1" s="949"/>
      <c r="N1" s="949"/>
      <c r="O1" s="949"/>
    </row>
    <row r="2" spans="1:15" ht="18" customHeight="1">
      <c r="A2" s="950" t="s">
        <v>1376</v>
      </c>
      <c r="B2" s="1308"/>
      <c r="C2" s="1308"/>
      <c r="D2" s="1308"/>
      <c r="E2" s="1308"/>
      <c r="F2" s="1308"/>
      <c r="G2" s="1308"/>
      <c r="H2" s="1308"/>
      <c r="I2" s="1308"/>
      <c r="J2" s="1308"/>
      <c r="K2" s="1308"/>
      <c r="L2" s="1308"/>
      <c r="M2" s="1308"/>
      <c r="N2" s="1308"/>
      <c r="O2" s="1308"/>
    </row>
    <row r="3" spans="1:15" ht="18">
      <c r="A3" s="950" t="s">
        <v>1377</v>
      </c>
      <c r="B3" s="949"/>
      <c r="C3" s="949"/>
      <c r="D3" s="949"/>
      <c r="E3" s="949"/>
      <c r="F3" s="949"/>
      <c r="G3" s="949"/>
      <c r="H3" s="949"/>
      <c r="I3" s="949"/>
      <c r="J3" s="949"/>
      <c r="K3" s="949"/>
      <c r="L3" s="949"/>
      <c r="M3" s="949"/>
      <c r="N3" s="949"/>
      <c r="O3" s="949"/>
    </row>
    <row r="4" spans="1:15" ht="4.5" customHeight="1">
      <c r="A4" s="949"/>
      <c r="B4" s="949"/>
      <c r="C4" s="1309"/>
      <c r="D4" s="1309"/>
      <c r="E4" s="1309"/>
      <c r="F4" s="1309"/>
      <c r="G4" s="1309"/>
      <c r="H4" s="1309"/>
      <c r="I4" s="1309"/>
      <c r="J4" s="1309"/>
      <c r="K4" s="1309"/>
      <c r="L4" s="1309"/>
      <c r="M4" s="1309"/>
      <c r="N4" s="1309"/>
      <c r="O4" s="949"/>
    </row>
    <row r="5" spans="1:15" ht="15.75" hidden="1" customHeight="1">
      <c r="A5" s="949"/>
      <c r="B5" s="949"/>
      <c r="C5" s="1309"/>
      <c r="D5" s="1309"/>
      <c r="E5" s="1309"/>
      <c r="F5" s="1309"/>
      <c r="G5" s="1309"/>
      <c r="H5" s="1309"/>
      <c r="I5" s="1309"/>
      <c r="J5" s="1309"/>
      <c r="K5" s="1309"/>
      <c r="L5" s="1309"/>
      <c r="M5" s="1309"/>
      <c r="N5" s="1309"/>
      <c r="O5" s="949"/>
    </row>
    <row r="6" spans="1:15" ht="15.75" hidden="1" customHeight="1">
      <c r="A6" s="949"/>
      <c r="B6" s="949"/>
      <c r="C6" s="1309"/>
      <c r="D6" s="1309"/>
      <c r="E6" s="1309"/>
      <c r="F6" s="1309"/>
      <c r="G6" s="1309"/>
      <c r="H6" s="1309"/>
      <c r="I6" s="1309"/>
      <c r="J6" s="1309"/>
      <c r="K6" s="1309"/>
      <c r="L6" s="1309"/>
      <c r="M6" s="1309"/>
      <c r="N6" s="1309"/>
      <c r="O6" s="949"/>
    </row>
    <row r="7" spans="1:15" ht="15.75" hidden="1" customHeight="1">
      <c r="A7" s="949"/>
      <c r="B7" s="949"/>
      <c r="C7" s="1309"/>
      <c r="D7" s="1309"/>
      <c r="E7" s="1309"/>
      <c r="F7" s="1309"/>
      <c r="G7" s="1309"/>
      <c r="H7" s="1309"/>
      <c r="I7" s="1309"/>
      <c r="J7" s="1309"/>
      <c r="K7" s="1309"/>
      <c r="L7" s="1309"/>
      <c r="M7" s="1309"/>
      <c r="N7" s="1309"/>
      <c r="O7" s="949"/>
    </row>
    <row r="8" spans="1:15">
      <c r="A8" s="830" t="s">
        <v>1327</v>
      </c>
      <c r="D8" s="830"/>
      <c r="F8" s="830"/>
      <c r="H8" s="830"/>
      <c r="J8" s="830"/>
      <c r="L8" s="830"/>
      <c r="N8" s="830"/>
      <c r="O8" s="830" t="s">
        <v>1328</v>
      </c>
    </row>
    <row r="9" spans="1:15" s="1311" customFormat="1" ht="20.25" customHeight="1">
      <c r="A9" s="1977"/>
      <c r="B9" s="1977" t="s">
        <v>916</v>
      </c>
      <c r="C9" s="1310">
        <v>2025</v>
      </c>
      <c r="D9" s="1310"/>
      <c r="E9" s="1310"/>
      <c r="F9" s="1310"/>
      <c r="G9" s="1310"/>
      <c r="H9" s="1310"/>
      <c r="I9" s="1310"/>
      <c r="J9" s="1310"/>
      <c r="K9" s="1310"/>
      <c r="L9" s="1310"/>
      <c r="M9" s="1310"/>
      <c r="N9" s="1310"/>
      <c r="O9" s="1977" t="s">
        <v>917</v>
      </c>
    </row>
    <row r="10" spans="1:15" s="1311" customFormat="1" ht="20.25" customHeight="1">
      <c r="A10" s="2001"/>
      <c r="B10" s="2001"/>
      <c r="C10" s="2002" t="s">
        <v>419</v>
      </c>
      <c r="D10" s="2003"/>
      <c r="E10" s="2002" t="s">
        <v>919</v>
      </c>
      <c r="F10" s="2003"/>
      <c r="G10" s="2002" t="s">
        <v>920</v>
      </c>
      <c r="H10" s="2003"/>
      <c r="I10" s="2002" t="s">
        <v>921</v>
      </c>
      <c r="J10" s="2003"/>
      <c r="K10" s="2002" t="s">
        <v>922</v>
      </c>
      <c r="L10" s="2003"/>
      <c r="M10" s="2002" t="s">
        <v>923</v>
      </c>
      <c r="N10" s="2003"/>
      <c r="O10" s="2001"/>
    </row>
    <row r="11" spans="1:15" s="1311" customFormat="1" ht="15.75">
      <c r="A11" s="2001"/>
      <c r="B11" s="2001"/>
      <c r="C11" s="921" t="s">
        <v>1311</v>
      </c>
      <c r="D11" s="921" t="s">
        <v>1280</v>
      </c>
      <c r="E11" s="921" t="s">
        <v>1311</v>
      </c>
      <c r="F11" s="921" t="s">
        <v>1280</v>
      </c>
      <c r="G11" s="921" t="s">
        <v>1311</v>
      </c>
      <c r="H11" s="921" t="s">
        <v>1280</v>
      </c>
      <c r="I11" s="921" t="s">
        <v>1311</v>
      </c>
      <c r="J11" s="921" t="s">
        <v>1280</v>
      </c>
      <c r="K11" s="921" t="s">
        <v>1311</v>
      </c>
      <c r="L11" s="921" t="s">
        <v>1280</v>
      </c>
      <c r="M11" s="921" t="s">
        <v>1311</v>
      </c>
      <c r="N11" s="921" t="s">
        <v>1280</v>
      </c>
      <c r="O11" s="2001"/>
    </row>
    <row r="12" spans="1:15" s="1312" customFormat="1" ht="15.75">
      <c r="A12" s="1990"/>
      <c r="B12" s="1990"/>
      <c r="C12" s="947" t="s">
        <v>1329</v>
      </c>
      <c r="D12" s="947" t="s">
        <v>1282</v>
      </c>
      <c r="E12" s="947" t="s">
        <v>1329</v>
      </c>
      <c r="F12" s="947" t="s">
        <v>1282</v>
      </c>
      <c r="G12" s="947" t="s">
        <v>1329</v>
      </c>
      <c r="H12" s="947" t="s">
        <v>1282</v>
      </c>
      <c r="I12" s="947" t="s">
        <v>1329</v>
      </c>
      <c r="J12" s="947" t="s">
        <v>1282</v>
      </c>
      <c r="K12" s="947" t="s">
        <v>1329</v>
      </c>
      <c r="L12" s="947" t="s">
        <v>1282</v>
      </c>
      <c r="M12" s="947" t="s">
        <v>1329</v>
      </c>
      <c r="N12" s="947" t="s">
        <v>1282</v>
      </c>
      <c r="O12" s="1990"/>
    </row>
    <row r="13" spans="1:15" ht="31.5" customHeight="1">
      <c r="A13" s="928">
        <v>1</v>
      </c>
      <c r="B13" s="1313" t="s">
        <v>957</v>
      </c>
      <c r="C13" s="1096">
        <v>23313</v>
      </c>
      <c r="D13" s="1096">
        <v>1768747.5850000002</v>
      </c>
      <c r="E13" s="1096">
        <v>14113</v>
      </c>
      <c r="F13" s="1096">
        <v>1228311.209</v>
      </c>
      <c r="G13" s="1096">
        <v>9931</v>
      </c>
      <c r="H13" s="1096">
        <v>1230033.175</v>
      </c>
      <c r="I13" s="1096">
        <v>12835</v>
      </c>
      <c r="J13" s="1096">
        <v>1900431.63</v>
      </c>
      <c r="K13" s="1096">
        <v>30835</v>
      </c>
      <c r="L13" s="1096">
        <v>2866276.4590000003</v>
      </c>
      <c r="M13" s="1096">
        <v>25160</v>
      </c>
      <c r="N13" s="1096">
        <v>1930741.6510000001</v>
      </c>
      <c r="O13" s="1314" t="s">
        <v>958</v>
      </c>
    </row>
    <row r="14" spans="1:15" ht="43.5" customHeight="1">
      <c r="A14" s="928">
        <v>2</v>
      </c>
      <c r="B14" s="1315" t="s">
        <v>1330</v>
      </c>
      <c r="C14" s="1096">
        <v>67446</v>
      </c>
      <c r="D14" s="1096">
        <v>1090547.115</v>
      </c>
      <c r="E14" s="1096">
        <v>23694</v>
      </c>
      <c r="F14" s="1096">
        <v>727280.38100000005</v>
      </c>
      <c r="G14" s="1096">
        <v>22709</v>
      </c>
      <c r="H14" s="1096">
        <v>717875.80500000005</v>
      </c>
      <c r="I14" s="1096">
        <v>22449</v>
      </c>
      <c r="J14" s="1096">
        <v>745253.12099999993</v>
      </c>
      <c r="K14" s="1096">
        <v>21445</v>
      </c>
      <c r="L14" s="1096">
        <v>693540.31199999992</v>
      </c>
      <c r="M14" s="1096">
        <v>21306</v>
      </c>
      <c r="N14" s="1096">
        <v>679764.44200000004</v>
      </c>
      <c r="O14" s="1316" t="s">
        <v>1331</v>
      </c>
    </row>
    <row r="15" spans="1:15" ht="31.5" customHeight="1">
      <c r="A15" s="928">
        <v>3</v>
      </c>
      <c r="B15" s="1315" t="s">
        <v>1332</v>
      </c>
      <c r="C15" s="1096">
        <v>3705112</v>
      </c>
      <c r="D15" s="1096">
        <v>18807598.888</v>
      </c>
      <c r="E15" s="1096">
        <v>3561923</v>
      </c>
      <c r="F15" s="1096">
        <v>19286154.846999999</v>
      </c>
      <c r="G15" s="1096">
        <v>3671669</v>
      </c>
      <c r="H15" s="1096">
        <v>18263447.824999999</v>
      </c>
      <c r="I15" s="1096">
        <v>3753560</v>
      </c>
      <c r="J15" s="1096">
        <v>18355703.993000001</v>
      </c>
      <c r="K15" s="1096">
        <v>3945883</v>
      </c>
      <c r="L15" s="1096">
        <v>18479882.409000002</v>
      </c>
      <c r="M15" s="1096">
        <v>4349171</v>
      </c>
      <c r="N15" s="1096">
        <v>19878858.640999999</v>
      </c>
      <c r="O15" s="1316" t="s">
        <v>1333</v>
      </c>
    </row>
    <row r="16" spans="1:15" ht="31.5" customHeight="1">
      <c r="A16" s="928">
        <v>4</v>
      </c>
      <c r="B16" s="1315" t="s">
        <v>1334</v>
      </c>
      <c r="C16" s="1096">
        <v>699846</v>
      </c>
      <c r="D16" s="1096">
        <v>9569604.3159999996</v>
      </c>
      <c r="E16" s="1096">
        <v>618238</v>
      </c>
      <c r="F16" s="1096">
        <v>8625985.9089999981</v>
      </c>
      <c r="G16" s="1096">
        <v>646688</v>
      </c>
      <c r="H16" s="1096">
        <v>9215686.034</v>
      </c>
      <c r="I16" s="1096">
        <v>633601</v>
      </c>
      <c r="J16" s="1096">
        <v>8880363.6649999991</v>
      </c>
      <c r="K16" s="1096">
        <v>696237</v>
      </c>
      <c r="L16" s="1096">
        <v>9443546.7679999992</v>
      </c>
      <c r="M16" s="1096">
        <v>786767</v>
      </c>
      <c r="N16" s="1096">
        <v>10352311.272999998</v>
      </c>
      <c r="O16" s="1316" t="s">
        <v>1335</v>
      </c>
    </row>
    <row r="17" spans="1:15" ht="31.5" customHeight="1">
      <c r="A17" s="928">
        <v>5</v>
      </c>
      <c r="B17" s="1315" t="s">
        <v>1336</v>
      </c>
      <c r="C17" s="1096">
        <v>357668</v>
      </c>
      <c r="D17" s="1096">
        <v>13892434.018000001</v>
      </c>
      <c r="E17" s="1096">
        <v>323317</v>
      </c>
      <c r="F17" s="1096">
        <v>12784940.346999999</v>
      </c>
      <c r="G17" s="1096">
        <v>371473</v>
      </c>
      <c r="H17" s="1096">
        <v>15135881.67</v>
      </c>
      <c r="I17" s="1096">
        <v>341005</v>
      </c>
      <c r="J17" s="1096">
        <v>15405838.494999999</v>
      </c>
      <c r="K17" s="1096">
        <v>339307</v>
      </c>
      <c r="L17" s="1096">
        <v>15821530.209000001</v>
      </c>
      <c r="M17" s="1096">
        <v>294768</v>
      </c>
      <c r="N17" s="1096">
        <v>11408765.249</v>
      </c>
      <c r="O17" s="1316" t="s">
        <v>1337</v>
      </c>
    </row>
    <row r="18" spans="1:15" ht="47.25">
      <c r="A18" s="928">
        <v>6</v>
      </c>
      <c r="B18" s="1315" t="s">
        <v>1338</v>
      </c>
      <c r="C18" s="1096">
        <v>137075</v>
      </c>
      <c r="D18" s="1096">
        <v>2146683.548</v>
      </c>
      <c r="E18" s="1096">
        <v>129434</v>
      </c>
      <c r="F18" s="1096">
        <v>1972587.3660000002</v>
      </c>
      <c r="G18" s="1096">
        <v>135250</v>
      </c>
      <c r="H18" s="1096">
        <v>2056535.865</v>
      </c>
      <c r="I18" s="1096">
        <v>137747</v>
      </c>
      <c r="J18" s="1096">
        <v>2132761.7830000003</v>
      </c>
      <c r="K18" s="1096">
        <v>138871</v>
      </c>
      <c r="L18" s="1096">
        <v>2097737.6669999999</v>
      </c>
      <c r="M18" s="1096">
        <v>155100</v>
      </c>
      <c r="N18" s="1096">
        <v>2363136.5519999997</v>
      </c>
      <c r="O18" s="1317" t="s">
        <v>1339</v>
      </c>
    </row>
    <row r="19" spans="1:15" ht="31.5" customHeight="1">
      <c r="A19" s="928">
        <v>7</v>
      </c>
      <c r="B19" s="1315" t="s">
        <v>1340</v>
      </c>
      <c r="C19" s="1096">
        <v>4162402</v>
      </c>
      <c r="D19" s="1096">
        <v>27254756.842</v>
      </c>
      <c r="E19" s="1096">
        <v>3833570</v>
      </c>
      <c r="F19" s="1096">
        <v>26934222.766999997</v>
      </c>
      <c r="G19" s="1096">
        <v>3933324</v>
      </c>
      <c r="H19" s="1096">
        <v>24989781.978</v>
      </c>
      <c r="I19" s="1096">
        <v>4125792</v>
      </c>
      <c r="J19" s="1096">
        <v>26356245.124000002</v>
      </c>
      <c r="K19" s="1096">
        <v>4470164</v>
      </c>
      <c r="L19" s="1096">
        <v>28709900.192000002</v>
      </c>
      <c r="M19" s="1096">
        <v>4655853</v>
      </c>
      <c r="N19" s="1096">
        <v>28690990.377</v>
      </c>
      <c r="O19" s="1316" t="s">
        <v>1341</v>
      </c>
    </row>
    <row r="20" spans="1:15" ht="31.5" customHeight="1">
      <c r="A20" s="928">
        <v>8</v>
      </c>
      <c r="B20" s="1315" t="s">
        <v>1342</v>
      </c>
      <c r="C20" s="1096">
        <v>16581</v>
      </c>
      <c r="D20" s="1096">
        <v>2409187.9300000002</v>
      </c>
      <c r="E20" s="1096">
        <v>15388</v>
      </c>
      <c r="F20" s="1096">
        <v>2082445.8130000001</v>
      </c>
      <c r="G20" s="1096">
        <v>14008</v>
      </c>
      <c r="H20" s="1096">
        <v>1794508.469</v>
      </c>
      <c r="I20" s="1096">
        <v>14319</v>
      </c>
      <c r="J20" s="1096">
        <v>1782296.746</v>
      </c>
      <c r="K20" s="1096">
        <v>14011</v>
      </c>
      <c r="L20" s="1096">
        <v>1884007.6669999999</v>
      </c>
      <c r="M20" s="1096">
        <v>14726</v>
      </c>
      <c r="N20" s="1096">
        <v>2083886.1009999998</v>
      </c>
      <c r="O20" s="1316" t="s">
        <v>1343</v>
      </c>
    </row>
    <row r="21" spans="1:15" ht="31.5" customHeight="1">
      <c r="A21" s="928">
        <v>9</v>
      </c>
      <c r="B21" s="1315" t="s">
        <v>1344</v>
      </c>
      <c r="C21" s="1096">
        <v>467032</v>
      </c>
      <c r="D21" s="1096">
        <v>5455787.3640000001</v>
      </c>
      <c r="E21" s="1096">
        <v>440236</v>
      </c>
      <c r="F21" s="1096">
        <v>5113441.7209999999</v>
      </c>
      <c r="G21" s="1096">
        <v>419834</v>
      </c>
      <c r="H21" s="1096">
        <v>4975488.7179999994</v>
      </c>
      <c r="I21" s="1096">
        <v>475877</v>
      </c>
      <c r="J21" s="1096">
        <v>5850646.3770000003</v>
      </c>
      <c r="K21" s="1096">
        <v>515536</v>
      </c>
      <c r="L21" s="1096">
        <v>5713447.2530000005</v>
      </c>
      <c r="M21" s="1096">
        <v>507918</v>
      </c>
      <c r="N21" s="1096">
        <v>5811855.415000001</v>
      </c>
      <c r="O21" s="1316" t="s">
        <v>1345</v>
      </c>
    </row>
    <row r="22" spans="1:15" ht="31.5" customHeight="1">
      <c r="A22" s="928">
        <v>10</v>
      </c>
      <c r="B22" s="1315" t="s">
        <v>1346</v>
      </c>
      <c r="C22" s="1096">
        <v>371538</v>
      </c>
      <c r="D22" s="1096">
        <v>6706934.2620000001</v>
      </c>
      <c r="E22" s="1096">
        <v>417293</v>
      </c>
      <c r="F22" s="1096">
        <v>7205438.1299999999</v>
      </c>
      <c r="G22" s="1096">
        <v>365628</v>
      </c>
      <c r="H22" s="1096">
        <v>6144669.6670000004</v>
      </c>
      <c r="I22" s="1096">
        <v>396095</v>
      </c>
      <c r="J22" s="1096">
        <v>6810264.1469999989</v>
      </c>
      <c r="K22" s="1096">
        <v>355488</v>
      </c>
      <c r="L22" s="1096">
        <v>5713826.8540000003</v>
      </c>
      <c r="M22" s="1096">
        <v>346047</v>
      </c>
      <c r="N22" s="1096">
        <v>5768078.5210000006</v>
      </c>
      <c r="O22" s="1316" t="s">
        <v>1347</v>
      </c>
    </row>
    <row r="23" spans="1:15" ht="31.5" customHeight="1">
      <c r="A23" s="928">
        <v>11</v>
      </c>
      <c r="B23" s="1315" t="s">
        <v>1348</v>
      </c>
      <c r="C23" s="1096">
        <v>122685</v>
      </c>
      <c r="D23" s="1096">
        <v>2757739.4329999997</v>
      </c>
      <c r="E23" s="1096">
        <v>131277</v>
      </c>
      <c r="F23" s="1096">
        <v>3256978.5990000004</v>
      </c>
      <c r="G23" s="1096">
        <v>127310</v>
      </c>
      <c r="H23" s="1096">
        <v>2998100.8200000003</v>
      </c>
      <c r="I23" s="1096">
        <v>126722</v>
      </c>
      <c r="J23" s="1096">
        <v>3187723.5780000002</v>
      </c>
      <c r="K23" s="1096">
        <v>126650</v>
      </c>
      <c r="L23" s="1096">
        <v>3206381.0260000001</v>
      </c>
      <c r="M23" s="1096">
        <v>122167</v>
      </c>
      <c r="N23" s="1096">
        <v>2988611.9890000001</v>
      </c>
      <c r="O23" s="1316" t="s">
        <v>1349</v>
      </c>
    </row>
    <row r="24" spans="1:15" ht="30" customHeight="1">
      <c r="A24" s="928">
        <v>12</v>
      </c>
      <c r="B24" s="1315" t="s">
        <v>1350</v>
      </c>
      <c r="C24" s="1096">
        <v>65796</v>
      </c>
      <c r="D24" s="1096">
        <v>1733780.6360000004</v>
      </c>
      <c r="E24" s="1096">
        <v>58121</v>
      </c>
      <c r="F24" s="1096">
        <v>1596581.7870000002</v>
      </c>
      <c r="G24" s="1096">
        <v>68569</v>
      </c>
      <c r="H24" s="1096">
        <v>1949671.5830000008</v>
      </c>
      <c r="I24" s="1096">
        <v>70488</v>
      </c>
      <c r="J24" s="1096">
        <v>1868954.3540000007</v>
      </c>
      <c r="K24" s="1096">
        <v>67092</v>
      </c>
      <c r="L24" s="1096">
        <v>1991006.1300000006</v>
      </c>
      <c r="M24" s="1096">
        <v>65831</v>
      </c>
      <c r="N24" s="1096">
        <v>2043849.9850000001</v>
      </c>
      <c r="O24" s="1316" t="s">
        <v>1351</v>
      </c>
    </row>
    <row r="25" spans="1:15" ht="31.5" customHeight="1">
      <c r="A25" s="928">
        <v>13</v>
      </c>
      <c r="B25" s="1315" t="s">
        <v>1352</v>
      </c>
      <c r="C25" s="1096">
        <v>795447</v>
      </c>
      <c r="D25" s="1096">
        <v>36690069.034999996</v>
      </c>
      <c r="E25" s="1096">
        <v>753271</v>
      </c>
      <c r="F25" s="1096">
        <v>35063859.684</v>
      </c>
      <c r="G25" s="1096">
        <v>806618</v>
      </c>
      <c r="H25" s="1096">
        <v>38629080.186000004</v>
      </c>
      <c r="I25" s="1096">
        <v>860256</v>
      </c>
      <c r="J25" s="1096">
        <v>36334944.811000004</v>
      </c>
      <c r="K25" s="1096">
        <v>857553</v>
      </c>
      <c r="L25" s="1096">
        <v>35117800.401000001</v>
      </c>
      <c r="M25" s="1096">
        <v>912624</v>
      </c>
      <c r="N25" s="1096">
        <v>37633279.193999998</v>
      </c>
      <c r="O25" s="1316" t="s">
        <v>1353</v>
      </c>
    </row>
    <row r="26" spans="1:15" ht="31.5" customHeight="1">
      <c r="A26" s="928">
        <v>14</v>
      </c>
      <c r="B26" s="1315" t="s">
        <v>1354</v>
      </c>
      <c r="C26" s="1096">
        <v>8565</v>
      </c>
      <c r="D26" s="1096">
        <v>223855.67</v>
      </c>
      <c r="E26" s="1096">
        <v>8221</v>
      </c>
      <c r="F26" s="1096">
        <v>213798.26800000001</v>
      </c>
      <c r="G26" s="1096">
        <v>8971</v>
      </c>
      <c r="H26" s="1096">
        <v>235100.87399999998</v>
      </c>
      <c r="I26" s="1096">
        <v>8220</v>
      </c>
      <c r="J26" s="1096">
        <v>224366.288</v>
      </c>
      <c r="K26" s="1096">
        <v>11812</v>
      </c>
      <c r="L26" s="1096">
        <v>249329.55699999997</v>
      </c>
      <c r="M26" s="1096">
        <v>12837</v>
      </c>
      <c r="N26" s="1096">
        <v>263722.98</v>
      </c>
      <c r="O26" s="1316" t="s">
        <v>1355</v>
      </c>
    </row>
    <row r="27" spans="1:15" ht="31.5">
      <c r="A27" s="928">
        <v>15</v>
      </c>
      <c r="B27" s="1315" t="s">
        <v>1356</v>
      </c>
      <c r="C27" s="1096">
        <v>1370993</v>
      </c>
      <c r="D27" s="1096">
        <v>10161429.733999999</v>
      </c>
      <c r="E27" s="1096">
        <v>1254172</v>
      </c>
      <c r="F27" s="1096">
        <v>9094911.7390000001</v>
      </c>
      <c r="G27" s="1096">
        <v>1395363</v>
      </c>
      <c r="H27" s="1096">
        <v>10078748.314999999</v>
      </c>
      <c r="I27" s="1096">
        <v>1438549</v>
      </c>
      <c r="J27" s="1096">
        <v>10184175.014</v>
      </c>
      <c r="K27" s="1096">
        <v>1583306</v>
      </c>
      <c r="L27" s="1096">
        <v>10948076.718</v>
      </c>
      <c r="M27" s="1096">
        <v>1665522</v>
      </c>
      <c r="N27" s="1096">
        <v>11265413.699000001</v>
      </c>
      <c r="O27" s="1316" t="s">
        <v>1357</v>
      </c>
    </row>
    <row r="28" spans="1:15" ht="31.5" customHeight="1">
      <c r="A28" s="928">
        <v>16</v>
      </c>
      <c r="B28" s="1315" t="s">
        <v>1358</v>
      </c>
      <c r="C28" s="1096">
        <v>55537</v>
      </c>
      <c r="D28" s="1096">
        <v>1264709.9370000002</v>
      </c>
      <c r="E28" s="1096">
        <v>6220</v>
      </c>
      <c r="F28" s="1096">
        <v>637825.7300000001</v>
      </c>
      <c r="G28" s="1096">
        <v>6838</v>
      </c>
      <c r="H28" s="1096">
        <v>922601.38600000006</v>
      </c>
      <c r="I28" s="1096">
        <v>7286</v>
      </c>
      <c r="J28" s="1096">
        <v>912776.91000000015</v>
      </c>
      <c r="K28" s="1096">
        <v>7071</v>
      </c>
      <c r="L28" s="1096">
        <v>684257.152</v>
      </c>
      <c r="M28" s="1096">
        <v>8270</v>
      </c>
      <c r="N28" s="1096">
        <v>788714.59600000002</v>
      </c>
      <c r="O28" s="1317" t="s">
        <v>1359</v>
      </c>
    </row>
    <row r="29" spans="1:15" ht="31.5" customHeight="1">
      <c r="A29" s="928">
        <v>17</v>
      </c>
      <c r="B29" s="1315" t="s">
        <v>1360</v>
      </c>
      <c r="C29" s="1096">
        <v>202690</v>
      </c>
      <c r="D29" s="1096">
        <v>2347842.0210000002</v>
      </c>
      <c r="E29" s="1096">
        <v>219372</v>
      </c>
      <c r="F29" s="1096">
        <v>2558873.6680000001</v>
      </c>
      <c r="G29" s="1096">
        <v>216606</v>
      </c>
      <c r="H29" s="1096">
        <v>2416877.7899999996</v>
      </c>
      <c r="I29" s="1096">
        <v>218687</v>
      </c>
      <c r="J29" s="1096">
        <v>2420266.6430000002</v>
      </c>
      <c r="K29" s="1096">
        <v>186015</v>
      </c>
      <c r="L29" s="1096">
        <v>2271352.5950000002</v>
      </c>
      <c r="M29" s="1096">
        <v>177576</v>
      </c>
      <c r="N29" s="1096">
        <v>2165964.9440000001</v>
      </c>
      <c r="O29" s="1316" t="s">
        <v>1361</v>
      </c>
    </row>
    <row r="30" spans="1:15" ht="46.5" customHeight="1">
      <c r="A30" s="928">
        <v>18</v>
      </c>
      <c r="B30" s="1315" t="s">
        <v>1362</v>
      </c>
      <c r="C30" s="1096">
        <v>46762</v>
      </c>
      <c r="D30" s="1096">
        <v>1435951.159</v>
      </c>
      <c r="E30" s="1096">
        <v>45902</v>
      </c>
      <c r="F30" s="1096">
        <v>1394670.2689999999</v>
      </c>
      <c r="G30" s="1096">
        <v>53143</v>
      </c>
      <c r="H30" s="1096">
        <v>1500774.4339999999</v>
      </c>
      <c r="I30" s="1096">
        <v>53279</v>
      </c>
      <c r="J30" s="1096">
        <v>1571197.0229999998</v>
      </c>
      <c r="K30" s="1096">
        <v>46545</v>
      </c>
      <c r="L30" s="1096">
        <v>1406604.0990000002</v>
      </c>
      <c r="M30" s="1096">
        <v>48335</v>
      </c>
      <c r="N30" s="1096">
        <v>1507587.9380000003</v>
      </c>
      <c r="O30" s="1316" t="s">
        <v>1363</v>
      </c>
    </row>
    <row r="31" spans="1:15" ht="31.5" customHeight="1">
      <c r="A31" s="928">
        <v>19</v>
      </c>
      <c r="B31" s="1315" t="s">
        <v>1364</v>
      </c>
      <c r="C31" s="1096">
        <v>26823</v>
      </c>
      <c r="D31" s="1096">
        <v>328317.94300000003</v>
      </c>
      <c r="E31" s="1096">
        <v>23281</v>
      </c>
      <c r="F31" s="1096">
        <v>372708.26899999997</v>
      </c>
      <c r="G31" s="1096">
        <v>23955</v>
      </c>
      <c r="H31" s="1096">
        <v>367720.35599999997</v>
      </c>
      <c r="I31" s="1096">
        <v>26654</v>
      </c>
      <c r="J31" s="1096">
        <v>422333.95299999998</v>
      </c>
      <c r="K31" s="1096">
        <v>49178</v>
      </c>
      <c r="L31" s="1096">
        <v>586349.00899999996</v>
      </c>
      <c r="M31" s="1096">
        <v>35122</v>
      </c>
      <c r="N31" s="1096">
        <v>545562.25400000007</v>
      </c>
      <c r="O31" s="1316" t="s">
        <v>1365</v>
      </c>
    </row>
    <row r="32" spans="1:15" ht="31.5" customHeight="1">
      <c r="A32" s="928">
        <v>20</v>
      </c>
      <c r="B32" s="1315" t="s">
        <v>1366</v>
      </c>
      <c r="C32" s="1096">
        <v>642568</v>
      </c>
      <c r="D32" s="1096">
        <v>19272720.885001197</v>
      </c>
      <c r="E32" s="1096">
        <v>745851</v>
      </c>
      <c r="F32" s="1096">
        <v>20193900.306001354</v>
      </c>
      <c r="G32" s="1096">
        <v>661927</v>
      </c>
      <c r="H32" s="1096">
        <v>20434480.098001745</v>
      </c>
      <c r="I32" s="1096">
        <v>677149</v>
      </c>
      <c r="J32" s="1096">
        <v>19241500.577001382</v>
      </c>
      <c r="K32" s="1096">
        <v>695963</v>
      </c>
      <c r="L32" s="1096">
        <v>19637442.7920013</v>
      </c>
      <c r="M32" s="1096">
        <v>754449</v>
      </c>
      <c r="N32" s="1096">
        <v>23092833.240001246</v>
      </c>
      <c r="O32" s="1316" t="s">
        <v>1367</v>
      </c>
    </row>
    <row r="33" spans="1:15" s="1320" customFormat="1" ht="31.5" customHeight="1">
      <c r="A33" s="944"/>
      <c r="B33" s="1318" t="s">
        <v>393</v>
      </c>
      <c r="C33" s="968">
        <v>13345879</v>
      </c>
      <c r="D33" s="968">
        <v>165318698.62100118</v>
      </c>
      <c r="E33" s="968">
        <v>12622894</v>
      </c>
      <c r="F33" s="968">
        <v>160344916.70900133</v>
      </c>
      <c r="G33" s="968">
        <v>12959814</v>
      </c>
      <c r="H33" s="968">
        <v>164057065.44800174</v>
      </c>
      <c r="I33" s="968">
        <v>13400570</v>
      </c>
      <c r="J33" s="968">
        <v>164588044.6320014</v>
      </c>
      <c r="K33" s="968">
        <v>14158962</v>
      </c>
      <c r="L33" s="968">
        <v>167522295.26900133</v>
      </c>
      <c r="M33" s="968">
        <v>14959549</v>
      </c>
      <c r="N33" s="968">
        <v>171263929.14100122</v>
      </c>
      <c r="O33" s="1319" t="s">
        <v>382</v>
      </c>
    </row>
    <row r="34" spans="1:15" ht="27.75" customHeight="1">
      <c r="A34" s="1321" t="s">
        <v>1368</v>
      </c>
      <c r="B34" s="1322"/>
      <c r="C34" s="1323"/>
      <c r="D34" s="1323"/>
      <c r="E34" s="1323"/>
      <c r="F34" s="1323"/>
      <c r="G34" s="1323"/>
      <c r="H34" s="1323"/>
      <c r="I34" s="1323"/>
      <c r="J34" s="1323"/>
      <c r="K34" s="1323"/>
      <c r="L34" s="1323"/>
      <c r="M34" s="1323"/>
      <c r="N34" s="1323"/>
      <c r="O34" s="1324" t="s">
        <v>1369</v>
      </c>
    </row>
    <row r="35" spans="1:15" ht="18">
      <c r="A35" s="1321" t="s">
        <v>1370</v>
      </c>
      <c r="B35" s="1322"/>
      <c r="C35" s="1323"/>
      <c r="D35" s="1323"/>
      <c r="E35" s="1323"/>
      <c r="F35" s="1323"/>
      <c r="G35" s="1323"/>
      <c r="H35" s="1323"/>
      <c r="I35" s="1323"/>
      <c r="J35" s="1323"/>
      <c r="K35" s="1323"/>
      <c r="L35" s="1323"/>
      <c r="M35" s="1323"/>
      <c r="N35" s="1323"/>
      <c r="O35" s="1324" t="s">
        <v>1371</v>
      </c>
    </row>
    <row r="36" spans="1:15" ht="18">
      <c r="A36" s="1321"/>
      <c r="B36" s="1322"/>
      <c r="C36" s="1323"/>
      <c r="D36" s="1323"/>
      <c r="E36" s="1323"/>
      <c r="F36" s="1323"/>
      <c r="G36" s="1323"/>
      <c r="H36" s="1323"/>
      <c r="I36" s="1323"/>
      <c r="J36" s="1323"/>
      <c r="K36" s="1323"/>
      <c r="L36" s="1323"/>
      <c r="M36" s="1323"/>
      <c r="N36" s="1323"/>
      <c r="O36" s="1324"/>
    </row>
    <row r="37" spans="1:15">
      <c r="A37" s="1325" t="s">
        <v>1378</v>
      </c>
      <c r="B37" s="1325"/>
      <c r="C37" s="1325"/>
      <c r="D37" s="1325"/>
      <c r="E37" s="1325"/>
      <c r="F37" s="1325"/>
      <c r="G37" s="1325"/>
      <c r="H37" s="1325"/>
      <c r="I37" s="1325"/>
      <c r="J37" s="1325"/>
      <c r="K37" s="1325"/>
      <c r="L37" s="1325"/>
      <c r="M37" s="1325"/>
      <c r="N37" s="1325"/>
      <c r="O37" s="1325"/>
    </row>
    <row r="38" spans="1:15">
      <c r="C38" s="1327"/>
      <c r="D38" s="1327"/>
      <c r="E38" s="1327"/>
      <c r="F38" s="1327"/>
      <c r="G38" s="1327"/>
      <c r="H38" s="1327"/>
      <c r="I38" s="1327"/>
      <c r="J38" s="1327"/>
      <c r="K38" s="1327"/>
      <c r="L38" s="1327"/>
      <c r="M38" s="1327"/>
      <c r="N38" s="1327"/>
    </row>
    <row r="39" spans="1:15">
      <c r="C39" s="1328"/>
      <c r="D39" s="1328"/>
      <c r="E39" s="1328"/>
      <c r="F39" s="1328"/>
      <c r="G39" s="1328"/>
      <c r="H39" s="1328"/>
      <c r="I39" s="1328"/>
      <c r="J39" s="1328"/>
      <c r="K39" s="1328"/>
      <c r="L39" s="1328"/>
      <c r="M39" s="1328"/>
      <c r="N39" s="1328"/>
    </row>
    <row r="41" spans="1:15">
      <c r="C41" s="1329"/>
      <c r="D41" s="1329"/>
      <c r="E41" s="1329"/>
      <c r="F41" s="1329"/>
      <c r="G41" s="1329"/>
      <c r="H41" s="1329"/>
      <c r="I41" s="1329"/>
      <c r="J41" s="1329"/>
      <c r="K41" s="1329"/>
      <c r="L41" s="1329"/>
      <c r="M41" s="1329"/>
      <c r="N41" s="1329"/>
      <c r="O41" s="132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abSelected="1" topLeftCell="A16" zoomScale="70" zoomScaleNormal="70" workbookViewId="0">
      <selection activeCell="N29" sqref="N29"/>
    </sheetView>
  </sheetViews>
  <sheetFormatPr defaultColWidth="18.28515625" defaultRowHeight="15"/>
  <cols>
    <col min="1" max="1" width="6.140625" style="1326" customWidth="1"/>
    <col min="2" max="2" width="45.85546875" style="1307" customWidth="1"/>
    <col min="3" max="3" width="15" style="1307" bestFit="1" customWidth="1"/>
    <col min="4" max="4" width="14.85546875" style="1307" customWidth="1"/>
    <col min="5" max="5" width="15" style="1307" bestFit="1" customWidth="1"/>
    <col min="6" max="6" width="14.85546875" style="1307" customWidth="1"/>
    <col min="7" max="7" width="15" style="1307" bestFit="1" customWidth="1"/>
    <col min="8" max="8" width="14.85546875" style="1307" customWidth="1"/>
    <col min="9" max="9" width="15" style="1307" bestFit="1" customWidth="1"/>
    <col min="10" max="10" width="14.85546875" style="1307" customWidth="1"/>
    <col min="11" max="11" width="15" style="1307" bestFit="1" customWidth="1"/>
    <col min="12" max="12" width="14.85546875" style="1307" customWidth="1"/>
    <col min="13" max="13" width="15" style="1307" bestFit="1" customWidth="1"/>
    <col min="14" max="14" width="14.85546875" style="1307" customWidth="1"/>
    <col min="15" max="15" width="46.7109375" style="1307" customWidth="1"/>
    <col min="16" max="16384" width="18.28515625" style="1307"/>
  </cols>
  <sheetData>
    <row r="1" spans="1:15" ht="18" customHeight="1">
      <c r="A1" s="950" t="s">
        <v>1725</v>
      </c>
      <c r="B1" s="949"/>
      <c r="C1" s="949"/>
      <c r="D1" s="949"/>
      <c r="E1" s="949"/>
      <c r="F1" s="949"/>
      <c r="G1" s="949"/>
      <c r="H1" s="949"/>
      <c r="I1" s="949"/>
      <c r="J1" s="949"/>
      <c r="K1" s="949"/>
      <c r="L1" s="949"/>
      <c r="M1" s="949"/>
      <c r="N1" s="949"/>
      <c r="O1" s="949"/>
    </row>
    <row r="2" spans="1:15" ht="18" customHeight="1">
      <c r="A2" s="950" t="s">
        <v>1379</v>
      </c>
      <c r="B2" s="1308"/>
      <c r="C2" s="1308"/>
      <c r="D2" s="1308"/>
      <c r="E2" s="1308"/>
      <c r="F2" s="1308"/>
      <c r="G2" s="1308"/>
      <c r="H2" s="1308"/>
      <c r="I2" s="1308"/>
      <c r="J2" s="1308"/>
      <c r="K2" s="1308"/>
      <c r="L2" s="1308"/>
      <c r="M2" s="1308"/>
      <c r="N2" s="1308"/>
      <c r="O2" s="1308"/>
    </row>
    <row r="3" spans="1:15" ht="18">
      <c r="A3" s="950" t="s">
        <v>1380</v>
      </c>
      <c r="B3" s="949"/>
      <c r="C3" s="949"/>
      <c r="D3" s="949"/>
      <c r="E3" s="949"/>
      <c r="F3" s="949"/>
      <c r="G3" s="949"/>
      <c r="H3" s="949"/>
      <c r="I3" s="949"/>
      <c r="J3" s="949"/>
      <c r="K3" s="949"/>
      <c r="L3" s="949"/>
      <c r="M3" s="949"/>
      <c r="N3" s="949"/>
      <c r="O3" s="949"/>
    </row>
    <row r="4" spans="1:15" ht="4.5" customHeight="1">
      <c r="A4" s="949"/>
      <c r="B4" s="949"/>
      <c r="C4" s="1309"/>
      <c r="D4" s="1309"/>
      <c r="E4" s="1309"/>
      <c r="F4" s="1309"/>
      <c r="G4" s="1309"/>
      <c r="H4" s="1309"/>
      <c r="I4" s="1309"/>
      <c r="J4" s="1309"/>
      <c r="K4" s="1309"/>
      <c r="L4" s="1309"/>
      <c r="M4" s="1309"/>
      <c r="N4" s="1309"/>
      <c r="O4" s="949"/>
    </row>
    <row r="5" spans="1:15" ht="15.75" hidden="1" customHeight="1">
      <c r="A5" s="949"/>
      <c r="B5" s="949"/>
      <c r="C5" s="1309"/>
      <c r="D5" s="1309"/>
      <c r="E5" s="1309"/>
      <c r="F5" s="1309"/>
      <c r="G5" s="1309"/>
      <c r="H5" s="1309"/>
      <c r="I5" s="1309"/>
      <c r="J5" s="1309"/>
      <c r="K5" s="1309"/>
      <c r="L5" s="1309"/>
      <c r="M5" s="1309"/>
      <c r="N5" s="1309"/>
      <c r="O5" s="949"/>
    </row>
    <row r="6" spans="1:15" ht="15.75" hidden="1" customHeight="1">
      <c r="A6" s="949"/>
      <c r="B6" s="949"/>
      <c r="C6" s="1309"/>
      <c r="D6" s="1309"/>
      <c r="E6" s="1309"/>
      <c r="F6" s="1309"/>
      <c r="G6" s="1309"/>
      <c r="H6" s="1309"/>
      <c r="I6" s="1309"/>
      <c r="J6" s="1309"/>
      <c r="K6" s="1309"/>
      <c r="L6" s="1309"/>
      <c r="M6" s="1309"/>
      <c r="N6" s="1309"/>
      <c r="O6" s="949"/>
    </row>
    <row r="7" spans="1:15" ht="15.75" hidden="1" customHeight="1">
      <c r="A7" s="949"/>
      <c r="B7" s="949"/>
      <c r="C7" s="1309"/>
      <c r="D7" s="1309"/>
      <c r="E7" s="1309"/>
      <c r="F7" s="1309"/>
      <c r="G7" s="1309"/>
      <c r="H7" s="1309"/>
      <c r="I7" s="1309"/>
      <c r="J7" s="1309"/>
      <c r="K7" s="1309"/>
      <c r="L7" s="1309"/>
      <c r="M7" s="1309"/>
      <c r="N7" s="1309"/>
      <c r="O7" s="949"/>
    </row>
    <row r="8" spans="1:15">
      <c r="A8" s="830" t="s">
        <v>1327</v>
      </c>
      <c r="D8" s="830"/>
      <c r="F8" s="830"/>
      <c r="H8" s="830"/>
      <c r="J8" s="830"/>
      <c r="L8" s="830"/>
      <c r="N8" s="830"/>
      <c r="O8" s="830" t="s">
        <v>1328</v>
      </c>
    </row>
    <row r="9" spans="1:15" s="1311" customFormat="1" ht="20.25" customHeight="1">
      <c r="A9" s="1977"/>
      <c r="B9" s="1977" t="s">
        <v>916</v>
      </c>
      <c r="C9" s="1310">
        <v>2025</v>
      </c>
      <c r="D9" s="1310"/>
      <c r="E9" s="1310"/>
      <c r="F9" s="1310"/>
      <c r="G9" s="1310"/>
      <c r="H9" s="1310"/>
      <c r="I9" s="1310"/>
      <c r="J9" s="1310"/>
      <c r="K9" s="1310"/>
      <c r="L9" s="1310"/>
      <c r="M9" s="1310"/>
      <c r="N9" s="1310"/>
      <c r="O9" s="1977" t="s">
        <v>917</v>
      </c>
    </row>
    <row r="10" spans="1:15" s="1311" customFormat="1" ht="20.25" customHeight="1">
      <c r="A10" s="2001"/>
      <c r="B10" s="2001"/>
      <c r="C10" s="2002" t="s">
        <v>419</v>
      </c>
      <c r="D10" s="2003"/>
      <c r="E10" s="2002" t="s">
        <v>919</v>
      </c>
      <c r="F10" s="2003"/>
      <c r="G10" s="2002" t="s">
        <v>920</v>
      </c>
      <c r="H10" s="2003"/>
      <c r="I10" s="2002" t="s">
        <v>921</v>
      </c>
      <c r="J10" s="2003"/>
      <c r="K10" s="2002" t="s">
        <v>922</v>
      </c>
      <c r="L10" s="2003"/>
      <c r="M10" s="2002" t="s">
        <v>923</v>
      </c>
      <c r="N10" s="2003"/>
      <c r="O10" s="2001"/>
    </row>
    <row r="11" spans="1:15" s="1311" customFormat="1" ht="15.75">
      <c r="A11" s="2001"/>
      <c r="B11" s="2001"/>
      <c r="C11" s="921" t="s">
        <v>1311</v>
      </c>
      <c r="D11" s="921" t="s">
        <v>1280</v>
      </c>
      <c r="E11" s="921" t="s">
        <v>1311</v>
      </c>
      <c r="F11" s="921" t="s">
        <v>1280</v>
      </c>
      <c r="G11" s="921" t="s">
        <v>1311</v>
      </c>
      <c r="H11" s="921" t="s">
        <v>1280</v>
      </c>
      <c r="I11" s="921" t="s">
        <v>1311</v>
      </c>
      <c r="J11" s="921" t="s">
        <v>1280</v>
      </c>
      <c r="K11" s="921" t="s">
        <v>1311</v>
      </c>
      <c r="L11" s="921" t="s">
        <v>1280</v>
      </c>
      <c r="M11" s="921" t="s">
        <v>1311</v>
      </c>
      <c r="N11" s="921" t="s">
        <v>1280</v>
      </c>
      <c r="O11" s="2001"/>
    </row>
    <row r="12" spans="1:15" s="1312" customFormat="1" ht="15.75">
      <c r="A12" s="1990"/>
      <c r="B12" s="1990"/>
      <c r="C12" s="947" t="s">
        <v>1329</v>
      </c>
      <c r="D12" s="947" t="s">
        <v>1282</v>
      </c>
      <c r="E12" s="947" t="s">
        <v>1329</v>
      </c>
      <c r="F12" s="947" t="s">
        <v>1282</v>
      </c>
      <c r="G12" s="947" t="s">
        <v>1329</v>
      </c>
      <c r="H12" s="947" t="s">
        <v>1282</v>
      </c>
      <c r="I12" s="947" t="s">
        <v>1329</v>
      </c>
      <c r="J12" s="947" t="s">
        <v>1282</v>
      </c>
      <c r="K12" s="947" t="s">
        <v>1329</v>
      </c>
      <c r="L12" s="947" t="s">
        <v>1282</v>
      </c>
      <c r="M12" s="947" t="s">
        <v>1329</v>
      </c>
      <c r="N12" s="947" t="s">
        <v>1282</v>
      </c>
      <c r="O12" s="1990"/>
    </row>
    <row r="13" spans="1:15" ht="31.5" customHeight="1">
      <c r="A13" s="928">
        <v>1</v>
      </c>
      <c r="B13" s="1313" t="s">
        <v>957</v>
      </c>
      <c r="C13" s="1096">
        <v>5469</v>
      </c>
      <c r="D13" s="1096">
        <v>680644.69000000006</v>
      </c>
      <c r="E13" s="1096">
        <v>2892</v>
      </c>
      <c r="F13" s="1096">
        <v>399939.89100000006</v>
      </c>
      <c r="G13" s="1096">
        <v>2840</v>
      </c>
      <c r="H13" s="1096">
        <v>463724.96699999995</v>
      </c>
      <c r="I13" s="1096">
        <v>1934</v>
      </c>
      <c r="J13" s="1096">
        <v>425672.06700000004</v>
      </c>
      <c r="K13" s="1096">
        <v>5109</v>
      </c>
      <c r="L13" s="1096">
        <v>909537.69299999997</v>
      </c>
      <c r="M13" s="1096">
        <v>5468</v>
      </c>
      <c r="N13" s="1096">
        <v>667022.91299999994</v>
      </c>
      <c r="O13" s="1314" t="s">
        <v>958</v>
      </c>
    </row>
    <row r="14" spans="1:15" ht="43.5" customHeight="1">
      <c r="A14" s="928">
        <v>2</v>
      </c>
      <c r="B14" s="1315" t="s">
        <v>1330</v>
      </c>
      <c r="C14" s="1096">
        <v>101328</v>
      </c>
      <c r="D14" s="1096">
        <v>3920710.9689999996</v>
      </c>
      <c r="E14" s="1096">
        <v>72297</v>
      </c>
      <c r="F14" s="1096">
        <v>3410506.1756599997</v>
      </c>
      <c r="G14" s="1096">
        <v>76057</v>
      </c>
      <c r="H14" s="1096">
        <v>3423155.0720000002</v>
      </c>
      <c r="I14" s="1096">
        <v>82189</v>
      </c>
      <c r="J14" s="1096">
        <v>4066264.0869999998</v>
      </c>
      <c r="K14" s="1096">
        <v>65001</v>
      </c>
      <c r="L14" s="1096">
        <v>2885707.8279999997</v>
      </c>
      <c r="M14" s="1096">
        <v>68543</v>
      </c>
      <c r="N14" s="1096">
        <v>3142088.3939999999</v>
      </c>
      <c r="O14" s="1316" t="s">
        <v>1331</v>
      </c>
    </row>
    <row r="15" spans="1:15" ht="31.5" customHeight="1">
      <c r="A15" s="928">
        <v>3</v>
      </c>
      <c r="B15" s="1315" t="s">
        <v>1332</v>
      </c>
      <c r="C15" s="1096">
        <v>1088525</v>
      </c>
      <c r="D15" s="1096">
        <v>10662927.240999999</v>
      </c>
      <c r="E15" s="1096">
        <v>1082688</v>
      </c>
      <c r="F15" s="1096">
        <v>10850863.67</v>
      </c>
      <c r="G15" s="1096">
        <v>1056493</v>
      </c>
      <c r="H15" s="1096">
        <v>10326675.162999999</v>
      </c>
      <c r="I15" s="1096">
        <v>1150027</v>
      </c>
      <c r="J15" s="1096">
        <v>11772320.386</v>
      </c>
      <c r="K15" s="1096">
        <v>941465</v>
      </c>
      <c r="L15" s="1096">
        <v>9290648.3169999998</v>
      </c>
      <c r="M15" s="1096">
        <v>1018912</v>
      </c>
      <c r="N15" s="1096">
        <v>9832000.2169999983</v>
      </c>
      <c r="O15" s="1316" t="s">
        <v>1333</v>
      </c>
    </row>
    <row r="16" spans="1:15" ht="31.5" customHeight="1">
      <c r="A16" s="928">
        <v>4</v>
      </c>
      <c r="B16" s="1315" t="s">
        <v>1334</v>
      </c>
      <c r="C16" s="1096">
        <v>74763</v>
      </c>
      <c r="D16" s="1096">
        <v>1463563.3459999999</v>
      </c>
      <c r="E16" s="1096">
        <v>69017</v>
      </c>
      <c r="F16" s="1096">
        <v>1252366.93</v>
      </c>
      <c r="G16" s="1096">
        <v>68766</v>
      </c>
      <c r="H16" s="1096">
        <v>1373662.8929999999</v>
      </c>
      <c r="I16" s="1096">
        <v>72202</v>
      </c>
      <c r="J16" s="1096">
        <v>1369898.8690000002</v>
      </c>
      <c r="K16" s="1096">
        <v>62406</v>
      </c>
      <c r="L16" s="1096">
        <v>1349512.4409999999</v>
      </c>
      <c r="M16" s="1096">
        <v>67396</v>
      </c>
      <c r="N16" s="1096">
        <v>1393785.121</v>
      </c>
      <c r="O16" s="1316" t="s">
        <v>1335</v>
      </c>
    </row>
    <row r="17" spans="1:15" ht="31.5" customHeight="1">
      <c r="A17" s="928">
        <v>5</v>
      </c>
      <c r="B17" s="1315" t="s">
        <v>1336</v>
      </c>
      <c r="C17" s="1096">
        <v>121051</v>
      </c>
      <c r="D17" s="1096">
        <v>1044124.576</v>
      </c>
      <c r="E17" s="1096">
        <v>94245</v>
      </c>
      <c r="F17" s="1096">
        <v>743245.95</v>
      </c>
      <c r="G17" s="1096">
        <v>80956</v>
      </c>
      <c r="H17" s="1096">
        <v>713632.96299999999</v>
      </c>
      <c r="I17" s="1096">
        <v>62543</v>
      </c>
      <c r="J17" s="1096">
        <v>701500.84299999999</v>
      </c>
      <c r="K17" s="1096">
        <v>57852</v>
      </c>
      <c r="L17" s="1096">
        <v>904588.07799999998</v>
      </c>
      <c r="M17" s="1096">
        <v>68510</v>
      </c>
      <c r="N17" s="1096">
        <v>811905.62600000005</v>
      </c>
      <c r="O17" s="1316" t="s">
        <v>1337</v>
      </c>
    </row>
    <row r="18" spans="1:15" ht="47.25">
      <c r="A18" s="928">
        <v>6</v>
      </c>
      <c r="B18" s="1315" t="s">
        <v>1338</v>
      </c>
      <c r="C18" s="1096">
        <v>35733</v>
      </c>
      <c r="D18" s="1096">
        <v>620690.598</v>
      </c>
      <c r="E18" s="1096">
        <v>30025</v>
      </c>
      <c r="F18" s="1096">
        <v>516132.391</v>
      </c>
      <c r="G18" s="1096">
        <v>29762</v>
      </c>
      <c r="H18" s="1096">
        <v>517823.01199999999</v>
      </c>
      <c r="I18" s="1096">
        <v>35424</v>
      </c>
      <c r="J18" s="1096">
        <v>582075.978</v>
      </c>
      <c r="K18" s="1096">
        <v>22349</v>
      </c>
      <c r="L18" s="1096">
        <v>434825.72200000001</v>
      </c>
      <c r="M18" s="1096">
        <v>27947</v>
      </c>
      <c r="N18" s="1096">
        <v>505048.06899999996</v>
      </c>
      <c r="O18" s="1317" t="s">
        <v>1339</v>
      </c>
    </row>
    <row r="19" spans="1:15" ht="31.5" customHeight="1">
      <c r="A19" s="928">
        <v>7</v>
      </c>
      <c r="B19" s="1315" t="s">
        <v>1340</v>
      </c>
      <c r="C19" s="1096">
        <v>513911</v>
      </c>
      <c r="D19" s="1096">
        <v>3519139.4450000003</v>
      </c>
      <c r="E19" s="1096">
        <v>481954</v>
      </c>
      <c r="F19" s="1096">
        <v>3437142.9870000002</v>
      </c>
      <c r="G19" s="1096">
        <v>481570</v>
      </c>
      <c r="H19" s="1096">
        <v>3307091.2880000006</v>
      </c>
      <c r="I19" s="1096">
        <v>515739</v>
      </c>
      <c r="J19" s="1096">
        <v>3847816.3019999997</v>
      </c>
      <c r="K19" s="1096">
        <v>445622</v>
      </c>
      <c r="L19" s="1096">
        <v>3313815.7</v>
      </c>
      <c r="M19" s="1096">
        <v>504327</v>
      </c>
      <c r="N19" s="1096">
        <v>3830213.5769999996</v>
      </c>
      <c r="O19" s="1316" t="s">
        <v>1341</v>
      </c>
    </row>
    <row r="20" spans="1:15" ht="31.5" customHeight="1">
      <c r="A20" s="928">
        <v>8</v>
      </c>
      <c r="B20" s="1315" t="s">
        <v>1342</v>
      </c>
      <c r="C20" s="1096">
        <v>7234</v>
      </c>
      <c r="D20" s="1096">
        <v>2937849.0780000002</v>
      </c>
      <c r="E20" s="1096">
        <v>6401</v>
      </c>
      <c r="F20" s="1096">
        <v>2113037.1379999998</v>
      </c>
      <c r="G20" s="1096">
        <v>6408</v>
      </c>
      <c r="H20" s="1096">
        <v>2039882.882</v>
      </c>
      <c r="I20" s="1096">
        <v>9125</v>
      </c>
      <c r="J20" s="1096">
        <v>2621583.6390000004</v>
      </c>
      <c r="K20" s="1096">
        <v>6629</v>
      </c>
      <c r="L20" s="1096">
        <v>2456259.693</v>
      </c>
      <c r="M20" s="1096">
        <v>6993</v>
      </c>
      <c r="N20" s="1096">
        <v>2578223.5669999998</v>
      </c>
      <c r="O20" s="1316" t="s">
        <v>1343</v>
      </c>
    </row>
    <row r="21" spans="1:15" ht="31.5" customHeight="1">
      <c r="A21" s="928">
        <v>9</v>
      </c>
      <c r="B21" s="1315" t="s">
        <v>1344</v>
      </c>
      <c r="C21" s="1096">
        <v>150396</v>
      </c>
      <c r="D21" s="1096">
        <v>2811586.2630000003</v>
      </c>
      <c r="E21" s="1096">
        <v>128729</v>
      </c>
      <c r="F21" s="1096">
        <v>2353734.9540000004</v>
      </c>
      <c r="G21" s="1096">
        <v>121712</v>
      </c>
      <c r="H21" s="1096">
        <v>2058609.341</v>
      </c>
      <c r="I21" s="1096">
        <v>148356</v>
      </c>
      <c r="J21" s="1096">
        <v>2465375.6610000003</v>
      </c>
      <c r="K21" s="1096">
        <v>113829</v>
      </c>
      <c r="L21" s="1096">
        <v>2016172.2370000002</v>
      </c>
      <c r="M21" s="1096">
        <v>122320</v>
      </c>
      <c r="N21" s="1096">
        <v>2222750.7799999998</v>
      </c>
      <c r="O21" s="1316" t="s">
        <v>1345</v>
      </c>
    </row>
    <row r="22" spans="1:15" ht="31.5" customHeight="1">
      <c r="A22" s="928">
        <v>10</v>
      </c>
      <c r="B22" s="1315" t="s">
        <v>1346</v>
      </c>
      <c r="C22" s="1096">
        <v>154231</v>
      </c>
      <c r="D22" s="1096">
        <v>5122255.267</v>
      </c>
      <c r="E22" s="1096">
        <v>154147</v>
      </c>
      <c r="F22" s="1096">
        <v>4777657.5690000001</v>
      </c>
      <c r="G22" s="1096">
        <v>149040</v>
      </c>
      <c r="H22" s="1096">
        <v>4291316.6540000001</v>
      </c>
      <c r="I22" s="1096">
        <v>175611</v>
      </c>
      <c r="J22" s="1096">
        <v>5216985.7169999992</v>
      </c>
      <c r="K22" s="1096">
        <v>107924</v>
      </c>
      <c r="L22" s="1096">
        <v>3583993.8849999998</v>
      </c>
      <c r="M22" s="1096">
        <v>121679</v>
      </c>
      <c r="N22" s="1096">
        <v>4216070.3080000002</v>
      </c>
      <c r="O22" s="1316" t="s">
        <v>1347</v>
      </c>
    </row>
    <row r="23" spans="1:15" ht="31.5" customHeight="1">
      <c r="A23" s="928">
        <v>11</v>
      </c>
      <c r="B23" s="1315" t="s">
        <v>1348</v>
      </c>
      <c r="C23" s="1096">
        <v>20139</v>
      </c>
      <c r="D23" s="1096">
        <v>514286.56099999999</v>
      </c>
      <c r="E23" s="1096">
        <v>20809</v>
      </c>
      <c r="F23" s="1096">
        <v>560136.92500000005</v>
      </c>
      <c r="G23" s="1096">
        <v>19049</v>
      </c>
      <c r="H23" s="1096">
        <v>458704.29200000002</v>
      </c>
      <c r="I23" s="1096">
        <v>23005</v>
      </c>
      <c r="J23" s="1096">
        <v>547555.603</v>
      </c>
      <c r="K23" s="1096">
        <v>15437</v>
      </c>
      <c r="L23" s="1096">
        <v>449726.19400000002</v>
      </c>
      <c r="M23" s="1096">
        <v>15916</v>
      </c>
      <c r="N23" s="1096">
        <v>480201.42800000001</v>
      </c>
      <c r="O23" s="1316" t="s">
        <v>1349</v>
      </c>
    </row>
    <row r="24" spans="1:15" ht="30" customHeight="1">
      <c r="A24" s="928">
        <v>12</v>
      </c>
      <c r="B24" s="1315" t="s">
        <v>1350</v>
      </c>
      <c r="C24" s="1096">
        <v>214530</v>
      </c>
      <c r="D24" s="1096">
        <v>892702.36200000008</v>
      </c>
      <c r="E24" s="1096">
        <v>190365</v>
      </c>
      <c r="F24" s="1096">
        <v>826725.98700000008</v>
      </c>
      <c r="G24" s="1096">
        <v>192162</v>
      </c>
      <c r="H24" s="1096">
        <v>925748.07499999995</v>
      </c>
      <c r="I24" s="1096">
        <v>201673</v>
      </c>
      <c r="J24" s="1096">
        <v>996725.16399999999</v>
      </c>
      <c r="K24" s="1096">
        <v>151784</v>
      </c>
      <c r="L24" s="1096">
        <v>775488.41299999994</v>
      </c>
      <c r="M24" s="1096">
        <v>165144</v>
      </c>
      <c r="N24" s="1096">
        <v>831361.90599999996</v>
      </c>
      <c r="O24" s="1316" t="s">
        <v>1351</v>
      </c>
    </row>
    <row r="25" spans="1:15" ht="31.5" customHeight="1">
      <c r="A25" s="928">
        <v>13</v>
      </c>
      <c r="B25" s="1315" t="s">
        <v>1352</v>
      </c>
      <c r="C25" s="1096">
        <v>64870</v>
      </c>
      <c r="D25" s="1096">
        <v>651608.45299999998</v>
      </c>
      <c r="E25" s="1096">
        <v>59436</v>
      </c>
      <c r="F25" s="1096">
        <v>610605.66200000001</v>
      </c>
      <c r="G25" s="1096">
        <v>66790</v>
      </c>
      <c r="H25" s="1096">
        <v>638575.76599999995</v>
      </c>
      <c r="I25" s="1096">
        <v>89308</v>
      </c>
      <c r="J25" s="1096">
        <v>739637.34399999992</v>
      </c>
      <c r="K25" s="1096">
        <v>74427</v>
      </c>
      <c r="L25" s="1096">
        <v>671247.27399999986</v>
      </c>
      <c r="M25" s="1096">
        <v>81549</v>
      </c>
      <c r="N25" s="1096">
        <v>714554.80299999996</v>
      </c>
      <c r="O25" s="1316" t="s">
        <v>1353</v>
      </c>
    </row>
    <row r="26" spans="1:15" ht="31.5" customHeight="1">
      <c r="A26" s="928">
        <v>14</v>
      </c>
      <c r="B26" s="1315" t="s">
        <v>1354</v>
      </c>
      <c r="C26" s="1096">
        <v>12799</v>
      </c>
      <c r="D26" s="1096">
        <v>168380.47700000001</v>
      </c>
      <c r="E26" s="1096">
        <v>9869</v>
      </c>
      <c r="F26" s="1096">
        <v>124780.31100000002</v>
      </c>
      <c r="G26" s="1096">
        <v>9806</v>
      </c>
      <c r="H26" s="1096">
        <v>140095.897</v>
      </c>
      <c r="I26" s="1096">
        <v>10936</v>
      </c>
      <c r="J26" s="1096">
        <v>161062.03899999999</v>
      </c>
      <c r="K26" s="1096">
        <v>11762</v>
      </c>
      <c r="L26" s="1096">
        <v>141654.58100000001</v>
      </c>
      <c r="M26" s="1096">
        <v>12585</v>
      </c>
      <c r="N26" s="1096">
        <v>153251.421</v>
      </c>
      <c r="O26" s="1316" t="s">
        <v>1355</v>
      </c>
    </row>
    <row r="27" spans="1:15" ht="31.5">
      <c r="A27" s="928">
        <v>15</v>
      </c>
      <c r="B27" s="1315" t="s">
        <v>1356</v>
      </c>
      <c r="C27" s="1096">
        <v>218412</v>
      </c>
      <c r="D27" s="1096">
        <v>2008195.2410000002</v>
      </c>
      <c r="E27" s="1096">
        <v>204090</v>
      </c>
      <c r="F27" s="1096">
        <v>1851871.4679999999</v>
      </c>
      <c r="G27" s="1096">
        <v>205498</v>
      </c>
      <c r="H27" s="1096">
        <v>1866482.0989999999</v>
      </c>
      <c r="I27" s="1096">
        <v>216363</v>
      </c>
      <c r="J27" s="1096">
        <v>2048474.6410000001</v>
      </c>
      <c r="K27" s="1096">
        <v>195693</v>
      </c>
      <c r="L27" s="1096">
        <v>1981323.63</v>
      </c>
      <c r="M27" s="1096">
        <v>213583</v>
      </c>
      <c r="N27" s="1096">
        <v>2009402.3389999999</v>
      </c>
      <c r="O27" s="1316" t="s">
        <v>1357</v>
      </c>
    </row>
    <row r="28" spans="1:15" ht="31.5" customHeight="1">
      <c r="A28" s="928">
        <v>16</v>
      </c>
      <c r="B28" s="1315" t="s">
        <v>1358</v>
      </c>
      <c r="C28" s="1096">
        <v>25687</v>
      </c>
      <c r="D28" s="1096">
        <v>506641.7730000001</v>
      </c>
      <c r="E28" s="1096">
        <v>2285</v>
      </c>
      <c r="F28" s="1096">
        <v>281833.522</v>
      </c>
      <c r="G28" s="1096">
        <v>2288</v>
      </c>
      <c r="H28" s="1096">
        <v>399295.09100000001</v>
      </c>
      <c r="I28" s="1096">
        <v>3378</v>
      </c>
      <c r="J28" s="1096">
        <v>335618.25</v>
      </c>
      <c r="K28" s="1096">
        <v>3020</v>
      </c>
      <c r="L28" s="1096">
        <v>275314.12900000002</v>
      </c>
      <c r="M28" s="1096">
        <v>3529</v>
      </c>
      <c r="N28" s="1096">
        <v>306248.19400000002</v>
      </c>
      <c r="O28" s="1317" t="s">
        <v>1359</v>
      </c>
    </row>
    <row r="29" spans="1:15" ht="31.5" customHeight="1">
      <c r="A29" s="928">
        <v>17</v>
      </c>
      <c r="B29" s="1315" t="s">
        <v>1360</v>
      </c>
      <c r="C29" s="1096">
        <v>78142</v>
      </c>
      <c r="D29" s="1096">
        <v>1061270.686</v>
      </c>
      <c r="E29" s="1096">
        <v>76313</v>
      </c>
      <c r="F29" s="1096">
        <v>993450.65700000001</v>
      </c>
      <c r="G29" s="1096">
        <v>73140</v>
      </c>
      <c r="H29" s="1096">
        <v>940243.75199999998</v>
      </c>
      <c r="I29" s="1096">
        <v>80518</v>
      </c>
      <c r="J29" s="1096">
        <v>1100551.2390000001</v>
      </c>
      <c r="K29" s="1096">
        <v>49382</v>
      </c>
      <c r="L29" s="1096">
        <v>713644.01199999999</v>
      </c>
      <c r="M29" s="1096">
        <v>53671</v>
      </c>
      <c r="N29" s="1096">
        <v>774740.15899999999</v>
      </c>
      <c r="O29" s="1316" t="s">
        <v>1361</v>
      </c>
    </row>
    <row r="30" spans="1:15" ht="46.5" customHeight="1">
      <c r="A30" s="928">
        <v>18</v>
      </c>
      <c r="B30" s="1315" t="s">
        <v>1362</v>
      </c>
      <c r="C30" s="1096">
        <v>10975</v>
      </c>
      <c r="D30" s="1096">
        <v>375170.391</v>
      </c>
      <c r="E30" s="1096">
        <v>9691</v>
      </c>
      <c r="F30" s="1096">
        <v>319081.48400000005</v>
      </c>
      <c r="G30" s="1096">
        <v>10485</v>
      </c>
      <c r="H30" s="1096">
        <v>329626.02299999999</v>
      </c>
      <c r="I30" s="1096">
        <v>12109</v>
      </c>
      <c r="J30" s="1096">
        <v>370918.31900000002</v>
      </c>
      <c r="K30" s="1096">
        <v>9368</v>
      </c>
      <c r="L30" s="1096">
        <v>367273.78600000002</v>
      </c>
      <c r="M30" s="1096">
        <v>10713</v>
      </c>
      <c r="N30" s="1096">
        <v>377258.14899999998</v>
      </c>
      <c r="O30" s="1316" t="s">
        <v>1363</v>
      </c>
    </row>
    <row r="31" spans="1:15" ht="31.5" customHeight="1">
      <c r="A31" s="928">
        <v>19</v>
      </c>
      <c r="B31" s="1315" t="s">
        <v>1364</v>
      </c>
      <c r="C31" s="1096">
        <v>4941</v>
      </c>
      <c r="D31" s="1096">
        <v>89863.725999999995</v>
      </c>
      <c r="E31" s="1096">
        <v>4791</v>
      </c>
      <c r="F31" s="1096">
        <v>89694.067999999999</v>
      </c>
      <c r="G31" s="1096">
        <v>4369</v>
      </c>
      <c r="H31" s="1096">
        <v>80620.599999999991</v>
      </c>
      <c r="I31" s="1096">
        <v>5170</v>
      </c>
      <c r="J31" s="1096">
        <v>102002.21599999999</v>
      </c>
      <c r="K31" s="1096">
        <v>4633</v>
      </c>
      <c r="L31" s="1096">
        <v>83714.807000000001</v>
      </c>
      <c r="M31" s="1096">
        <v>5165</v>
      </c>
      <c r="N31" s="1096">
        <v>138694.60799999998</v>
      </c>
      <c r="O31" s="1316" t="s">
        <v>1365</v>
      </c>
    </row>
    <row r="32" spans="1:15" ht="31.5" customHeight="1">
      <c r="A32" s="928">
        <v>20</v>
      </c>
      <c r="B32" s="1315" t="s">
        <v>1366</v>
      </c>
      <c r="C32" s="1096">
        <v>238023</v>
      </c>
      <c r="D32" s="1096">
        <v>6548581.5240000011</v>
      </c>
      <c r="E32" s="1096">
        <v>275053</v>
      </c>
      <c r="F32" s="1096">
        <v>6555275.2253399994</v>
      </c>
      <c r="G32" s="1096">
        <v>277452</v>
      </c>
      <c r="H32" s="1096">
        <v>6506509.5859999992</v>
      </c>
      <c r="I32" s="1096">
        <v>319371</v>
      </c>
      <c r="J32" s="1096">
        <v>7370917.3060000008</v>
      </c>
      <c r="K32" s="1096">
        <v>235425</v>
      </c>
      <c r="L32" s="1096">
        <v>5814787.0860000001</v>
      </c>
      <c r="M32" s="1096">
        <v>257071</v>
      </c>
      <c r="N32" s="1096">
        <v>6323243.7820000025</v>
      </c>
      <c r="O32" s="1316" t="s">
        <v>1367</v>
      </c>
    </row>
    <row r="33" spans="1:17" s="1320" customFormat="1" ht="31.5" customHeight="1">
      <c r="A33" s="944"/>
      <c r="B33" s="1318" t="s">
        <v>393</v>
      </c>
      <c r="C33" s="968">
        <v>3141159</v>
      </c>
      <c r="D33" s="968">
        <v>45600192.167000011</v>
      </c>
      <c r="E33" s="968">
        <v>2975097</v>
      </c>
      <c r="F33" s="968">
        <v>42068082.964999996</v>
      </c>
      <c r="G33" s="968">
        <v>2934643</v>
      </c>
      <c r="H33" s="968">
        <v>40801475.615999989</v>
      </c>
      <c r="I33" s="968">
        <v>3214981</v>
      </c>
      <c r="J33" s="968">
        <v>46842955.069999985</v>
      </c>
      <c r="K33" s="968">
        <v>2579117</v>
      </c>
      <c r="L33" s="968">
        <v>38419235.805999994</v>
      </c>
      <c r="M33" s="968">
        <v>2831021</v>
      </c>
      <c r="N33" s="968">
        <v>41308065.361000001</v>
      </c>
      <c r="O33" s="1319" t="s">
        <v>382</v>
      </c>
      <c r="P33" s="1307"/>
      <c r="Q33" s="1307"/>
    </row>
    <row r="34" spans="1:17" ht="27.75" customHeight="1">
      <c r="A34" s="1321" t="s">
        <v>1368</v>
      </c>
      <c r="B34" s="1322"/>
      <c r="C34" s="1323"/>
      <c r="D34" s="1323"/>
      <c r="E34" s="1323"/>
      <c r="F34" s="1323"/>
      <c r="G34" s="1323"/>
      <c r="H34" s="1323"/>
      <c r="I34" s="1323"/>
      <c r="J34" s="1323"/>
      <c r="K34" s="1323"/>
      <c r="L34" s="1323"/>
      <c r="M34" s="1323"/>
      <c r="N34" s="1323"/>
      <c r="O34" s="1324" t="s">
        <v>1369</v>
      </c>
    </row>
    <row r="35" spans="1:17" ht="18">
      <c r="A35" s="1321" t="s">
        <v>1370</v>
      </c>
      <c r="B35" s="1322"/>
      <c r="C35" s="1323"/>
      <c r="D35" s="1323"/>
      <c r="E35" s="1323"/>
      <c r="F35" s="1323"/>
      <c r="G35" s="1323"/>
      <c r="H35" s="1323"/>
      <c r="I35" s="1323"/>
      <c r="J35" s="1323"/>
      <c r="K35" s="1323"/>
      <c r="L35" s="1323"/>
      <c r="M35" s="1323"/>
      <c r="N35" s="1323"/>
      <c r="O35" s="1324" t="s">
        <v>1371</v>
      </c>
    </row>
    <row r="36" spans="1:17">
      <c r="A36" s="1306"/>
      <c r="B36" s="1306"/>
      <c r="C36" s="1306"/>
      <c r="D36" s="1306"/>
      <c r="E36" s="1306"/>
      <c r="F36" s="1306"/>
      <c r="G36" s="1306"/>
      <c r="H36" s="1306"/>
      <c r="I36" s="1306"/>
      <c r="J36" s="1306"/>
      <c r="K36" s="1306"/>
      <c r="L36" s="1306"/>
      <c r="M36" s="1306"/>
      <c r="N36" s="1306"/>
    </row>
    <row r="37" spans="1:17">
      <c r="A37" s="1325" t="s">
        <v>1381</v>
      </c>
      <c r="B37" s="1325"/>
      <c r="C37" s="1325"/>
      <c r="D37" s="1325"/>
      <c r="E37" s="1325"/>
      <c r="F37" s="1325"/>
      <c r="G37" s="1325"/>
      <c r="H37" s="1325"/>
      <c r="I37" s="1325"/>
      <c r="J37" s="1325"/>
      <c r="K37" s="1325"/>
      <c r="L37" s="1325"/>
      <c r="M37" s="1325"/>
      <c r="N37" s="1325"/>
      <c r="O37" s="1325"/>
    </row>
    <row r="38" spans="1:17">
      <c r="C38" s="1327"/>
      <c r="D38" s="1327"/>
      <c r="E38" s="1327"/>
      <c r="F38" s="1327"/>
      <c r="G38" s="1327"/>
      <c r="H38" s="1327"/>
      <c r="I38" s="1327"/>
      <c r="J38" s="1327"/>
      <c r="K38" s="1327"/>
      <c r="L38" s="1327"/>
      <c r="M38" s="1327"/>
      <c r="N38" s="1327"/>
    </row>
    <row r="39" spans="1:17">
      <c r="C39" s="1328"/>
      <c r="D39" s="1328"/>
      <c r="E39" s="1328"/>
      <c r="F39" s="1328"/>
      <c r="G39" s="1328"/>
      <c r="H39" s="1328"/>
      <c r="I39" s="1328"/>
      <c r="J39" s="1328"/>
      <c r="K39" s="1328"/>
      <c r="L39" s="1328"/>
      <c r="M39" s="1328"/>
      <c r="N39" s="1328"/>
    </row>
    <row r="41" spans="1:17">
      <c r="C41" s="1329"/>
      <c r="D41" s="1329"/>
      <c r="E41" s="1329"/>
      <c r="F41" s="1329"/>
      <c r="G41" s="1329"/>
      <c r="H41" s="1329"/>
      <c r="I41" s="1329"/>
      <c r="J41" s="1329"/>
      <c r="K41" s="1329"/>
      <c r="L41" s="1329"/>
      <c r="M41" s="1329"/>
      <c r="N41" s="1329"/>
      <c r="O41" s="132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tabSelected="1" zoomScale="90" zoomScaleNormal="90" workbookViewId="0">
      <pane ySplit="17" topLeftCell="A25" activePane="bottomLeft" state="frozen"/>
      <selection activeCell="N29" sqref="N29"/>
      <selection pane="bottomLeft" activeCell="N29" sqref="N29"/>
    </sheetView>
  </sheetViews>
  <sheetFormatPr defaultColWidth="18.28515625" defaultRowHeight="15.75"/>
  <cols>
    <col min="1" max="1" width="10.85546875" style="940" customWidth="1"/>
    <col min="2" max="2" width="10.7109375" style="846" customWidth="1"/>
    <col min="3" max="4" width="12.7109375" style="846" customWidth="1"/>
    <col min="5" max="5" width="18.85546875" style="846" bestFit="1" customWidth="1"/>
    <col min="6" max="7" width="12.7109375" style="846" customWidth="1"/>
    <col min="8" max="8" width="17.42578125" style="846" bestFit="1" customWidth="1"/>
    <col min="9" max="9" width="13.7109375" style="846" customWidth="1"/>
    <col min="10" max="10" width="12.7109375" style="846" customWidth="1"/>
    <col min="11" max="11" width="12.85546875" style="846" customWidth="1"/>
    <col min="12" max="12" width="11.42578125" style="846" bestFit="1" customWidth="1"/>
    <col min="13" max="13" width="11.42578125" style="846" customWidth="1"/>
    <col min="14" max="14" width="12.7109375" style="846" customWidth="1"/>
    <col min="15" max="15" width="13.5703125" style="846" customWidth="1"/>
    <col min="16" max="16384" width="18.28515625" style="846"/>
  </cols>
  <sheetData>
    <row r="1" spans="1:14" ht="18" customHeight="1">
      <c r="A1" s="808" t="s">
        <v>1382</v>
      </c>
      <c r="B1" s="952"/>
      <c r="C1" s="952"/>
      <c r="D1" s="952"/>
      <c r="E1" s="952"/>
      <c r="F1" s="952"/>
      <c r="G1" s="952"/>
      <c r="H1" s="952"/>
      <c r="I1" s="952"/>
      <c r="J1" s="952"/>
      <c r="K1" s="952"/>
      <c r="L1" s="952"/>
      <c r="M1" s="952"/>
      <c r="N1" s="952"/>
    </row>
    <row r="2" spans="1:14" ht="18" customHeight="1">
      <c r="A2" s="950" t="s">
        <v>92</v>
      </c>
      <c r="B2" s="951"/>
      <c r="C2" s="951"/>
      <c r="D2" s="951"/>
      <c r="E2" s="951"/>
      <c r="F2" s="951"/>
      <c r="G2" s="951"/>
      <c r="H2" s="951"/>
      <c r="I2" s="951"/>
      <c r="J2" s="951"/>
      <c r="K2" s="951"/>
      <c r="L2" s="951"/>
      <c r="M2" s="951"/>
      <c r="N2" s="951"/>
    </row>
    <row r="3" spans="1:14" ht="18" customHeight="1">
      <c r="A3" s="950" t="s">
        <v>1383</v>
      </c>
      <c r="B3" s="951"/>
      <c r="C3" s="951"/>
      <c r="D3" s="951"/>
      <c r="E3" s="951"/>
      <c r="F3" s="951"/>
      <c r="G3" s="951"/>
      <c r="H3" s="951"/>
      <c r="I3" s="951"/>
      <c r="J3" s="951"/>
      <c r="K3" s="951"/>
      <c r="L3" s="951"/>
      <c r="M3" s="951"/>
      <c r="N3" s="951"/>
    </row>
    <row r="4" spans="1:14" ht="18" customHeight="1">
      <c r="A4" s="950" t="s">
        <v>91</v>
      </c>
      <c r="B4" s="951"/>
      <c r="C4" s="951"/>
      <c r="D4" s="951"/>
      <c r="E4" s="951"/>
      <c r="F4" s="951"/>
      <c r="G4" s="951"/>
      <c r="H4" s="951"/>
      <c r="I4" s="951"/>
      <c r="J4" s="951"/>
      <c r="K4" s="951"/>
      <c r="L4" s="951"/>
      <c r="M4" s="951"/>
      <c r="N4" s="951"/>
    </row>
    <row r="5" spans="1:14" ht="18">
      <c r="A5" s="950" t="s">
        <v>1384</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row>
    <row r="11" spans="1:14" s="946" customFormat="1" ht="31.5">
      <c r="A11" s="1980" t="s">
        <v>1310</v>
      </c>
      <c r="B11" s="1981"/>
      <c r="C11" s="921" t="s">
        <v>1385</v>
      </c>
      <c r="D11" s="921" t="s">
        <v>1386</v>
      </c>
      <c r="E11" s="921" t="s">
        <v>1387</v>
      </c>
      <c r="F11" s="921" t="s">
        <v>1388</v>
      </c>
      <c r="G11" s="921" t="s">
        <v>1389</v>
      </c>
      <c r="H11" s="921" t="s">
        <v>1390</v>
      </c>
      <c r="I11" s="921" t="s">
        <v>1391</v>
      </c>
      <c r="J11" s="921" t="s">
        <v>1392</v>
      </c>
      <c r="K11" s="921" t="s">
        <v>1393</v>
      </c>
      <c r="L11" s="921" t="s">
        <v>1394</v>
      </c>
      <c r="M11" s="921" t="s">
        <v>392</v>
      </c>
      <c r="N11" s="921" t="s">
        <v>382</v>
      </c>
    </row>
    <row r="12" spans="1:14" s="946" customFormat="1" ht="31.5">
      <c r="A12" s="1984"/>
      <c r="B12" s="1985"/>
      <c r="C12" s="922" t="s">
        <v>1395</v>
      </c>
      <c r="D12" s="922" t="s">
        <v>1396</v>
      </c>
      <c r="E12" s="922" t="s">
        <v>1397</v>
      </c>
      <c r="F12" s="922" t="s">
        <v>1398</v>
      </c>
      <c r="G12" s="922" t="s">
        <v>1399</v>
      </c>
      <c r="H12" s="922" t="s">
        <v>1400</v>
      </c>
      <c r="I12" s="922" t="s">
        <v>1401</v>
      </c>
      <c r="J12" s="922" t="s">
        <v>1402</v>
      </c>
      <c r="K12" s="922" t="s">
        <v>1403</v>
      </c>
      <c r="L12" s="922" t="s">
        <v>1404</v>
      </c>
      <c r="M12" s="922" t="s">
        <v>400</v>
      </c>
      <c r="N12" s="947" t="s">
        <v>1405</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c r="B16" s="847"/>
      <c r="C16" s="804"/>
      <c r="D16" s="804"/>
      <c r="E16" s="804"/>
      <c r="F16" s="923"/>
      <c r="G16" s="804"/>
      <c r="H16" s="804"/>
      <c r="I16" s="804"/>
      <c r="J16" s="923"/>
      <c r="K16" s="804"/>
      <c r="L16" s="804"/>
      <c r="M16" s="804"/>
      <c r="N16" s="804"/>
    </row>
    <row r="17" spans="1:15" ht="16.5" hidden="1" customHeight="1">
      <c r="A17" s="928">
        <v>2019</v>
      </c>
      <c r="B17" s="847"/>
      <c r="C17" s="804"/>
      <c r="D17" s="804"/>
      <c r="E17" s="804"/>
      <c r="F17" s="923"/>
      <c r="G17" s="804"/>
      <c r="H17" s="804"/>
      <c r="I17" s="804"/>
      <c r="J17" s="923"/>
      <c r="K17" s="804"/>
      <c r="L17" s="804"/>
      <c r="M17" s="804"/>
      <c r="N17" s="804"/>
    </row>
    <row r="18" spans="1:15" ht="21" customHeight="1">
      <c r="A18" s="928">
        <v>2020</v>
      </c>
      <c r="B18" s="847"/>
      <c r="C18" s="804">
        <v>2924708</v>
      </c>
      <c r="D18" s="804">
        <v>263623</v>
      </c>
      <c r="E18" s="804">
        <v>304474</v>
      </c>
      <c r="F18" s="923">
        <v>56177</v>
      </c>
      <c r="G18" s="804">
        <v>34308</v>
      </c>
      <c r="H18" s="804">
        <v>2099157</v>
      </c>
      <c r="I18" s="804">
        <v>248345</v>
      </c>
      <c r="J18" s="923">
        <v>19806</v>
      </c>
      <c r="K18" s="804">
        <v>25037</v>
      </c>
      <c r="L18" s="804">
        <v>62366</v>
      </c>
      <c r="M18" s="804">
        <v>400294</v>
      </c>
      <c r="N18" s="804">
        <v>6438295</v>
      </c>
    </row>
    <row r="19" spans="1:15" ht="16.5" customHeight="1">
      <c r="A19" s="928">
        <v>2021</v>
      </c>
      <c r="B19" s="847"/>
      <c r="C19" s="804">
        <v>7514395</v>
      </c>
      <c r="D19" s="804">
        <v>458368</v>
      </c>
      <c r="E19" s="804">
        <v>498733</v>
      </c>
      <c r="F19" s="923">
        <v>108910</v>
      </c>
      <c r="G19" s="804">
        <v>55870</v>
      </c>
      <c r="H19" s="804">
        <v>4522015</v>
      </c>
      <c r="I19" s="804">
        <v>461737</v>
      </c>
      <c r="J19" s="923">
        <v>73913</v>
      </c>
      <c r="K19" s="804">
        <v>121754</v>
      </c>
      <c r="L19" s="804">
        <v>568391</v>
      </c>
      <c r="M19" s="804">
        <v>1625323</v>
      </c>
      <c r="N19" s="804">
        <v>16009409</v>
      </c>
    </row>
    <row r="20" spans="1:15" ht="16.5" customHeight="1">
      <c r="A20" s="928">
        <v>2022</v>
      </c>
      <c r="B20" s="847"/>
      <c r="C20" s="804">
        <v>21883367</v>
      </c>
      <c r="D20" s="804">
        <v>1322837</v>
      </c>
      <c r="E20" s="804">
        <v>825598</v>
      </c>
      <c r="F20" s="923">
        <v>383549</v>
      </c>
      <c r="G20" s="804">
        <v>130163</v>
      </c>
      <c r="H20" s="804">
        <v>3461848</v>
      </c>
      <c r="I20" s="804">
        <v>768786</v>
      </c>
      <c r="J20" s="923">
        <v>103500</v>
      </c>
      <c r="K20" s="804">
        <v>101075</v>
      </c>
      <c r="L20" s="804">
        <v>363000</v>
      </c>
      <c r="M20" s="804">
        <v>1345286</v>
      </c>
      <c r="N20" s="804">
        <v>30689009</v>
      </c>
    </row>
    <row r="21" spans="1:15" ht="16.5" customHeight="1">
      <c r="A21" s="928">
        <v>2023</v>
      </c>
      <c r="B21" s="847"/>
      <c r="C21" s="804">
        <v>26730137</v>
      </c>
      <c r="D21" s="804">
        <v>2008784</v>
      </c>
      <c r="E21" s="804">
        <v>1185536</v>
      </c>
      <c r="F21" s="923">
        <v>902297</v>
      </c>
      <c r="G21" s="804">
        <v>190537</v>
      </c>
      <c r="H21" s="804">
        <v>2715919</v>
      </c>
      <c r="I21" s="804">
        <v>782528</v>
      </c>
      <c r="J21" s="923">
        <v>74198</v>
      </c>
      <c r="K21" s="804">
        <v>79314</v>
      </c>
      <c r="L21" s="804">
        <v>237330</v>
      </c>
      <c r="M21" s="804">
        <v>1360372</v>
      </c>
      <c r="N21" s="804">
        <v>36266952</v>
      </c>
    </row>
    <row r="22" spans="1:15" ht="16.5" customHeight="1">
      <c r="A22" s="944">
        <v>2024</v>
      </c>
      <c r="B22" s="945"/>
      <c r="C22" s="924">
        <f t="shared" ref="C22:N22" si="0">SUM(C24:C27)</f>
        <v>27978388</v>
      </c>
      <c r="D22" s="924">
        <f t="shared" si="0"/>
        <v>2154953</v>
      </c>
      <c r="E22" s="924">
        <f t="shared" si="0"/>
        <v>1321649</v>
      </c>
      <c r="F22" s="925">
        <f t="shared" si="0"/>
        <v>1155802</v>
      </c>
      <c r="G22" s="924">
        <f t="shared" si="0"/>
        <v>256506</v>
      </c>
      <c r="H22" s="924">
        <f t="shared" si="0"/>
        <v>5108342</v>
      </c>
      <c r="I22" s="924">
        <f t="shared" si="0"/>
        <v>773041</v>
      </c>
      <c r="J22" s="925">
        <f t="shared" si="0"/>
        <v>64308</v>
      </c>
      <c r="K22" s="924">
        <f t="shared" si="0"/>
        <v>68171</v>
      </c>
      <c r="L22" s="924">
        <f t="shared" si="0"/>
        <v>219830</v>
      </c>
      <c r="M22" s="924">
        <f t="shared" si="0"/>
        <v>1379462</v>
      </c>
      <c r="N22" s="924">
        <f t="shared" si="0"/>
        <v>40480452</v>
      </c>
    </row>
    <row r="23" spans="1:15" ht="21" customHeight="1">
      <c r="A23" s="928">
        <v>2023</v>
      </c>
      <c r="B23" s="847" t="s">
        <v>238</v>
      </c>
      <c r="C23" s="804">
        <v>6916237</v>
      </c>
      <c r="D23" s="804">
        <v>471273</v>
      </c>
      <c r="E23" s="804">
        <v>456704</v>
      </c>
      <c r="F23" s="923">
        <v>228455</v>
      </c>
      <c r="G23" s="804">
        <v>64772</v>
      </c>
      <c r="H23" s="804">
        <v>628885</v>
      </c>
      <c r="I23" s="804">
        <v>242614</v>
      </c>
      <c r="J23" s="923">
        <v>23991</v>
      </c>
      <c r="K23" s="804">
        <v>26548</v>
      </c>
      <c r="L23" s="804">
        <v>65309</v>
      </c>
      <c r="M23" s="804">
        <v>456631</v>
      </c>
      <c r="N23" s="804">
        <v>9581419</v>
      </c>
    </row>
    <row r="24" spans="1:15" ht="21" customHeight="1">
      <c r="A24" s="928">
        <v>2024</v>
      </c>
      <c r="B24" s="847" t="s">
        <v>239</v>
      </c>
      <c r="C24" s="804">
        <v>6574536</v>
      </c>
      <c r="D24" s="804">
        <v>598582</v>
      </c>
      <c r="E24" s="804">
        <v>406108</v>
      </c>
      <c r="F24" s="923">
        <v>236006</v>
      </c>
      <c r="G24" s="804">
        <v>81065</v>
      </c>
      <c r="H24" s="804">
        <v>849999</v>
      </c>
      <c r="I24" s="804">
        <v>260677</v>
      </c>
      <c r="J24" s="923">
        <v>21136</v>
      </c>
      <c r="K24" s="804">
        <v>24093</v>
      </c>
      <c r="L24" s="804">
        <v>58477</v>
      </c>
      <c r="M24" s="804">
        <v>424619</v>
      </c>
      <c r="N24" s="804">
        <v>9535298</v>
      </c>
      <c r="O24" s="1181"/>
    </row>
    <row r="25" spans="1:15" ht="15" customHeight="1">
      <c r="A25" s="928"/>
      <c r="B25" s="847" t="s">
        <v>240</v>
      </c>
      <c r="C25" s="804">
        <v>7030156</v>
      </c>
      <c r="D25" s="804">
        <v>494563</v>
      </c>
      <c r="E25" s="804">
        <v>269101</v>
      </c>
      <c r="F25" s="923">
        <v>296285</v>
      </c>
      <c r="G25" s="804">
        <v>45560</v>
      </c>
      <c r="H25" s="804">
        <v>1228852</v>
      </c>
      <c r="I25" s="804">
        <v>164043</v>
      </c>
      <c r="J25" s="923">
        <v>13669</v>
      </c>
      <c r="K25" s="804">
        <v>12222</v>
      </c>
      <c r="L25" s="804">
        <v>48892</v>
      </c>
      <c r="M25" s="804">
        <v>265903</v>
      </c>
      <c r="N25" s="804">
        <v>9869246</v>
      </c>
      <c r="O25" s="1181"/>
    </row>
    <row r="26" spans="1:15" ht="15" customHeight="1">
      <c r="A26" s="928"/>
      <c r="B26" s="847" t="s">
        <v>237</v>
      </c>
      <c r="C26" s="804">
        <v>7287363</v>
      </c>
      <c r="D26" s="804">
        <v>599038</v>
      </c>
      <c r="E26" s="804">
        <v>242188</v>
      </c>
      <c r="F26" s="923">
        <v>317510</v>
      </c>
      <c r="G26" s="804">
        <v>48775</v>
      </c>
      <c r="H26" s="804">
        <v>1456973</v>
      </c>
      <c r="I26" s="804">
        <v>142670</v>
      </c>
      <c r="J26" s="923">
        <v>10996</v>
      </c>
      <c r="K26" s="804">
        <v>9823</v>
      </c>
      <c r="L26" s="804">
        <v>48226</v>
      </c>
      <c r="M26" s="804">
        <v>266959</v>
      </c>
      <c r="N26" s="804">
        <v>10430521</v>
      </c>
      <c r="O26" s="1181"/>
    </row>
    <row r="27" spans="1:15" ht="15" customHeight="1">
      <c r="A27" s="928"/>
      <c r="B27" s="847" t="s">
        <v>238</v>
      </c>
      <c r="C27" s="804">
        <v>7086333</v>
      </c>
      <c r="D27" s="804">
        <v>462770</v>
      </c>
      <c r="E27" s="804">
        <v>404252</v>
      </c>
      <c r="F27" s="923">
        <v>306001</v>
      </c>
      <c r="G27" s="804">
        <v>81106</v>
      </c>
      <c r="H27" s="804">
        <v>1572518</v>
      </c>
      <c r="I27" s="804">
        <v>205651</v>
      </c>
      <c r="J27" s="923">
        <v>18507</v>
      </c>
      <c r="K27" s="804">
        <v>22033</v>
      </c>
      <c r="L27" s="804">
        <v>64235</v>
      </c>
      <c r="M27" s="804">
        <v>421981</v>
      </c>
      <c r="N27" s="804">
        <v>10645387</v>
      </c>
      <c r="O27" s="1181"/>
    </row>
    <row r="28" spans="1:15" ht="21" customHeight="1">
      <c r="A28" s="928">
        <v>2025</v>
      </c>
      <c r="B28" s="847" t="s">
        <v>239</v>
      </c>
      <c r="C28" s="804">
        <f t="shared" ref="C28:N28" si="1">SUM(C34:C36)</f>
        <v>6495631</v>
      </c>
      <c r="D28" s="804">
        <f t="shared" si="1"/>
        <v>678929</v>
      </c>
      <c r="E28" s="804">
        <f t="shared" si="1"/>
        <v>606293</v>
      </c>
      <c r="F28" s="923">
        <f t="shared" si="1"/>
        <v>879599</v>
      </c>
      <c r="G28" s="804">
        <f t="shared" si="1"/>
        <v>153991</v>
      </c>
      <c r="H28" s="804">
        <f t="shared" si="1"/>
        <v>2771161</v>
      </c>
      <c r="I28" s="804">
        <f t="shared" si="1"/>
        <v>197247</v>
      </c>
      <c r="J28" s="923">
        <f t="shared" si="1"/>
        <v>14350</v>
      </c>
      <c r="K28" s="804">
        <f t="shared" si="1"/>
        <v>18455</v>
      </c>
      <c r="L28" s="804">
        <f t="shared" si="1"/>
        <v>54254</v>
      </c>
      <c r="M28" s="804">
        <f t="shared" si="1"/>
        <v>364175</v>
      </c>
      <c r="N28" s="804">
        <f t="shared" si="1"/>
        <v>12234085</v>
      </c>
      <c r="O28" s="1181"/>
    </row>
    <row r="29" spans="1:15" ht="15" customHeight="1">
      <c r="A29" s="928"/>
      <c r="B29" s="847" t="s">
        <v>240</v>
      </c>
      <c r="C29" s="804">
        <f t="shared" ref="C29:N29" si="2">SUM(C37:C39)</f>
        <v>7647454</v>
      </c>
      <c r="D29" s="804">
        <f t="shared" si="2"/>
        <v>627308</v>
      </c>
      <c r="E29" s="804">
        <f t="shared" si="2"/>
        <v>582350</v>
      </c>
      <c r="F29" s="923">
        <f t="shared" si="2"/>
        <v>1126849</v>
      </c>
      <c r="G29" s="804">
        <f t="shared" si="2"/>
        <v>174142</v>
      </c>
      <c r="H29" s="804">
        <f t="shared" si="2"/>
        <v>3403651</v>
      </c>
      <c r="I29" s="804">
        <f t="shared" si="2"/>
        <v>218130</v>
      </c>
      <c r="J29" s="923">
        <f t="shared" si="2"/>
        <v>15708</v>
      </c>
      <c r="K29" s="804">
        <f t="shared" si="2"/>
        <v>16604</v>
      </c>
      <c r="L29" s="804">
        <f t="shared" si="2"/>
        <v>64311</v>
      </c>
      <c r="M29" s="804">
        <f t="shared" si="2"/>
        <v>397584</v>
      </c>
      <c r="N29" s="804">
        <f t="shared" si="2"/>
        <v>14274091</v>
      </c>
      <c r="O29" s="1181"/>
    </row>
    <row r="30" spans="1:15" ht="15" customHeight="1">
      <c r="A30" s="944"/>
      <c r="B30" s="945" t="s">
        <v>237</v>
      </c>
      <c r="C30" s="924">
        <f t="shared" ref="C30:N30" si="3">SUM(C40:C42)</f>
        <v>7369003</v>
      </c>
      <c r="D30" s="924">
        <f t="shared" si="3"/>
        <v>792085</v>
      </c>
      <c r="E30" s="924">
        <f t="shared" si="3"/>
        <v>607501</v>
      </c>
      <c r="F30" s="925">
        <f t="shared" si="3"/>
        <v>1252052</v>
      </c>
      <c r="G30" s="924">
        <f t="shared" si="3"/>
        <v>175753</v>
      </c>
      <c r="H30" s="924">
        <f t="shared" si="3"/>
        <v>3228401</v>
      </c>
      <c r="I30" s="924">
        <f t="shared" si="3"/>
        <v>170344</v>
      </c>
      <c r="J30" s="925">
        <f t="shared" si="3"/>
        <v>12337</v>
      </c>
      <c r="K30" s="924">
        <f t="shared" si="3"/>
        <v>11578</v>
      </c>
      <c r="L30" s="924">
        <f t="shared" si="3"/>
        <v>57818</v>
      </c>
      <c r="M30" s="924">
        <f t="shared" si="3"/>
        <v>333824</v>
      </c>
      <c r="N30" s="924">
        <f t="shared" si="3"/>
        <v>14010696</v>
      </c>
      <c r="O30" s="1181"/>
    </row>
    <row r="31" spans="1:15" ht="21" customHeight="1">
      <c r="A31" s="928">
        <v>2024</v>
      </c>
      <c r="B31" s="845" t="s">
        <v>412</v>
      </c>
      <c r="C31" s="804">
        <v>2131988</v>
      </c>
      <c r="D31" s="804">
        <v>126931</v>
      </c>
      <c r="E31" s="804">
        <v>90517</v>
      </c>
      <c r="F31" s="804">
        <v>87968</v>
      </c>
      <c r="G31" s="804">
        <v>18142</v>
      </c>
      <c r="H31" s="804">
        <v>479697</v>
      </c>
      <c r="I31" s="804">
        <v>65612</v>
      </c>
      <c r="J31" s="804">
        <v>5998</v>
      </c>
      <c r="K31" s="804">
        <v>6831</v>
      </c>
      <c r="L31" s="804">
        <v>21709</v>
      </c>
      <c r="M31" s="804">
        <v>131202</v>
      </c>
      <c r="N31" s="804">
        <v>3166595</v>
      </c>
    </row>
    <row r="32" spans="1:15">
      <c r="A32" s="928"/>
      <c r="B32" s="845" t="s">
        <v>413</v>
      </c>
      <c r="C32" s="804">
        <v>2605860</v>
      </c>
      <c r="D32" s="804">
        <v>153885</v>
      </c>
      <c r="E32" s="804">
        <v>111318</v>
      </c>
      <c r="F32" s="804">
        <v>92926</v>
      </c>
      <c r="G32" s="804">
        <v>27421</v>
      </c>
      <c r="H32" s="804">
        <v>551038</v>
      </c>
      <c r="I32" s="804">
        <v>68209</v>
      </c>
      <c r="J32" s="804">
        <v>7171</v>
      </c>
      <c r="K32" s="804">
        <v>7869</v>
      </c>
      <c r="L32" s="804">
        <v>20321</v>
      </c>
      <c r="M32" s="804">
        <f t="shared" ref="M32" si="4">N32-(SUM(C32:L32))</f>
        <v>144108</v>
      </c>
      <c r="N32" s="804">
        <v>3790126</v>
      </c>
    </row>
    <row r="33" spans="1:14">
      <c r="A33" s="928"/>
      <c r="B33" s="845" t="s">
        <v>414</v>
      </c>
      <c r="C33" s="804">
        <v>2348485</v>
      </c>
      <c r="D33" s="804">
        <v>181954</v>
      </c>
      <c r="E33" s="804">
        <v>202417</v>
      </c>
      <c r="F33" s="804">
        <v>125107</v>
      </c>
      <c r="G33" s="804">
        <v>35543</v>
      </c>
      <c r="H33" s="804">
        <v>541783</v>
      </c>
      <c r="I33" s="804">
        <v>71830</v>
      </c>
      <c r="J33" s="804">
        <v>5338</v>
      </c>
      <c r="K33" s="804">
        <v>7333</v>
      </c>
      <c r="L33" s="804">
        <v>22205</v>
      </c>
      <c r="M33" s="804">
        <f t="shared" ref="M33" si="5">N33-(SUM(C33:L33))</f>
        <v>146671</v>
      </c>
      <c r="N33" s="804">
        <v>3688666</v>
      </c>
    </row>
    <row r="34" spans="1:14" ht="21" customHeight="1">
      <c r="A34" s="928">
        <v>2025</v>
      </c>
      <c r="B34" s="845" t="s">
        <v>415</v>
      </c>
      <c r="C34" s="804">
        <v>2646976</v>
      </c>
      <c r="D34" s="804">
        <v>321687</v>
      </c>
      <c r="E34" s="804">
        <v>244003</v>
      </c>
      <c r="F34" s="804">
        <v>302582</v>
      </c>
      <c r="G34" s="804">
        <v>58312</v>
      </c>
      <c r="H34" s="804">
        <v>980219</v>
      </c>
      <c r="I34" s="804">
        <v>73054</v>
      </c>
      <c r="J34" s="804">
        <v>4851</v>
      </c>
      <c r="K34" s="804">
        <v>6480</v>
      </c>
      <c r="L34" s="804">
        <v>19283</v>
      </c>
      <c r="M34" s="804">
        <f t="shared" ref="M34" si="6">N34-(SUM(C34:L34))</f>
        <v>136297</v>
      </c>
      <c r="N34" s="804">
        <v>4793744</v>
      </c>
    </row>
    <row r="35" spans="1:14" ht="15.75" customHeight="1">
      <c r="A35" s="928"/>
      <c r="B35" s="845" t="s">
        <v>416</v>
      </c>
      <c r="C35" s="804">
        <v>2482640</v>
      </c>
      <c r="D35" s="804">
        <v>276939</v>
      </c>
      <c r="E35" s="804">
        <v>220489</v>
      </c>
      <c r="F35" s="804">
        <v>305148</v>
      </c>
      <c r="G35" s="804">
        <v>70903</v>
      </c>
      <c r="H35" s="804">
        <v>963308</v>
      </c>
      <c r="I35" s="804">
        <v>73545</v>
      </c>
      <c r="J35" s="804">
        <v>5417</v>
      </c>
      <c r="K35" s="804">
        <v>6848</v>
      </c>
      <c r="L35" s="804">
        <v>19528</v>
      </c>
      <c r="M35" s="804">
        <f t="shared" ref="M35" si="7">N35-(SUM(C35:L35))</f>
        <v>135257</v>
      </c>
      <c r="N35" s="804">
        <v>4560022</v>
      </c>
    </row>
    <row r="36" spans="1:14" ht="15.75" customHeight="1">
      <c r="A36" s="928"/>
      <c r="B36" s="845" t="s">
        <v>417</v>
      </c>
      <c r="C36" s="804">
        <v>1366015</v>
      </c>
      <c r="D36" s="804">
        <v>80303</v>
      </c>
      <c r="E36" s="804">
        <v>141801</v>
      </c>
      <c r="F36" s="804">
        <v>271869</v>
      </c>
      <c r="G36" s="804">
        <v>24776</v>
      </c>
      <c r="H36" s="804">
        <v>827634</v>
      </c>
      <c r="I36" s="804">
        <v>50648</v>
      </c>
      <c r="J36" s="804">
        <v>4082</v>
      </c>
      <c r="K36" s="804">
        <v>5127</v>
      </c>
      <c r="L36" s="804">
        <v>15443</v>
      </c>
      <c r="M36" s="804">
        <f t="shared" ref="M36" si="8">N36-(SUM(C36:L36))</f>
        <v>92621</v>
      </c>
      <c r="N36" s="804">
        <v>2880319</v>
      </c>
    </row>
    <row r="37" spans="1:14" ht="15.75" customHeight="1">
      <c r="A37" s="928"/>
      <c r="B37" s="845" t="s">
        <v>418</v>
      </c>
      <c r="C37" s="804">
        <v>2505739</v>
      </c>
      <c r="D37" s="804">
        <v>199509</v>
      </c>
      <c r="E37" s="804">
        <v>213672</v>
      </c>
      <c r="F37" s="804">
        <v>377748</v>
      </c>
      <c r="G37" s="804">
        <v>63720</v>
      </c>
      <c r="H37" s="804">
        <v>1105208</v>
      </c>
      <c r="I37" s="804">
        <v>101716</v>
      </c>
      <c r="J37" s="804">
        <v>7393</v>
      </c>
      <c r="K37" s="804">
        <v>8814</v>
      </c>
      <c r="L37" s="804">
        <v>25445</v>
      </c>
      <c r="M37" s="804">
        <f t="shared" ref="M37" si="9">N37-(SUM(C37:L37))</f>
        <v>170199</v>
      </c>
      <c r="N37" s="804">
        <v>4779163</v>
      </c>
    </row>
    <row r="38" spans="1:14" ht="15.75" customHeight="1">
      <c r="A38" s="928"/>
      <c r="B38" s="845" t="s">
        <v>419</v>
      </c>
      <c r="C38" s="804">
        <v>2628580</v>
      </c>
      <c r="D38" s="804">
        <v>187955</v>
      </c>
      <c r="E38" s="804">
        <v>204645</v>
      </c>
      <c r="F38" s="804">
        <v>386698</v>
      </c>
      <c r="G38" s="804">
        <v>59472</v>
      </c>
      <c r="H38" s="804">
        <v>1162734</v>
      </c>
      <c r="I38" s="804">
        <v>63276</v>
      </c>
      <c r="J38" s="804">
        <v>4962</v>
      </c>
      <c r="K38" s="804">
        <v>4287</v>
      </c>
      <c r="L38" s="804">
        <v>20718</v>
      </c>
      <c r="M38" s="804">
        <f t="shared" ref="M38" si="10">N38-(SUM(C38:L38))</f>
        <v>128280</v>
      </c>
      <c r="N38" s="804">
        <v>4851607</v>
      </c>
    </row>
    <row r="39" spans="1:14" ht="15.75" customHeight="1">
      <c r="A39" s="928"/>
      <c r="B39" s="845" t="s">
        <v>420</v>
      </c>
      <c r="C39" s="804">
        <v>2513135</v>
      </c>
      <c r="D39" s="804">
        <v>239844</v>
      </c>
      <c r="E39" s="804">
        <v>164033</v>
      </c>
      <c r="F39" s="804">
        <v>362403</v>
      </c>
      <c r="G39" s="804">
        <v>50950</v>
      </c>
      <c r="H39" s="804">
        <v>1135709</v>
      </c>
      <c r="I39" s="804">
        <v>53138</v>
      </c>
      <c r="J39" s="804">
        <v>3353</v>
      </c>
      <c r="K39" s="804">
        <v>3503</v>
      </c>
      <c r="L39" s="804">
        <v>18148</v>
      </c>
      <c r="M39" s="804">
        <f t="shared" ref="M39" si="11">N39-(SUM(C39:L39))</f>
        <v>99105</v>
      </c>
      <c r="N39" s="804">
        <v>4643321</v>
      </c>
    </row>
    <row r="40" spans="1:14" ht="15.75" customHeight="1">
      <c r="A40" s="928"/>
      <c r="B40" s="845" t="s">
        <v>421</v>
      </c>
      <c r="C40" s="804">
        <v>2448157</v>
      </c>
      <c r="D40" s="804">
        <v>228734</v>
      </c>
      <c r="E40" s="804">
        <v>175775</v>
      </c>
      <c r="F40" s="804">
        <v>391070</v>
      </c>
      <c r="G40" s="804">
        <v>54970</v>
      </c>
      <c r="H40" s="804">
        <v>1084280</v>
      </c>
      <c r="I40" s="804">
        <v>49563</v>
      </c>
      <c r="J40" s="804">
        <v>3574</v>
      </c>
      <c r="K40" s="804">
        <v>3037</v>
      </c>
      <c r="L40" s="804">
        <v>18054</v>
      </c>
      <c r="M40" s="804">
        <f t="shared" ref="M40" si="12">N40-(SUM(C40:L40))</f>
        <v>95500</v>
      </c>
      <c r="N40" s="804">
        <v>4552714</v>
      </c>
    </row>
    <row r="41" spans="1:14" ht="15.75" customHeight="1">
      <c r="A41" s="928"/>
      <c r="B41" s="845" t="s">
        <v>422</v>
      </c>
      <c r="C41" s="804">
        <v>2709799</v>
      </c>
      <c r="D41" s="804">
        <v>303273</v>
      </c>
      <c r="E41" s="804">
        <v>203052</v>
      </c>
      <c r="F41" s="804">
        <v>528688</v>
      </c>
      <c r="G41" s="804">
        <v>67547</v>
      </c>
      <c r="H41" s="804">
        <v>1138951</v>
      </c>
      <c r="I41" s="804">
        <v>60284</v>
      </c>
      <c r="J41" s="804">
        <v>4307</v>
      </c>
      <c r="K41" s="804">
        <v>3787</v>
      </c>
      <c r="L41" s="804">
        <v>18058</v>
      </c>
      <c r="M41" s="804">
        <f t="shared" ref="M41" si="13">N41-(SUM(C41:L41))</f>
        <v>118516</v>
      </c>
      <c r="N41" s="804">
        <v>5156262</v>
      </c>
    </row>
    <row r="42" spans="1:14" ht="15.75" customHeight="1">
      <c r="A42" s="928"/>
      <c r="B42" s="845" t="s">
        <v>423</v>
      </c>
      <c r="C42" s="804">
        <v>2211047</v>
      </c>
      <c r="D42" s="804">
        <v>260078</v>
      </c>
      <c r="E42" s="804">
        <v>228674</v>
      </c>
      <c r="F42" s="804">
        <v>332294</v>
      </c>
      <c r="G42" s="804">
        <v>53236</v>
      </c>
      <c r="H42" s="804">
        <v>1005170</v>
      </c>
      <c r="I42" s="804">
        <v>60497</v>
      </c>
      <c r="J42" s="804">
        <v>4456</v>
      </c>
      <c r="K42" s="804">
        <v>4754</v>
      </c>
      <c r="L42" s="804">
        <v>21706</v>
      </c>
      <c r="M42" s="804">
        <f t="shared" ref="M42" si="14">N42-(SUM(C42:L42))</f>
        <v>119808</v>
      </c>
      <c r="N42" s="804">
        <v>4301720</v>
      </c>
    </row>
    <row r="43" spans="1:14" ht="15.75" customHeight="1">
      <c r="A43" s="928"/>
      <c r="B43" s="845" t="s">
        <v>412</v>
      </c>
      <c r="C43" s="804">
        <v>2525510</v>
      </c>
      <c r="D43" s="804">
        <v>184575</v>
      </c>
      <c r="E43" s="804">
        <v>260486</v>
      </c>
      <c r="F43" s="804">
        <v>373302</v>
      </c>
      <c r="G43" s="804">
        <v>61671</v>
      </c>
      <c r="H43" s="804">
        <v>1042982</v>
      </c>
      <c r="I43" s="804">
        <v>74769</v>
      </c>
      <c r="J43" s="804">
        <v>5880</v>
      </c>
      <c r="K43" s="804">
        <v>6961</v>
      </c>
      <c r="L43" s="804">
        <v>24748</v>
      </c>
      <c r="M43" s="804">
        <f t="shared" ref="M43" si="15">N43-(SUM(C43:L43))</f>
        <v>153751</v>
      </c>
      <c r="N43" s="804">
        <v>4714635</v>
      </c>
    </row>
    <row r="44" spans="1:14">
      <c r="A44" s="1305"/>
      <c r="B44" s="964"/>
      <c r="C44" s="965"/>
      <c r="D44" s="965"/>
      <c r="E44" s="965"/>
      <c r="F44" s="965"/>
      <c r="G44" s="965"/>
      <c r="H44" s="965"/>
      <c r="I44" s="965"/>
      <c r="J44" s="965"/>
      <c r="K44" s="965"/>
      <c r="L44" s="965"/>
      <c r="M44" s="965"/>
      <c r="N44" s="966"/>
    </row>
    <row r="45" spans="1:14">
      <c r="A45" s="1306"/>
      <c r="B45" s="943"/>
      <c r="C45" s="942"/>
      <c r="D45" s="942"/>
      <c r="E45" s="942"/>
      <c r="F45" s="942"/>
      <c r="G45" s="942"/>
      <c r="H45" s="942"/>
      <c r="I45" s="942"/>
      <c r="J45" s="942"/>
      <c r="K45" s="942"/>
      <c r="L45" s="942"/>
      <c r="M45" s="942"/>
      <c r="N45" s="942"/>
    </row>
    <row r="46" spans="1:14">
      <c r="A46" s="2000" t="s">
        <v>1406</v>
      </c>
      <c r="B46" s="2000"/>
      <c r="C46" s="2000"/>
      <c r="D46" s="2000"/>
      <c r="E46" s="2000"/>
      <c r="F46" s="2000"/>
      <c r="G46" s="2000"/>
      <c r="H46" s="2000"/>
      <c r="I46" s="2000"/>
      <c r="J46" s="2000"/>
      <c r="K46" s="2000"/>
      <c r="L46" s="2000"/>
      <c r="M46" s="2000"/>
      <c r="N46" s="2000"/>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abSelected="1" topLeftCell="A11" zoomScale="90" zoomScaleNormal="90" workbookViewId="0">
      <selection activeCell="N29" sqref="N29"/>
    </sheetView>
  </sheetViews>
  <sheetFormatPr defaultColWidth="18.28515625" defaultRowHeight="15.75"/>
  <cols>
    <col min="1" max="1" width="10.85546875" style="940" customWidth="1"/>
    <col min="2" max="2" width="10.7109375" style="846" customWidth="1"/>
    <col min="3" max="3" width="14" style="846" bestFit="1" customWidth="1"/>
    <col min="4" max="4" width="12.7109375" style="846" customWidth="1"/>
    <col min="5" max="5" width="18.85546875" style="846" bestFit="1" customWidth="1"/>
    <col min="6" max="7" width="12.7109375" style="846" customWidth="1"/>
    <col min="8" max="8" width="17.42578125" style="846" bestFit="1" customWidth="1"/>
    <col min="9" max="9" width="13.7109375" style="846" customWidth="1"/>
    <col min="10" max="10" width="12.7109375" style="846" customWidth="1"/>
    <col min="11" max="11" width="12.85546875" style="846" customWidth="1"/>
    <col min="12" max="12" width="11.42578125" style="846" bestFit="1" customWidth="1"/>
    <col min="13" max="13" width="12.85546875" style="846" bestFit="1" customWidth="1"/>
    <col min="14" max="14" width="14" style="846" bestFit="1" customWidth="1"/>
    <col min="15" max="15" width="10.42578125" style="846" customWidth="1"/>
    <col min="16" max="16384" width="18.28515625" style="846"/>
  </cols>
  <sheetData>
    <row r="1" spans="1:14" ht="18" customHeight="1">
      <c r="A1" s="808" t="s">
        <v>1407</v>
      </c>
      <c r="B1" s="952"/>
      <c r="C1" s="952"/>
      <c r="D1" s="952"/>
      <c r="E1" s="952"/>
      <c r="F1" s="952"/>
      <c r="G1" s="952"/>
      <c r="H1" s="952"/>
      <c r="I1" s="952"/>
      <c r="J1" s="952"/>
      <c r="K1" s="952"/>
      <c r="L1" s="952"/>
      <c r="M1" s="952"/>
      <c r="N1" s="952"/>
    </row>
    <row r="2" spans="1:14" ht="18" customHeight="1">
      <c r="A2" s="950" t="s">
        <v>94</v>
      </c>
      <c r="B2" s="951"/>
      <c r="C2" s="951"/>
      <c r="D2" s="951"/>
      <c r="E2" s="951"/>
      <c r="F2" s="951"/>
      <c r="G2" s="951"/>
      <c r="H2" s="951"/>
      <c r="I2" s="951"/>
      <c r="J2" s="951"/>
      <c r="K2" s="951"/>
      <c r="L2" s="951"/>
      <c r="M2" s="951"/>
      <c r="N2" s="951"/>
    </row>
    <row r="3" spans="1:14" ht="18" customHeight="1">
      <c r="A3" s="950" t="s">
        <v>1383</v>
      </c>
      <c r="B3" s="951"/>
      <c r="C3" s="951"/>
      <c r="D3" s="951"/>
      <c r="E3" s="951"/>
      <c r="F3" s="951"/>
      <c r="G3" s="951"/>
      <c r="H3" s="951"/>
      <c r="I3" s="951"/>
      <c r="J3" s="951"/>
      <c r="K3" s="951"/>
      <c r="L3" s="951"/>
      <c r="M3" s="951"/>
      <c r="N3" s="951"/>
    </row>
    <row r="4" spans="1:14" ht="18" customHeight="1">
      <c r="A4" s="950" t="s">
        <v>93</v>
      </c>
      <c r="B4" s="951"/>
      <c r="C4" s="951"/>
      <c r="D4" s="951"/>
      <c r="E4" s="951"/>
      <c r="F4" s="951"/>
      <c r="G4" s="951"/>
      <c r="H4" s="951"/>
      <c r="I4" s="951"/>
      <c r="J4" s="951"/>
      <c r="K4" s="951"/>
      <c r="L4" s="951"/>
      <c r="M4" s="951"/>
      <c r="N4" s="951"/>
    </row>
    <row r="5" spans="1:14" ht="18">
      <c r="A5" s="950" t="s">
        <v>1384</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t="s">
        <v>1408</v>
      </c>
      <c r="N10" s="846" t="s">
        <v>1409</v>
      </c>
    </row>
    <row r="11" spans="1:14" s="946" customFormat="1" ht="31.5">
      <c r="A11" s="1980" t="s">
        <v>1310</v>
      </c>
      <c r="B11" s="1981"/>
      <c r="C11" s="921" t="s">
        <v>1385</v>
      </c>
      <c r="D11" s="921" t="s">
        <v>1386</v>
      </c>
      <c r="E11" s="921" t="s">
        <v>1387</v>
      </c>
      <c r="F11" s="921" t="s">
        <v>1388</v>
      </c>
      <c r="G11" s="921" t="s">
        <v>1389</v>
      </c>
      <c r="H11" s="921" t="s">
        <v>1390</v>
      </c>
      <c r="I11" s="921" t="s">
        <v>1391</v>
      </c>
      <c r="J11" s="921" t="s">
        <v>1392</v>
      </c>
      <c r="K11" s="921" t="s">
        <v>1393</v>
      </c>
      <c r="L11" s="921" t="s">
        <v>1394</v>
      </c>
      <c r="M11" s="921" t="s">
        <v>392</v>
      </c>
      <c r="N11" s="921" t="s">
        <v>382</v>
      </c>
    </row>
    <row r="12" spans="1:14" s="946" customFormat="1" ht="31.5">
      <c r="A12" s="1984"/>
      <c r="B12" s="1985"/>
      <c r="C12" s="922" t="s">
        <v>1395</v>
      </c>
      <c r="D12" s="922" t="s">
        <v>1396</v>
      </c>
      <c r="E12" s="922" t="s">
        <v>1397</v>
      </c>
      <c r="F12" s="922" t="s">
        <v>1398</v>
      </c>
      <c r="G12" s="922" t="s">
        <v>1399</v>
      </c>
      <c r="H12" s="922" t="s">
        <v>1400</v>
      </c>
      <c r="I12" s="922" t="s">
        <v>1401</v>
      </c>
      <c r="J12" s="922" t="s">
        <v>1402</v>
      </c>
      <c r="K12" s="922" t="s">
        <v>1403</v>
      </c>
      <c r="L12" s="922" t="s">
        <v>1404</v>
      </c>
      <c r="M12" s="922" t="s">
        <v>400</v>
      </c>
      <c r="N12" s="947" t="s">
        <v>1405</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c r="B16" s="847"/>
      <c r="C16" s="804"/>
      <c r="D16" s="804"/>
      <c r="E16" s="804"/>
      <c r="F16" s="923"/>
      <c r="G16" s="804"/>
      <c r="H16" s="804"/>
      <c r="I16" s="804"/>
      <c r="J16" s="923"/>
      <c r="K16" s="804"/>
      <c r="L16" s="804"/>
      <c r="M16" s="804"/>
      <c r="N16" s="804"/>
    </row>
    <row r="17" spans="1:14" ht="16.5" hidden="1" customHeight="1">
      <c r="A17" s="928">
        <v>2019</v>
      </c>
      <c r="B17" s="847"/>
      <c r="C17" s="804"/>
      <c r="D17" s="804"/>
      <c r="E17" s="804"/>
      <c r="F17" s="923"/>
      <c r="G17" s="804"/>
      <c r="H17" s="804"/>
      <c r="I17" s="804"/>
      <c r="J17" s="923"/>
      <c r="K17" s="804"/>
      <c r="L17" s="804"/>
      <c r="M17" s="804"/>
      <c r="N17" s="804"/>
    </row>
    <row r="18" spans="1:14" ht="21" customHeight="1">
      <c r="A18" s="928">
        <v>2020</v>
      </c>
      <c r="B18" s="847"/>
      <c r="C18" s="804">
        <v>95845541.989860445</v>
      </c>
      <c r="D18" s="804">
        <v>12387291.417549569</v>
      </c>
      <c r="E18" s="804">
        <v>13505455.781372812</v>
      </c>
      <c r="F18" s="923">
        <v>2685253.8363256603</v>
      </c>
      <c r="G18" s="804">
        <v>1247940.6627449999</v>
      </c>
      <c r="H18" s="804">
        <v>64792230.700172424</v>
      </c>
      <c r="I18" s="804">
        <v>9395499.1749671213</v>
      </c>
      <c r="J18" s="923">
        <v>796472.69093497994</v>
      </c>
      <c r="K18" s="804">
        <v>881808.92438500014</v>
      </c>
      <c r="L18" s="804">
        <v>1469796.362</v>
      </c>
      <c r="M18" s="804">
        <v>13986298.233731102</v>
      </c>
      <c r="N18" s="804">
        <v>216993589.77404413</v>
      </c>
    </row>
    <row r="19" spans="1:14" ht="16.5" customHeight="1">
      <c r="A19" s="928">
        <v>2021</v>
      </c>
      <c r="B19" s="847"/>
      <c r="C19" s="804">
        <v>206932062.40157521</v>
      </c>
      <c r="D19" s="804">
        <v>22505465.034025073</v>
      </c>
      <c r="E19" s="804">
        <v>23354491.45208</v>
      </c>
      <c r="F19" s="923">
        <v>5112823.58776558</v>
      </c>
      <c r="G19" s="804">
        <v>1984024.1369445003</v>
      </c>
      <c r="H19" s="804">
        <v>113342955.29856345</v>
      </c>
      <c r="I19" s="804">
        <v>16753528.597211529</v>
      </c>
      <c r="J19" s="923">
        <v>2518650.7849335</v>
      </c>
      <c r="K19" s="804">
        <v>3372642.9391922504</v>
      </c>
      <c r="L19" s="804">
        <v>6246134.1707610302</v>
      </c>
      <c r="M19" s="804">
        <v>41871511.342352867</v>
      </c>
      <c r="N19" s="804">
        <v>443994289.74540502</v>
      </c>
    </row>
    <row r="20" spans="1:14" ht="16.5" customHeight="1">
      <c r="A20" s="928">
        <v>2022</v>
      </c>
      <c r="B20" s="847"/>
      <c r="C20" s="804">
        <v>469695493.62897837</v>
      </c>
      <c r="D20" s="804">
        <v>57618907.490186676</v>
      </c>
      <c r="E20" s="804">
        <v>36409433.306460582</v>
      </c>
      <c r="F20" s="923">
        <v>15297484.235590149</v>
      </c>
      <c r="G20" s="804">
        <v>4181543.5570696797</v>
      </c>
      <c r="H20" s="804">
        <v>95402430.728153393</v>
      </c>
      <c r="I20" s="804">
        <v>22729376.897553682</v>
      </c>
      <c r="J20" s="923">
        <v>2587530.1345593003</v>
      </c>
      <c r="K20" s="804">
        <v>2306920.9361455897</v>
      </c>
      <c r="L20" s="804">
        <v>5358979.2299181893</v>
      </c>
      <c r="M20" s="804">
        <v>42246443.236680374</v>
      </c>
      <c r="N20" s="804">
        <v>753834543.38129604</v>
      </c>
    </row>
    <row r="21" spans="1:14" ht="16.5" customHeight="1">
      <c r="A21" s="928">
        <v>2023</v>
      </c>
      <c r="B21" s="847"/>
      <c r="C21" s="804">
        <v>517144124.99138343</v>
      </c>
      <c r="D21" s="804">
        <v>71643492.374954179</v>
      </c>
      <c r="E21" s="804">
        <v>66951962.142273098</v>
      </c>
      <c r="F21" s="923">
        <v>30301636.444773261</v>
      </c>
      <c r="G21" s="804">
        <v>5798983.9034489999</v>
      </c>
      <c r="H21" s="804">
        <v>80524349.004949853</v>
      </c>
      <c r="I21" s="804">
        <v>26218895.759767033</v>
      </c>
      <c r="J21" s="923">
        <v>2228876.5375529998</v>
      </c>
      <c r="K21" s="804">
        <v>2160155.4161075698</v>
      </c>
      <c r="L21" s="804">
        <v>5106809.1438325001</v>
      </c>
      <c r="M21" s="804">
        <v>67593708.269656539</v>
      </c>
      <c r="N21" s="804">
        <v>875672993.98869944</v>
      </c>
    </row>
    <row r="22" spans="1:14" ht="16.5" customHeight="1">
      <c r="A22" s="944">
        <v>2024</v>
      </c>
      <c r="B22" s="945"/>
      <c r="C22" s="924">
        <f t="shared" ref="C22:N22" si="0">SUM(C24:C27)</f>
        <v>540057616.98995006</v>
      </c>
      <c r="D22" s="924">
        <f>SUM(D24:D27)</f>
        <v>71209831.885000005</v>
      </c>
      <c r="E22" s="924">
        <f t="shared" si="0"/>
        <v>66031442.365000002</v>
      </c>
      <c r="F22" s="925">
        <f>SUM(F24:F27)</f>
        <v>38932536.3336</v>
      </c>
      <c r="G22" s="924">
        <f t="shared" si="0"/>
        <v>6309293.7759000007</v>
      </c>
      <c r="H22" s="924">
        <f t="shared" si="0"/>
        <v>121350142.80010003</v>
      </c>
      <c r="I22" s="924">
        <f t="shared" si="0"/>
        <v>25597574.116999999</v>
      </c>
      <c r="J22" s="925">
        <f>SUM(J24:J27)</f>
        <v>1743393.4890000001</v>
      </c>
      <c r="K22" s="924">
        <f>SUM(K24:K27)-0.5</f>
        <v>1753604.3980000003</v>
      </c>
      <c r="L22" s="924">
        <f t="shared" si="0"/>
        <v>5312596.7525999993</v>
      </c>
      <c r="M22" s="924">
        <f t="shared" si="0"/>
        <v>56138955.216850013</v>
      </c>
      <c r="N22" s="924">
        <f t="shared" si="0"/>
        <v>934436987.023</v>
      </c>
    </row>
    <row r="23" spans="1:14" ht="21" customHeight="1">
      <c r="A23" s="928">
        <v>2023</v>
      </c>
      <c r="B23" s="847" t="s">
        <v>238</v>
      </c>
      <c r="C23" s="804">
        <v>140397061.75632605</v>
      </c>
      <c r="D23" s="804">
        <v>21545913.155999999</v>
      </c>
      <c r="E23" s="804">
        <v>34735126.085000001</v>
      </c>
      <c r="F23" s="923">
        <v>8096975.6210000003</v>
      </c>
      <c r="G23" s="804">
        <v>2262491.864449</v>
      </c>
      <c r="H23" s="804">
        <v>18869901.996826302</v>
      </c>
      <c r="I23" s="804">
        <v>9259725.2230272498</v>
      </c>
      <c r="J23" s="923">
        <v>957338.87999999989</v>
      </c>
      <c r="K23" s="804">
        <v>752642.53399999999</v>
      </c>
      <c r="L23" s="804">
        <v>1602249.230188</v>
      </c>
      <c r="M23" s="804">
        <v>20190695.803412139</v>
      </c>
      <c r="N23" s="804">
        <v>258670122.15022874</v>
      </c>
    </row>
    <row r="24" spans="1:14" ht="21" customHeight="1">
      <c r="A24" s="928">
        <v>2024</v>
      </c>
      <c r="B24" s="847" t="s">
        <v>239</v>
      </c>
      <c r="C24" s="804">
        <v>125733295.59017999</v>
      </c>
      <c r="D24" s="804">
        <v>24441738.318999998</v>
      </c>
      <c r="E24" s="804">
        <v>31686829.555</v>
      </c>
      <c r="F24" s="923">
        <v>9472459.4539999999</v>
      </c>
      <c r="G24" s="804">
        <v>2185223.2039999999</v>
      </c>
      <c r="H24" s="804">
        <v>23800011.334000006</v>
      </c>
      <c r="I24" s="804">
        <v>8581135.0789999999</v>
      </c>
      <c r="J24" s="923">
        <v>575881.09900000005</v>
      </c>
      <c r="K24" s="804">
        <v>629668.09600000014</v>
      </c>
      <c r="L24" s="804">
        <v>1574240.602</v>
      </c>
      <c r="M24" s="804">
        <v>19121950.598820016</v>
      </c>
      <c r="N24" s="804">
        <v>247802432.93099999</v>
      </c>
    </row>
    <row r="25" spans="1:14" ht="15" customHeight="1">
      <c r="A25" s="928"/>
      <c r="B25" s="847" t="s">
        <v>240</v>
      </c>
      <c r="C25" s="804">
        <v>136994421.05269</v>
      </c>
      <c r="D25" s="804">
        <v>14910388.523</v>
      </c>
      <c r="E25" s="804">
        <v>10549713.467</v>
      </c>
      <c r="F25" s="923">
        <v>9090892.1105999984</v>
      </c>
      <c r="G25" s="804">
        <v>1224972.7119999998</v>
      </c>
      <c r="H25" s="804">
        <v>30017282.537099998</v>
      </c>
      <c r="I25" s="804">
        <v>5586898.6150000002</v>
      </c>
      <c r="J25" s="923">
        <v>352215.05800000002</v>
      </c>
      <c r="K25" s="804">
        <v>354540.35699999996</v>
      </c>
      <c r="L25" s="804">
        <v>1208522.2445999999</v>
      </c>
      <c r="M25" s="804">
        <v>11744010.39901001</v>
      </c>
      <c r="N25" s="804">
        <v>222033856.87599999</v>
      </c>
    </row>
    <row r="26" spans="1:14" ht="15" customHeight="1">
      <c r="A26" s="928"/>
      <c r="B26" s="847" t="s">
        <v>237</v>
      </c>
      <c r="C26" s="804">
        <v>131171844.16600001</v>
      </c>
      <c r="D26" s="804">
        <v>16764763.471000001</v>
      </c>
      <c r="E26" s="804">
        <v>9383377.3790000007</v>
      </c>
      <c r="F26" s="923">
        <v>9286005.5769999996</v>
      </c>
      <c r="G26" s="804">
        <v>1094505.3930000002</v>
      </c>
      <c r="H26" s="804">
        <v>32796735.362999998</v>
      </c>
      <c r="I26" s="804">
        <v>4483360.1519999998</v>
      </c>
      <c r="J26" s="923">
        <v>290233.99400000006</v>
      </c>
      <c r="K26" s="804">
        <v>262199.49100000004</v>
      </c>
      <c r="L26" s="804">
        <v>996368.35100000002</v>
      </c>
      <c r="M26" s="804">
        <v>10621019.675000001</v>
      </c>
      <c r="N26" s="804">
        <v>217150410.912</v>
      </c>
    </row>
    <row r="27" spans="1:14" ht="15" customHeight="1">
      <c r="A27" s="928"/>
      <c r="B27" s="847" t="s">
        <v>238</v>
      </c>
      <c r="C27" s="804">
        <v>146158056.18108001</v>
      </c>
      <c r="D27" s="804">
        <v>15092941.571999999</v>
      </c>
      <c r="E27" s="804">
        <v>14411521.964</v>
      </c>
      <c r="F27" s="923">
        <v>11083179.192</v>
      </c>
      <c r="G27" s="804">
        <v>1804592.4669000001</v>
      </c>
      <c r="H27" s="804">
        <v>34736113.566000007</v>
      </c>
      <c r="I27" s="804">
        <v>6946180.2709999997</v>
      </c>
      <c r="J27" s="923">
        <v>525063.33799999999</v>
      </c>
      <c r="K27" s="804">
        <v>507196.95400000009</v>
      </c>
      <c r="L27" s="804">
        <v>1533465.5549999999</v>
      </c>
      <c r="M27" s="804">
        <v>14651974.544019978</v>
      </c>
      <c r="N27" s="804">
        <v>247450286.30400002</v>
      </c>
    </row>
    <row r="28" spans="1:14" ht="21" customHeight="1">
      <c r="A28" s="928">
        <v>2025</v>
      </c>
      <c r="B28" s="847" t="s">
        <v>239</v>
      </c>
      <c r="C28" s="804">
        <f>SUM(C34:C36)</f>
        <v>124740332.65530002</v>
      </c>
      <c r="D28" s="804">
        <f>SUM(D34:D36)</f>
        <v>18895853.296</v>
      </c>
      <c r="E28" s="804">
        <f>SUM(E34:E36)</f>
        <v>15375861.591000002</v>
      </c>
      <c r="F28" s="923">
        <f>SUM(F34:F36)</f>
        <v>14653741.381000001</v>
      </c>
      <c r="G28" s="804">
        <f>SUM(G34:G36)-1</f>
        <v>2418160.0360000003</v>
      </c>
      <c r="H28" s="804">
        <f>SUM(H34:H36)+0.2</f>
        <v>40866314.557000004</v>
      </c>
      <c r="I28" s="804">
        <f>SUM(I34:I36)</f>
        <v>6272833.5049999999</v>
      </c>
      <c r="J28" s="923">
        <f>SUM(J34:J36)-0.3</f>
        <v>392040.37400000007</v>
      </c>
      <c r="K28" s="804">
        <f>SUM(K34:K36)+0.1</f>
        <v>373937.56999999995</v>
      </c>
      <c r="L28" s="804">
        <f>SUM(L34:L36)+0.3</f>
        <v>1242365.5989999999</v>
      </c>
      <c r="M28" s="804">
        <f>SUM(M34:M36)</f>
        <v>14243517.279700007</v>
      </c>
      <c r="N28" s="804">
        <f>SUM(N34:N36)+0.3</f>
        <v>239474958.64400002</v>
      </c>
    </row>
    <row r="29" spans="1:14" ht="15" customHeight="1">
      <c r="A29" s="928"/>
      <c r="B29" s="847" t="s">
        <v>240</v>
      </c>
      <c r="C29" s="804">
        <f>SUM(C37:C39)</f>
        <v>141407532.64532998</v>
      </c>
      <c r="D29" s="804">
        <f>SUM(D37:D39)</f>
        <v>16772243.105999997</v>
      </c>
      <c r="E29" s="804">
        <f>SUM(E37:E39)+0.5</f>
        <v>14643017.645</v>
      </c>
      <c r="F29" s="923">
        <f>SUM(F37:F39)</f>
        <v>14324472.241</v>
      </c>
      <c r="G29" s="804">
        <f>SUM(G37:G39)</f>
        <v>2629806.4270000001</v>
      </c>
      <c r="H29" s="804">
        <f>SUM(H37:H39)+0.2</f>
        <v>47590120.645640001</v>
      </c>
      <c r="I29" s="804">
        <f>SUM(I37:I39)</f>
        <v>6770847.2368199993</v>
      </c>
      <c r="J29" s="923">
        <f>SUM(J37:J39)</f>
        <v>437797.15899999999</v>
      </c>
      <c r="K29" s="804">
        <f>SUM(K37:K39)</f>
        <v>383622.75900000008</v>
      </c>
      <c r="L29" s="804">
        <f>SUM(L37:L39)</f>
        <v>1323818.2199999997</v>
      </c>
      <c r="M29" s="804">
        <f>SUM(M37:M39)-1</f>
        <v>14983354.259110004</v>
      </c>
      <c r="N29" s="804">
        <f>SUM(N37:N39)-1</f>
        <v>261266632.14390004</v>
      </c>
    </row>
    <row r="30" spans="1:14" ht="15" customHeight="1">
      <c r="A30" s="944"/>
      <c r="B30" s="945" t="s">
        <v>237</v>
      </c>
      <c r="C30" s="924">
        <f>SUM(C40:C42)+0.1</f>
        <v>131384827.54299998</v>
      </c>
      <c r="D30" s="924">
        <f>SUM(D40:D42)+0.1</f>
        <v>19611564.589000002</v>
      </c>
      <c r="E30" s="924">
        <f>SUM(E40:E42)</f>
        <v>13938238.651999999</v>
      </c>
      <c r="F30" s="925">
        <f>SUM(F40:F42)-0.2</f>
        <v>17549518.403000001</v>
      </c>
      <c r="G30" s="924">
        <f>SUM(G40:G42)</f>
        <v>2743948.6030000001</v>
      </c>
      <c r="H30" s="924">
        <f>SUM(H40:H42)+0.3</f>
        <v>45856944.647</v>
      </c>
      <c r="I30" s="924">
        <f>SUM(I40:I42)-0.6</f>
        <v>5348638.4170000004</v>
      </c>
      <c r="J30" s="925">
        <f>SUM(J40:J42)</f>
        <v>345303.61300000001</v>
      </c>
      <c r="K30" s="924">
        <f>SUM(K40:K42)</f>
        <v>231216.64899999998</v>
      </c>
      <c r="L30" s="924">
        <f>SUM(L40:L42)-0.5</f>
        <v>1108636.32</v>
      </c>
      <c r="M30" s="924">
        <f>SUM(M40:M42)</f>
        <v>11887333.139000043</v>
      </c>
      <c r="N30" s="924">
        <f>SUM(N40:N42)+0.2</f>
        <v>250006171.57499999</v>
      </c>
    </row>
    <row r="31" spans="1:14" ht="21" customHeight="1">
      <c r="A31" s="928">
        <v>2024</v>
      </c>
      <c r="B31" s="845" t="s">
        <v>412</v>
      </c>
      <c r="C31" s="804">
        <v>39168621.765080005</v>
      </c>
      <c r="D31" s="804">
        <v>3778114.818</v>
      </c>
      <c r="E31" s="804">
        <v>3187549.6710000001</v>
      </c>
      <c r="F31" s="804">
        <v>2737001.3959999997</v>
      </c>
      <c r="G31" s="804">
        <v>432456.41990000004</v>
      </c>
      <c r="H31" s="804">
        <v>10597950.734999999</v>
      </c>
      <c r="I31" s="804">
        <v>2156601.233</v>
      </c>
      <c r="J31" s="804">
        <v>196299.28399999999</v>
      </c>
      <c r="K31" s="804">
        <v>161391.55600000001</v>
      </c>
      <c r="L31" s="804">
        <v>465699.67800000007</v>
      </c>
      <c r="M31" s="804">
        <v>4138971.4380199849</v>
      </c>
      <c r="N31" s="804">
        <v>67020658.094000004</v>
      </c>
    </row>
    <row r="32" spans="1:14">
      <c r="A32" s="928"/>
      <c r="B32" s="845" t="s">
        <v>413</v>
      </c>
      <c r="C32" s="804">
        <v>56819383.395000003</v>
      </c>
      <c r="D32" s="804">
        <v>5375939.6879999992</v>
      </c>
      <c r="E32" s="804">
        <v>4561454.74</v>
      </c>
      <c r="F32" s="804">
        <v>4495394.3150000004</v>
      </c>
      <c r="G32" s="804">
        <v>730016.68299999996</v>
      </c>
      <c r="H32" s="804">
        <v>12251873.033</v>
      </c>
      <c r="I32" s="804">
        <v>2474214.2750000004</v>
      </c>
      <c r="J32" s="804">
        <v>199703.21600000001</v>
      </c>
      <c r="K32" s="804">
        <v>182228.35700000002</v>
      </c>
      <c r="L32" s="804">
        <v>518103.01799999998</v>
      </c>
      <c r="M32" s="804">
        <f>N32-(SUM(C32:L32))+0.3</f>
        <v>5312689.6489999918</v>
      </c>
      <c r="N32" s="804">
        <v>92921000.069000006</v>
      </c>
    </row>
    <row r="33" spans="1:14">
      <c r="A33" s="928"/>
      <c r="B33" s="845" t="s">
        <v>414</v>
      </c>
      <c r="C33" s="804">
        <v>50170051.020999998</v>
      </c>
      <c r="D33" s="804">
        <v>5938887.0659999996</v>
      </c>
      <c r="E33" s="804">
        <v>6662516.5529999994</v>
      </c>
      <c r="F33" s="804">
        <v>3850784.4809999997</v>
      </c>
      <c r="G33" s="804">
        <v>642118.86400000006</v>
      </c>
      <c r="H33" s="804">
        <v>11886289.698000003</v>
      </c>
      <c r="I33" s="804">
        <v>2315365.2629999998</v>
      </c>
      <c r="J33" s="804">
        <v>129061.33799999999</v>
      </c>
      <c r="K33" s="804">
        <v>163577.04100000003</v>
      </c>
      <c r="L33" s="804">
        <v>549662.85899999994</v>
      </c>
      <c r="M33" s="804">
        <f t="shared" ref="M33" si="1">N33-(SUM(C33:L33))</f>
        <v>5200313.9570000023</v>
      </c>
      <c r="N33" s="804">
        <v>87508628.140999988</v>
      </c>
    </row>
    <row r="34" spans="1:14" ht="21" customHeight="1">
      <c r="A34" s="928">
        <v>2025</v>
      </c>
      <c r="B34" s="845" t="s">
        <v>415</v>
      </c>
      <c r="C34" s="804">
        <v>47170327.154100001</v>
      </c>
      <c r="D34" s="804">
        <v>8672428.0669999998</v>
      </c>
      <c r="E34" s="804">
        <v>5800991.9890000001</v>
      </c>
      <c r="F34" s="804">
        <v>5487232.0599999996</v>
      </c>
      <c r="G34" s="804">
        <v>895880.33400000003</v>
      </c>
      <c r="H34" s="804">
        <v>14575827.638</v>
      </c>
      <c r="I34" s="804">
        <v>2371646.9060000004</v>
      </c>
      <c r="J34" s="804">
        <v>123140.29700000002</v>
      </c>
      <c r="K34" s="804">
        <v>126590.51000000001</v>
      </c>
      <c r="L34" s="804">
        <v>393548.92499999999</v>
      </c>
      <c r="M34" s="804">
        <f t="shared" ref="M34" si="2">N34-(SUM(C34:L34))</f>
        <v>4912627.2309000045</v>
      </c>
      <c r="N34" s="804">
        <v>90530241.111000016</v>
      </c>
    </row>
    <row r="35" spans="1:14" ht="15.75" customHeight="1">
      <c r="A35" s="928"/>
      <c r="B35" s="845" t="s">
        <v>416</v>
      </c>
      <c r="C35" s="804">
        <v>46952667.606200002</v>
      </c>
      <c r="D35" s="804">
        <v>7779476.300999999</v>
      </c>
      <c r="E35" s="804">
        <v>5756251.7429999998</v>
      </c>
      <c r="F35" s="804">
        <v>5673348.1109999996</v>
      </c>
      <c r="G35" s="804">
        <v>1092166.2830000001</v>
      </c>
      <c r="H35" s="804">
        <v>14342580.146000002</v>
      </c>
      <c r="I35" s="804">
        <v>2159910.0489999996</v>
      </c>
      <c r="J35" s="804">
        <v>149674.16100000002</v>
      </c>
      <c r="K35" s="804">
        <v>132698.04599999997</v>
      </c>
      <c r="L35" s="804">
        <v>466199.76999999996</v>
      </c>
      <c r="M35" s="804">
        <f>N35-(SUM(C35:L35))+0.2</f>
        <v>6402514.5667999955</v>
      </c>
      <c r="N35" s="804">
        <v>90907486.582999989</v>
      </c>
    </row>
    <row r="36" spans="1:14" ht="15.75" customHeight="1">
      <c r="A36" s="928"/>
      <c r="B36" s="845" t="s">
        <v>417</v>
      </c>
      <c r="C36" s="804">
        <v>30617337.895000003</v>
      </c>
      <c r="D36" s="804">
        <v>2443948.9279999998</v>
      </c>
      <c r="E36" s="804">
        <v>3818617.8590000002</v>
      </c>
      <c r="F36" s="804">
        <v>3493161.21</v>
      </c>
      <c r="G36" s="804">
        <v>430114.41899999999</v>
      </c>
      <c r="H36" s="804">
        <v>11947906.573000001</v>
      </c>
      <c r="I36" s="804">
        <v>1741276.5499999998</v>
      </c>
      <c r="J36" s="804">
        <v>119226.21600000001</v>
      </c>
      <c r="K36" s="804">
        <v>114648.91400000002</v>
      </c>
      <c r="L36" s="804">
        <v>382616.60399999999</v>
      </c>
      <c r="M36" s="804">
        <f t="shared" ref="M36" si="3">N36-(SUM(C36:L36))</f>
        <v>2928375.4820000082</v>
      </c>
      <c r="N36" s="804">
        <v>58037230.650000006</v>
      </c>
    </row>
    <row r="37" spans="1:14" ht="15.75" customHeight="1">
      <c r="A37" s="928"/>
      <c r="B37" s="845" t="s">
        <v>418</v>
      </c>
      <c r="C37" s="804">
        <v>47434556.771899998</v>
      </c>
      <c r="D37" s="804">
        <v>5782930.9049999993</v>
      </c>
      <c r="E37" s="804">
        <v>5692205.8940000003</v>
      </c>
      <c r="F37" s="804">
        <v>5301090.7340000002</v>
      </c>
      <c r="G37" s="804">
        <v>978911.44500000007</v>
      </c>
      <c r="H37" s="804">
        <v>15896738.687999999</v>
      </c>
      <c r="I37" s="804">
        <v>3023336.4170000004</v>
      </c>
      <c r="J37" s="804">
        <v>195578.94799999997</v>
      </c>
      <c r="K37" s="804">
        <v>201902.17100000003</v>
      </c>
      <c r="L37" s="804">
        <v>524400.91299999994</v>
      </c>
      <c r="M37" s="804">
        <f t="shared" ref="M37" si="4">N37-(SUM(C37:L37))</f>
        <v>6639697.3701000214</v>
      </c>
      <c r="N37" s="804">
        <v>91671350.257000014</v>
      </c>
    </row>
    <row r="38" spans="1:14" ht="15.75" customHeight="1">
      <c r="A38" s="928"/>
      <c r="B38" s="845" t="s">
        <v>419</v>
      </c>
      <c r="C38" s="804">
        <v>48681819.181990005</v>
      </c>
      <c r="D38" s="804">
        <v>5148664.0719999997</v>
      </c>
      <c r="E38" s="804">
        <v>4895812.5520000001</v>
      </c>
      <c r="F38" s="804">
        <v>4807568.0940000005</v>
      </c>
      <c r="G38" s="804">
        <v>885374.1100000001</v>
      </c>
      <c r="H38" s="804">
        <v>16070728.705</v>
      </c>
      <c r="I38" s="804">
        <v>1987591.7939999998</v>
      </c>
      <c r="J38" s="804">
        <v>157203.18700000001</v>
      </c>
      <c r="K38" s="804">
        <v>95628.615000000005</v>
      </c>
      <c r="L38" s="804">
        <v>444760.42399999988</v>
      </c>
      <c r="M38" s="804">
        <f>N38-(SUM(C38:L38))-0.3</f>
        <v>4710375.4470099928</v>
      </c>
      <c r="N38" s="804">
        <v>87885526.481999993</v>
      </c>
    </row>
    <row r="39" spans="1:14" ht="15.75" customHeight="1">
      <c r="A39" s="928"/>
      <c r="B39" s="845" t="s">
        <v>420</v>
      </c>
      <c r="C39" s="804">
        <v>45291156.691439994</v>
      </c>
      <c r="D39" s="804">
        <v>5840648.1289999988</v>
      </c>
      <c r="E39" s="804">
        <v>4054998.699</v>
      </c>
      <c r="F39" s="804">
        <v>4215813.4129999997</v>
      </c>
      <c r="G39" s="804">
        <v>765520.87199999997</v>
      </c>
      <c r="H39" s="804">
        <v>15622653.052639998</v>
      </c>
      <c r="I39" s="804">
        <v>1759919.0258199996</v>
      </c>
      <c r="J39" s="804">
        <v>85015.024000000005</v>
      </c>
      <c r="K39" s="804">
        <v>86091.973000000042</v>
      </c>
      <c r="L39" s="804">
        <v>354656.88300000003</v>
      </c>
      <c r="M39" s="804">
        <f>N39-(SUM(C39:L39))-0.2</f>
        <v>3633282.4419999896</v>
      </c>
      <c r="N39" s="804">
        <v>81709756.404899999</v>
      </c>
    </row>
    <row r="40" spans="1:14" ht="15.75" customHeight="1">
      <c r="A40" s="928"/>
      <c r="B40" s="845" t="s">
        <v>421</v>
      </c>
      <c r="C40" s="804">
        <v>42642260.629999995</v>
      </c>
      <c r="D40" s="804">
        <v>5841615.8880000003</v>
      </c>
      <c r="E40" s="804">
        <v>4374037.3270000005</v>
      </c>
      <c r="F40" s="804">
        <v>4875959.4349999996</v>
      </c>
      <c r="G40" s="804">
        <v>766137.55099999998</v>
      </c>
      <c r="H40" s="804">
        <v>14071934.754000001</v>
      </c>
      <c r="I40" s="804">
        <v>1416154.3969999999</v>
      </c>
      <c r="J40" s="804">
        <v>111432.727</v>
      </c>
      <c r="K40" s="804">
        <v>59476.891999999993</v>
      </c>
      <c r="L40" s="804">
        <v>344716.245</v>
      </c>
      <c r="M40" s="804">
        <f>N40-(SUM(C40:L40))</f>
        <v>3101674.7060000002</v>
      </c>
      <c r="N40" s="804">
        <v>77605400.552000001</v>
      </c>
    </row>
    <row r="41" spans="1:14" ht="15.75" customHeight="1">
      <c r="A41" s="928"/>
      <c r="B41" s="845" t="s">
        <v>422</v>
      </c>
      <c r="C41" s="804">
        <v>46827567.741999999</v>
      </c>
      <c r="D41" s="804">
        <v>7255306.7520000003</v>
      </c>
      <c r="E41" s="804">
        <v>4242347.7419999996</v>
      </c>
      <c r="F41" s="804">
        <v>8583536.1140000001</v>
      </c>
      <c r="G41" s="804">
        <v>1100927.6329999999</v>
      </c>
      <c r="H41" s="804">
        <v>17099466.908</v>
      </c>
      <c r="I41" s="804">
        <v>1998123.145</v>
      </c>
      <c r="J41" s="804">
        <v>87467.34199999999</v>
      </c>
      <c r="K41" s="804">
        <v>73067.975000000006</v>
      </c>
      <c r="L41" s="804">
        <v>334612.35200000001</v>
      </c>
      <c r="M41" s="804">
        <f>N41-(SUM(C41:L41))</f>
        <v>4885021.3550000191</v>
      </c>
      <c r="N41" s="804">
        <v>92487445.060000002</v>
      </c>
    </row>
    <row r="42" spans="1:14" ht="15.75" customHeight="1">
      <c r="A42" s="928"/>
      <c r="B42" s="845" t="s">
        <v>423</v>
      </c>
      <c r="C42" s="804">
        <v>41914999.070999995</v>
      </c>
      <c r="D42" s="804">
        <v>6514641.8489999995</v>
      </c>
      <c r="E42" s="804">
        <v>5321853.5829999996</v>
      </c>
      <c r="F42" s="804">
        <v>4090023.0539999995</v>
      </c>
      <c r="G42" s="804">
        <v>876883.41899999999</v>
      </c>
      <c r="H42" s="804">
        <v>14685542.685000002</v>
      </c>
      <c r="I42" s="804">
        <v>1934361.4750000001</v>
      </c>
      <c r="J42" s="804">
        <v>146403.54399999999</v>
      </c>
      <c r="K42" s="804">
        <v>98671.781999999977</v>
      </c>
      <c r="L42" s="804">
        <v>429308.223</v>
      </c>
      <c r="M42" s="804">
        <f>N42-(SUM(C42:L42))</f>
        <v>3900637.078000024</v>
      </c>
      <c r="N42" s="804">
        <v>79913325.763000011</v>
      </c>
    </row>
    <row r="43" spans="1:14" ht="15.75" customHeight="1">
      <c r="A43" s="928"/>
      <c r="B43" s="845" t="s">
        <v>412</v>
      </c>
      <c r="C43" s="804">
        <v>46616432.264300004</v>
      </c>
      <c r="D43" s="804">
        <v>4989923.84</v>
      </c>
      <c r="E43" s="804">
        <v>6078855.5659999996</v>
      </c>
      <c r="F43" s="804">
        <v>4959972.6370000001</v>
      </c>
      <c r="G43" s="804">
        <v>947088.3609999998</v>
      </c>
      <c r="H43" s="804">
        <v>14475746.208000001</v>
      </c>
      <c r="I43" s="804">
        <v>2254956.7039999999</v>
      </c>
      <c r="J43" s="804">
        <v>209158.23</v>
      </c>
      <c r="K43" s="804">
        <v>157250.97199999998</v>
      </c>
      <c r="L43" s="804">
        <v>576484.15800000005</v>
      </c>
      <c r="M43" s="804">
        <f>N43-(SUM(C43:L43))</f>
        <v>4711743.9646999687</v>
      </c>
      <c r="N43" s="804">
        <v>85977612.904999986</v>
      </c>
    </row>
    <row r="44" spans="1:14">
      <c r="A44" s="1305"/>
      <c r="B44" s="964"/>
      <c r="C44" s="965"/>
      <c r="D44" s="965"/>
      <c r="E44" s="965"/>
      <c r="F44" s="965"/>
      <c r="G44" s="965"/>
      <c r="H44" s="965"/>
      <c r="I44" s="965"/>
      <c r="J44" s="965"/>
      <c r="K44" s="965"/>
      <c r="L44" s="965"/>
      <c r="M44" s="965"/>
      <c r="N44" s="966"/>
    </row>
    <row r="45" spans="1:14">
      <c r="A45" s="1306"/>
      <c r="B45" s="943"/>
      <c r="C45" s="942"/>
      <c r="D45" s="942"/>
      <c r="E45" s="942"/>
      <c r="F45" s="942"/>
      <c r="G45" s="942"/>
      <c r="H45" s="942"/>
      <c r="I45" s="942"/>
      <c r="J45" s="942"/>
      <c r="K45" s="942"/>
      <c r="L45" s="942"/>
      <c r="M45" s="942"/>
      <c r="N45" s="942"/>
    </row>
    <row r="46" spans="1:14">
      <c r="A46" s="2000" t="s">
        <v>1410</v>
      </c>
      <c r="B46" s="2000"/>
      <c r="C46" s="2000"/>
      <c r="D46" s="2000"/>
      <c r="E46" s="2000"/>
      <c r="F46" s="2000"/>
      <c r="G46" s="2000"/>
      <c r="H46" s="2000"/>
      <c r="I46" s="2000"/>
      <c r="J46" s="2000"/>
      <c r="K46" s="2000"/>
      <c r="L46" s="2000"/>
      <c r="M46" s="2000"/>
      <c r="N46" s="2000"/>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tabSelected="1" zoomScale="90" zoomScaleNormal="90" workbookViewId="0">
      <selection activeCell="N29" sqref="N29"/>
    </sheetView>
  </sheetViews>
  <sheetFormatPr defaultColWidth="9.140625" defaultRowHeight="15"/>
  <cols>
    <col min="1" max="1" width="30.28515625" style="1213" customWidth="1"/>
    <col min="2" max="15" width="9.140625" style="1213"/>
    <col min="16" max="16" width="30.28515625" style="1213" customWidth="1"/>
    <col min="17" max="16384" width="9.140625" style="1213"/>
  </cols>
  <sheetData>
    <row r="1" spans="1:17" s="416" customFormat="1" ht="21.2" customHeight="1">
      <c r="A1" s="1211" t="s">
        <v>1714</v>
      </c>
      <c r="B1" s="415"/>
      <c r="C1" s="415"/>
      <c r="D1" s="415"/>
      <c r="E1" s="415"/>
      <c r="F1" s="415"/>
      <c r="G1" s="415"/>
      <c r="H1" s="415"/>
      <c r="I1" s="415"/>
      <c r="J1" s="415"/>
      <c r="K1" s="415"/>
      <c r="L1" s="415"/>
      <c r="M1" s="415"/>
      <c r="N1" s="415"/>
      <c r="O1" s="415"/>
      <c r="P1" s="1211"/>
    </row>
    <row r="2" spans="1:17" s="416" customFormat="1" ht="21.2" customHeight="1">
      <c r="A2" s="1211" t="s">
        <v>98</v>
      </c>
      <c r="B2" s="415"/>
      <c r="C2" s="415"/>
      <c r="D2" s="415"/>
      <c r="E2" s="415"/>
      <c r="F2" s="415"/>
      <c r="G2" s="415"/>
      <c r="H2" s="415"/>
      <c r="I2" s="415"/>
      <c r="J2" s="415"/>
      <c r="K2" s="415"/>
      <c r="L2" s="415"/>
      <c r="M2" s="415"/>
      <c r="N2" s="415"/>
      <c r="O2" s="415"/>
      <c r="P2" s="1211"/>
    </row>
    <row r="3" spans="1:17" s="416" customFormat="1" ht="21.2" customHeight="1">
      <c r="A3" s="1211" t="s">
        <v>97</v>
      </c>
      <c r="B3" s="415"/>
      <c r="C3" s="415"/>
      <c r="D3" s="415"/>
      <c r="E3" s="415"/>
      <c r="F3" s="415"/>
      <c r="G3" s="415"/>
      <c r="H3" s="415"/>
      <c r="I3" s="415"/>
      <c r="J3" s="415"/>
      <c r="K3" s="415"/>
      <c r="L3" s="415"/>
      <c r="M3" s="415"/>
      <c r="N3" s="415"/>
      <c r="O3" s="415"/>
      <c r="P3" s="1211"/>
    </row>
    <row r="5" spans="1:17" ht="15.75" customHeight="1">
      <c r="A5" s="2004" t="s">
        <v>1411</v>
      </c>
      <c r="B5" s="2013" t="s">
        <v>1412</v>
      </c>
      <c r="C5" s="2014"/>
      <c r="D5" s="2014"/>
      <c r="E5" s="2015" t="s">
        <v>1413</v>
      </c>
      <c r="F5" s="2015"/>
      <c r="G5" s="2016"/>
      <c r="H5" s="2013" t="s">
        <v>1414</v>
      </c>
      <c r="I5" s="2014"/>
      <c r="J5" s="2014"/>
      <c r="K5" s="2015" t="s">
        <v>1415</v>
      </c>
      <c r="L5" s="2015"/>
      <c r="M5" s="2016"/>
      <c r="N5" s="2017" t="s">
        <v>1083</v>
      </c>
      <c r="O5" s="2018"/>
      <c r="P5" s="2004" t="s">
        <v>917</v>
      </c>
    </row>
    <row r="6" spans="1:17" ht="15.75" customHeight="1">
      <c r="A6" s="2004"/>
      <c r="B6" s="2004" t="s">
        <v>1416</v>
      </c>
      <c r="C6" s="2004"/>
      <c r="D6" s="2004"/>
      <c r="E6" s="2004" t="s">
        <v>1713</v>
      </c>
      <c r="F6" s="2004"/>
      <c r="G6" s="2004"/>
      <c r="H6" s="2004" t="str">
        <f>B6</f>
        <v>Q2 2025</v>
      </c>
      <c r="I6" s="2004"/>
      <c r="J6" s="2004"/>
      <c r="K6" s="2004" t="str">
        <f>E6</f>
        <v>Q3 2025</v>
      </c>
      <c r="L6" s="2004"/>
      <c r="M6" s="2004"/>
      <c r="N6" s="2017" t="s">
        <v>393</v>
      </c>
      <c r="O6" s="2018"/>
      <c r="P6" s="2004"/>
    </row>
    <row r="7" spans="1:17" ht="15.75">
      <c r="A7" s="2004"/>
      <c r="B7" s="1212" t="s">
        <v>1417</v>
      </c>
      <c r="C7" s="1212" t="s">
        <v>1418</v>
      </c>
      <c r="D7" s="1212" t="s">
        <v>382</v>
      </c>
      <c r="E7" s="1212" t="s">
        <v>1417</v>
      </c>
      <c r="F7" s="1212" t="s">
        <v>1418</v>
      </c>
      <c r="G7" s="1212" t="s">
        <v>382</v>
      </c>
      <c r="H7" s="1212" t="s">
        <v>1417</v>
      </c>
      <c r="I7" s="1212" t="s">
        <v>1418</v>
      </c>
      <c r="J7" s="1212" t="s">
        <v>382</v>
      </c>
      <c r="K7" s="1212" t="s">
        <v>1417</v>
      </c>
      <c r="L7" s="1212" t="s">
        <v>1418</v>
      </c>
      <c r="M7" s="1212" t="s">
        <v>382</v>
      </c>
      <c r="N7" s="2009" t="str">
        <f>H6</f>
        <v>Q2 2025</v>
      </c>
      <c r="O7" s="2009" t="str">
        <f>K6</f>
        <v>Q3 2025</v>
      </c>
      <c r="P7" s="2004"/>
    </row>
    <row r="8" spans="1:17" ht="15.75">
      <c r="A8" s="2004"/>
      <c r="B8" s="1212" t="s">
        <v>1419</v>
      </c>
      <c r="C8" s="1212" t="s">
        <v>1420</v>
      </c>
      <c r="D8" s="1212" t="s">
        <v>393</v>
      </c>
      <c r="E8" s="1212" t="s">
        <v>1419</v>
      </c>
      <c r="F8" s="1212" t="s">
        <v>1420</v>
      </c>
      <c r="G8" s="1212" t="s">
        <v>393</v>
      </c>
      <c r="H8" s="1212" t="s">
        <v>1419</v>
      </c>
      <c r="I8" s="1212" t="s">
        <v>1420</v>
      </c>
      <c r="J8" s="1212" t="s">
        <v>393</v>
      </c>
      <c r="K8" s="1212" t="s">
        <v>1419</v>
      </c>
      <c r="L8" s="1212" t="s">
        <v>1420</v>
      </c>
      <c r="M8" s="1212" t="s">
        <v>393</v>
      </c>
      <c r="N8" s="2010"/>
      <c r="O8" s="2010"/>
      <c r="P8" s="2004"/>
    </row>
    <row r="9" spans="1:17" ht="18" customHeight="1">
      <c r="A9" s="954" t="s">
        <v>1421</v>
      </c>
      <c r="B9" s="1214">
        <v>3406</v>
      </c>
      <c r="C9" s="1214">
        <v>2269</v>
      </c>
      <c r="D9" s="1214">
        <v>5675</v>
      </c>
      <c r="E9" s="1214">
        <v>3426</v>
      </c>
      <c r="F9" s="1214">
        <v>2284</v>
      </c>
      <c r="G9" s="1214">
        <v>5710</v>
      </c>
      <c r="H9" s="1214">
        <v>1323</v>
      </c>
      <c r="I9" s="1214">
        <v>267</v>
      </c>
      <c r="J9" s="1214">
        <v>1590</v>
      </c>
      <c r="K9" s="1214">
        <v>1311</v>
      </c>
      <c r="L9" s="1214">
        <v>262</v>
      </c>
      <c r="M9" s="1214">
        <v>1573</v>
      </c>
      <c r="N9" s="1214">
        <v>7286</v>
      </c>
      <c r="O9" s="1214">
        <v>7265</v>
      </c>
      <c r="P9" s="957" t="s">
        <v>1422</v>
      </c>
      <c r="Q9" s="953"/>
    </row>
    <row r="10" spans="1:17">
      <c r="A10" s="955" t="s">
        <v>30</v>
      </c>
      <c r="B10" s="1215">
        <v>2706</v>
      </c>
      <c r="C10" s="1215">
        <v>1738</v>
      </c>
      <c r="D10" s="1215">
        <v>4444</v>
      </c>
      <c r="E10" s="1215">
        <v>2719</v>
      </c>
      <c r="F10" s="1215">
        <v>1745</v>
      </c>
      <c r="G10" s="1215">
        <v>4464</v>
      </c>
      <c r="H10" s="1215">
        <v>590</v>
      </c>
      <c r="I10" s="1215">
        <v>141</v>
      </c>
      <c r="J10" s="1215">
        <v>731</v>
      </c>
      <c r="K10" s="1215">
        <v>584</v>
      </c>
      <c r="L10" s="1215">
        <v>142</v>
      </c>
      <c r="M10" s="1215">
        <v>726</v>
      </c>
      <c r="N10" s="1215">
        <v>5197</v>
      </c>
      <c r="O10" s="1215">
        <v>5175</v>
      </c>
      <c r="P10" s="958" t="s">
        <v>31</v>
      </c>
      <c r="Q10" s="953"/>
    </row>
    <row r="11" spans="1:17">
      <c r="A11" s="955" t="s">
        <v>60</v>
      </c>
      <c r="B11" s="1215">
        <v>698</v>
      </c>
      <c r="C11" s="1215">
        <v>531</v>
      </c>
      <c r="D11" s="1215">
        <v>1229</v>
      </c>
      <c r="E11" s="1215">
        <v>705</v>
      </c>
      <c r="F11" s="1215">
        <v>539</v>
      </c>
      <c r="G11" s="1215">
        <v>1244</v>
      </c>
      <c r="H11" s="1215">
        <v>714</v>
      </c>
      <c r="I11" s="1215">
        <v>116</v>
      </c>
      <c r="J11" s="1215">
        <v>830</v>
      </c>
      <c r="K11" s="1215">
        <v>705</v>
      </c>
      <c r="L11" s="1215">
        <v>111</v>
      </c>
      <c r="M11" s="1215">
        <v>816</v>
      </c>
      <c r="N11" s="1215">
        <v>2059</v>
      </c>
      <c r="O11" s="1215">
        <v>2059</v>
      </c>
      <c r="P11" s="958" t="s">
        <v>61</v>
      </c>
      <c r="Q11" s="953"/>
    </row>
    <row r="12" spans="1:17">
      <c r="A12" s="955" t="s">
        <v>1423</v>
      </c>
      <c r="B12" s="1215">
        <v>2</v>
      </c>
      <c r="C12" s="1215">
        <v>0</v>
      </c>
      <c r="D12" s="1215">
        <v>2</v>
      </c>
      <c r="E12" s="1215">
        <v>2</v>
      </c>
      <c r="F12" s="1215">
        <v>0</v>
      </c>
      <c r="G12" s="1215">
        <v>2</v>
      </c>
      <c r="H12" s="1215">
        <v>19</v>
      </c>
      <c r="I12" s="1215">
        <v>10</v>
      </c>
      <c r="J12" s="1215">
        <v>29</v>
      </c>
      <c r="K12" s="1215">
        <v>22</v>
      </c>
      <c r="L12" s="1215">
        <v>9</v>
      </c>
      <c r="M12" s="1215">
        <v>31</v>
      </c>
      <c r="N12" s="1215">
        <v>30</v>
      </c>
      <c r="O12" s="1215">
        <v>31</v>
      </c>
      <c r="P12" s="958" t="s">
        <v>1424</v>
      </c>
      <c r="Q12" s="953"/>
    </row>
    <row r="13" spans="1:17" ht="18" customHeight="1">
      <c r="A13" s="954" t="s">
        <v>1425</v>
      </c>
      <c r="B13" s="1214">
        <v>2576</v>
      </c>
      <c r="C13" s="1214">
        <v>1601</v>
      </c>
      <c r="D13" s="1214">
        <v>4177</v>
      </c>
      <c r="E13" s="1214">
        <v>2571</v>
      </c>
      <c r="F13" s="1214">
        <v>1589</v>
      </c>
      <c r="G13" s="1214">
        <v>4160</v>
      </c>
      <c r="H13" s="1214">
        <v>2188</v>
      </c>
      <c r="I13" s="1214">
        <v>694</v>
      </c>
      <c r="J13" s="1214">
        <v>2882</v>
      </c>
      <c r="K13" s="1214">
        <v>2180</v>
      </c>
      <c r="L13" s="1214">
        <v>676</v>
      </c>
      <c r="M13" s="1214">
        <v>2856</v>
      </c>
      <c r="N13" s="1214">
        <f t="shared" ref="N13:N22" si="0">D13+J13</f>
        <v>7059</v>
      </c>
      <c r="O13" s="1214">
        <f t="shared" ref="O13:O22" si="1">G13+M13</f>
        <v>7016</v>
      </c>
      <c r="P13" s="957" t="s">
        <v>1426</v>
      </c>
      <c r="Q13" s="953"/>
    </row>
    <row r="14" spans="1:17" ht="30">
      <c r="A14" s="955" t="s">
        <v>1427</v>
      </c>
      <c r="B14" s="1215">
        <v>704</v>
      </c>
      <c r="C14" s="1215">
        <v>486</v>
      </c>
      <c r="D14" s="1215">
        <v>1190</v>
      </c>
      <c r="E14" s="1215">
        <v>704</v>
      </c>
      <c r="F14" s="1215">
        <v>485</v>
      </c>
      <c r="G14" s="1215">
        <v>1189</v>
      </c>
      <c r="H14" s="1215">
        <v>268</v>
      </c>
      <c r="I14" s="1215">
        <v>90</v>
      </c>
      <c r="J14" s="1215">
        <v>358</v>
      </c>
      <c r="K14" s="1215">
        <v>264</v>
      </c>
      <c r="L14" s="1215">
        <v>96</v>
      </c>
      <c r="M14" s="1215">
        <v>360</v>
      </c>
      <c r="N14" s="1215">
        <f t="shared" si="0"/>
        <v>1548</v>
      </c>
      <c r="O14" s="1215">
        <f t="shared" si="1"/>
        <v>1549</v>
      </c>
      <c r="P14" s="958" t="s">
        <v>1428</v>
      </c>
      <c r="Q14" s="953"/>
    </row>
    <row r="15" spans="1:17" ht="30">
      <c r="A15" s="955" t="s">
        <v>1429</v>
      </c>
      <c r="B15" s="1215">
        <v>272</v>
      </c>
      <c r="C15" s="1215">
        <v>263</v>
      </c>
      <c r="D15" s="1215">
        <v>535</v>
      </c>
      <c r="E15" s="1215">
        <v>268</v>
      </c>
      <c r="F15" s="1215">
        <v>266</v>
      </c>
      <c r="G15" s="1215">
        <v>534</v>
      </c>
      <c r="H15" s="1215">
        <v>282</v>
      </c>
      <c r="I15" s="1215">
        <v>166</v>
      </c>
      <c r="J15" s="1215">
        <v>448</v>
      </c>
      <c r="K15" s="1215">
        <v>279</v>
      </c>
      <c r="L15" s="1215">
        <v>156</v>
      </c>
      <c r="M15" s="1215">
        <v>435</v>
      </c>
      <c r="N15" s="1215">
        <f t="shared" si="0"/>
        <v>983</v>
      </c>
      <c r="O15" s="1215">
        <f t="shared" si="1"/>
        <v>969</v>
      </c>
      <c r="P15" s="958" t="s">
        <v>1430</v>
      </c>
      <c r="Q15" s="953"/>
    </row>
    <row r="16" spans="1:17" ht="17.25" customHeight="1">
      <c r="A16" s="955" t="s">
        <v>1431</v>
      </c>
      <c r="B16" s="1215">
        <v>1239</v>
      </c>
      <c r="C16" s="1215">
        <v>634</v>
      </c>
      <c r="D16" s="1215">
        <v>1873</v>
      </c>
      <c r="E16" s="1215">
        <v>1239</v>
      </c>
      <c r="F16" s="1215">
        <v>628</v>
      </c>
      <c r="G16" s="1215">
        <v>1867</v>
      </c>
      <c r="H16" s="1215">
        <v>1413</v>
      </c>
      <c r="I16" s="1215">
        <v>373</v>
      </c>
      <c r="J16" s="1215">
        <v>1786</v>
      </c>
      <c r="K16" s="1215">
        <v>1411</v>
      </c>
      <c r="L16" s="1215">
        <v>363</v>
      </c>
      <c r="M16" s="1215">
        <v>1774</v>
      </c>
      <c r="N16" s="1215">
        <f t="shared" si="0"/>
        <v>3659</v>
      </c>
      <c r="O16" s="1215">
        <f t="shared" si="1"/>
        <v>3641</v>
      </c>
      <c r="P16" s="958" t="s">
        <v>1432</v>
      </c>
      <c r="Q16" s="953"/>
    </row>
    <row r="17" spans="1:17" ht="30">
      <c r="A17" s="1095" t="s">
        <v>1433</v>
      </c>
      <c r="B17" s="1215">
        <v>224</v>
      </c>
      <c r="C17" s="1215">
        <v>64</v>
      </c>
      <c r="D17" s="1215">
        <v>288</v>
      </c>
      <c r="E17" s="1215">
        <v>224</v>
      </c>
      <c r="F17" s="1215">
        <v>65</v>
      </c>
      <c r="G17" s="1215">
        <v>289</v>
      </c>
      <c r="H17" s="1215">
        <v>874</v>
      </c>
      <c r="I17" s="1215">
        <v>272</v>
      </c>
      <c r="J17" s="1215">
        <v>1146</v>
      </c>
      <c r="K17" s="1215">
        <v>875</v>
      </c>
      <c r="L17" s="1215">
        <v>262</v>
      </c>
      <c r="M17" s="1215">
        <v>1137</v>
      </c>
      <c r="N17" s="1215">
        <f t="shared" si="0"/>
        <v>1434</v>
      </c>
      <c r="O17" s="1215">
        <f t="shared" si="1"/>
        <v>1426</v>
      </c>
      <c r="P17" s="959" t="s">
        <v>1434</v>
      </c>
      <c r="Q17" s="953"/>
    </row>
    <row r="18" spans="1:17" ht="45">
      <c r="A18" s="956" t="s">
        <v>1435</v>
      </c>
      <c r="B18" s="1215">
        <v>431</v>
      </c>
      <c r="C18" s="1215">
        <v>315</v>
      </c>
      <c r="D18" s="1215">
        <v>746</v>
      </c>
      <c r="E18" s="1215">
        <v>429</v>
      </c>
      <c r="F18" s="1215">
        <v>315</v>
      </c>
      <c r="G18" s="1215">
        <v>744</v>
      </c>
      <c r="H18" s="1215">
        <v>126</v>
      </c>
      <c r="I18" s="1215">
        <v>27</v>
      </c>
      <c r="J18" s="1215">
        <v>153</v>
      </c>
      <c r="K18" s="1215">
        <v>125</v>
      </c>
      <c r="L18" s="1215">
        <v>28</v>
      </c>
      <c r="M18" s="1215">
        <v>153</v>
      </c>
      <c r="N18" s="1215">
        <f t="shared" si="0"/>
        <v>899</v>
      </c>
      <c r="O18" s="1215">
        <f t="shared" si="1"/>
        <v>897</v>
      </c>
      <c r="P18" s="960" t="s">
        <v>1436</v>
      </c>
      <c r="Q18" s="953"/>
    </row>
    <row r="19" spans="1:17">
      <c r="A19" s="955" t="s">
        <v>1437</v>
      </c>
      <c r="B19" s="1215">
        <v>108</v>
      </c>
      <c r="C19" s="1215">
        <v>75</v>
      </c>
      <c r="D19" s="1215">
        <v>183</v>
      </c>
      <c r="E19" s="1215">
        <v>110</v>
      </c>
      <c r="F19" s="1215">
        <v>72</v>
      </c>
      <c r="G19" s="1215">
        <v>182</v>
      </c>
      <c r="H19" s="1215">
        <v>22</v>
      </c>
      <c r="I19" s="1215">
        <v>6</v>
      </c>
      <c r="J19" s="1215">
        <v>28</v>
      </c>
      <c r="K19" s="1215">
        <v>27</v>
      </c>
      <c r="L19" s="1215">
        <v>7</v>
      </c>
      <c r="M19" s="1215">
        <v>34</v>
      </c>
      <c r="N19" s="1215">
        <f t="shared" si="0"/>
        <v>211</v>
      </c>
      <c r="O19" s="1215">
        <f t="shared" si="1"/>
        <v>216</v>
      </c>
      <c r="P19" s="958" t="s">
        <v>1438</v>
      </c>
      <c r="Q19" s="953"/>
    </row>
    <row r="20" spans="1:17">
      <c r="A20" s="955" t="s">
        <v>73</v>
      </c>
      <c r="B20" s="1215">
        <v>253</v>
      </c>
      <c r="C20" s="1215">
        <v>143</v>
      </c>
      <c r="D20" s="1215">
        <v>396</v>
      </c>
      <c r="E20" s="1215">
        <v>250</v>
      </c>
      <c r="F20" s="1215">
        <v>138</v>
      </c>
      <c r="G20" s="1215">
        <v>388</v>
      </c>
      <c r="H20" s="1215">
        <v>203</v>
      </c>
      <c r="I20" s="1215">
        <v>59</v>
      </c>
      <c r="J20" s="1215">
        <v>262</v>
      </c>
      <c r="K20" s="1215">
        <v>199</v>
      </c>
      <c r="L20" s="1215">
        <v>54</v>
      </c>
      <c r="M20" s="1215">
        <v>253</v>
      </c>
      <c r="N20" s="1215">
        <f t="shared" si="0"/>
        <v>658</v>
      </c>
      <c r="O20" s="1215">
        <f t="shared" si="1"/>
        <v>641</v>
      </c>
      <c r="P20" s="958" t="s">
        <v>74</v>
      </c>
      <c r="Q20" s="953"/>
    </row>
    <row r="21" spans="1:17" ht="18" customHeight="1">
      <c r="A21" s="954" t="s">
        <v>1439</v>
      </c>
      <c r="B21" s="1214">
        <v>269</v>
      </c>
      <c r="C21" s="1214">
        <v>263</v>
      </c>
      <c r="D21" s="1214">
        <v>532</v>
      </c>
      <c r="E21" s="1214">
        <v>285</v>
      </c>
      <c r="F21" s="1214">
        <v>279</v>
      </c>
      <c r="G21" s="1214">
        <v>564</v>
      </c>
      <c r="H21" s="1214">
        <v>72</v>
      </c>
      <c r="I21" s="1214">
        <v>19</v>
      </c>
      <c r="J21" s="1214">
        <v>91</v>
      </c>
      <c r="K21" s="1214">
        <v>87</v>
      </c>
      <c r="L21" s="1214">
        <v>21</v>
      </c>
      <c r="M21" s="1214">
        <v>108</v>
      </c>
      <c r="N21" s="1214">
        <f t="shared" si="0"/>
        <v>623</v>
      </c>
      <c r="O21" s="1214">
        <f t="shared" si="1"/>
        <v>672</v>
      </c>
      <c r="P21" s="957" t="s">
        <v>1440</v>
      </c>
      <c r="Q21" s="953"/>
    </row>
    <row r="22" spans="1:17" ht="18" customHeight="1">
      <c r="A22" s="954" t="s">
        <v>393</v>
      </c>
      <c r="B22" s="1214">
        <f t="shared" ref="B22:M22" si="2">B9+B13+B21</f>
        <v>6251</v>
      </c>
      <c r="C22" s="1214">
        <f t="shared" si="2"/>
        <v>4133</v>
      </c>
      <c r="D22" s="1214">
        <f t="shared" si="2"/>
        <v>10384</v>
      </c>
      <c r="E22" s="1214">
        <f t="shared" si="2"/>
        <v>6282</v>
      </c>
      <c r="F22" s="1214">
        <f t="shared" si="2"/>
        <v>4152</v>
      </c>
      <c r="G22" s="1214">
        <f t="shared" si="2"/>
        <v>10434</v>
      </c>
      <c r="H22" s="1214">
        <f t="shared" si="2"/>
        <v>3583</v>
      </c>
      <c r="I22" s="1214">
        <f t="shared" si="2"/>
        <v>980</v>
      </c>
      <c r="J22" s="1214">
        <f t="shared" si="2"/>
        <v>4563</v>
      </c>
      <c r="K22" s="1214">
        <f t="shared" si="2"/>
        <v>3578</v>
      </c>
      <c r="L22" s="1214">
        <f t="shared" si="2"/>
        <v>959</v>
      </c>
      <c r="M22" s="1214">
        <f t="shared" si="2"/>
        <v>4537</v>
      </c>
      <c r="N22" s="1214">
        <f t="shared" si="0"/>
        <v>14947</v>
      </c>
      <c r="O22" s="1214">
        <f t="shared" si="1"/>
        <v>14971</v>
      </c>
      <c r="P22" s="957" t="s">
        <v>382</v>
      </c>
      <c r="Q22" s="1206"/>
    </row>
    <row r="23" spans="1:17" ht="42" customHeight="1">
      <c r="A23" s="2011" t="s">
        <v>1715</v>
      </c>
      <c r="B23" s="2011"/>
      <c r="C23" s="2011"/>
      <c r="D23" s="2011"/>
      <c r="E23" s="2011"/>
      <c r="F23" s="2011"/>
      <c r="G23" s="2011"/>
      <c r="H23" s="2011"/>
      <c r="I23" s="2006" t="s">
        <v>1441</v>
      </c>
      <c r="J23" s="2006"/>
      <c r="K23" s="2006"/>
      <c r="L23" s="2006"/>
      <c r="M23" s="2006"/>
      <c r="N23" s="2006"/>
      <c r="O23" s="2006"/>
      <c r="P23" s="2006"/>
    </row>
    <row r="24" spans="1:17" ht="41.25" customHeight="1">
      <c r="A24" s="2012" t="s">
        <v>1716</v>
      </c>
      <c r="B24" s="2012"/>
      <c r="C24" s="2012"/>
      <c r="D24" s="2012"/>
      <c r="E24" s="2012"/>
      <c r="F24" s="2012"/>
      <c r="G24" s="2012"/>
      <c r="H24" s="2012"/>
      <c r="I24" s="2007" t="s">
        <v>1442</v>
      </c>
      <c r="J24" s="2007"/>
      <c r="K24" s="2007"/>
      <c r="L24" s="2007"/>
      <c r="M24" s="2007"/>
      <c r="N24" s="2007"/>
      <c r="O24" s="2007"/>
      <c r="P24" s="2007"/>
    </row>
    <row r="25" spans="1:17">
      <c r="A25" s="2005"/>
      <c r="B25" s="2005"/>
      <c r="C25" s="2005"/>
      <c r="D25" s="2005"/>
      <c r="E25" s="2005"/>
      <c r="F25" s="2005"/>
      <c r="G25" s="2005"/>
      <c r="H25" s="2005"/>
      <c r="I25" s="2008"/>
      <c r="J25" s="2008"/>
      <c r="K25" s="2008"/>
      <c r="L25" s="2008"/>
      <c r="M25" s="2008"/>
      <c r="N25" s="2008"/>
      <c r="O25" s="2008"/>
      <c r="P25" s="2008"/>
    </row>
    <row r="26" spans="1:17">
      <c r="A26" s="1216"/>
      <c r="B26" s="1216"/>
      <c r="C26" s="1216"/>
      <c r="D26" s="1216"/>
      <c r="E26" s="1216"/>
      <c r="F26" s="1216"/>
      <c r="G26" s="1216"/>
      <c r="H26" s="1216"/>
      <c r="I26" s="1216"/>
      <c r="J26" s="1216"/>
      <c r="K26" s="1216"/>
      <c r="L26" s="1216"/>
      <c r="M26" s="1216"/>
      <c r="N26" s="1216"/>
      <c r="O26" s="1216"/>
    </row>
    <row r="27" spans="1:17" s="148" customFormat="1">
      <c r="A27" s="1217" t="s">
        <v>1443</v>
      </c>
      <c r="B27" s="387"/>
      <c r="C27" s="387"/>
      <c r="D27" s="387"/>
      <c r="E27" s="387"/>
      <c r="F27" s="387"/>
      <c r="G27" s="387"/>
      <c r="H27" s="387"/>
      <c r="I27" s="387"/>
      <c r="J27" s="387"/>
      <c r="K27" s="387"/>
      <c r="L27" s="387"/>
      <c r="M27" s="387"/>
      <c r="N27" s="387"/>
      <c r="O27" s="387"/>
      <c r="P27" s="387"/>
    </row>
  </sheetData>
  <mergeCells count="20">
    <mergeCell ref="N5:O5"/>
    <mergeCell ref="K6:M6"/>
    <mergeCell ref="N6:O6"/>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S57"/>
  <sheetViews>
    <sheetView tabSelected="1" zoomScaleNormal="100" workbookViewId="0">
      <selection activeCell="N29" sqref="N29"/>
    </sheetView>
  </sheetViews>
  <sheetFormatPr defaultColWidth="9.140625" defaultRowHeight="12.75"/>
  <cols>
    <col min="1" max="1" width="46.42578125" style="149" customWidth="1"/>
    <col min="2" max="6" width="10.42578125" style="149" hidden="1" customWidth="1"/>
    <col min="7" max="14" width="10.42578125" style="149" customWidth="1"/>
    <col min="15" max="15" width="36.85546875" style="149" customWidth="1"/>
    <col min="16" max="16384" width="9.140625" style="381"/>
  </cols>
  <sheetData>
    <row r="1" spans="1:17" ht="18" customHeight="1">
      <c r="A1" s="1270" t="s">
        <v>1724</v>
      </c>
      <c r="B1" s="1271"/>
      <c r="C1" s="1271"/>
      <c r="D1" s="1271"/>
      <c r="E1" s="1271"/>
      <c r="F1" s="1271"/>
      <c r="G1" s="1271"/>
      <c r="H1" s="1271"/>
      <c r="I1" s="1271"/>
      <c r="J1" s="1271"/>
      <c r="K1" s="1271"/>
      <c r="L1" s="1271"/>
      <c r="M1" s="1271"/>
      <c r="N1" s="1271"/>
      <c r="O1" s="1217"/>
    </row>
    <row r="2" spans="1:17" ht="16.5">
      <c r="A2" s="1272" t="s">
        <v>1444</v>
      </c>
      <c r="B2" s="1273"/>
      <c r="C2" s="1273"/>
      <c r="D2" s="1273"/>
      <c r="E2" s="1273"/>
      <c r="F2" s="1273"/>
      <c r="G2" s="1273"/>
      <c r="H2" s="1273"/>
      <c r="I2" s="1273"/>
      <c r="J2" s="1273"/>
      <c r="K2" s="1273"/>
      <c r="L2" s="1273"/>
      <c r="M2" s="1273"/>
      <c r="N2" s="1273"/>
      <c r="O2" s="1217"/>
    </row>
    <row r="3" spans="1:17" ht="16.5">
      <c r="A3" s="1218" t="s">
        <v>99</v>
      </c>
      <c r="B3" s="1273"/>
      <c r="C3" s="1273"/>
      <c r="D3" s="1273"/>
      <c r="E3" s="1273"/>
      <c r="F3" s="1273"/>
      <c r="G3" s="1273"/>
      <c r="H3" s="1273"/>
      <c r="I3" s="1273"/>
      <c r="J3" s="1273"/>
      <c r="K3" s="1273"/>
      <c r="L3" s="1273"/>
      <c r="M3" s="1273"/>
      <c r="N3" s="1273"/>
      <c r="O3" s="1217"/>
    </row>
    <row r="4" spans="1:17" ht="14.25">
      <c r="A4" s="149" t="s">
        <v>369</v>
      </c>
      <c r="O4" s="360" t="s">
        <v>370</v>
      </c>
    </row>
    <row r="5" spans="1:17">
      <c r="A5" s="2019" t="s">
        <v>1445</v>
      </c>
      <c r="B5" s="2022">
        <v>2023</v>
      </c>
      <c r="C5" s="1275">
        <v>2023</v>
      </c>
      <c r="D5" s="1275"/>
      <c r="E5" s="1275"/>
      <c r="F5" s="1275"/>
      <c r="G5" s="2022" t="s">
        <v>1446</v>
      </c>
      <c r="H5" s="1275" t="s">
        <v>1446</v>
      </c>
      <c r="I5" s="1275"/>
      <c r="J5" s="1275"/>
      <c r="K5" s="1275"/>
      <c r="L5" s="1275" t="s">
        <v>1447</v>
      </c>
      <c r="M5" s="1275"/>
      <c r="N5" s="1275"/>
      <c r="O5" s="1894" t="s">
        <v>1448</v>
      </c>
    </row>
    <row r="6" spans="1:17">
      <c r="A6" s="2020"/>
      <c r="B6" s="2023"/>
      <c r="C6" s="1276" t="s">
        <v>1449</v>
      </c>
      <c r="D6" s="1274" t="s">
        <v>1450</v>
      </c>
      <c r="E6" s="1276" t="s">
        <v>1451</v>
      </c>
      <c r="F6" s="1274" t="s">
        <v>1452</v>
      </c>
      <c r="G6" s="2023"/>
      <c r="H6" s="1276" t="s">
        <v>1449</v>
      </c>
      <c r="I6" s="1274" t="s">
        <v>1450</v>
      </c>
      <c r="J6" s="1276" t="s">
        <v>1451</v>
      </c>
      <c r="K6" s="1274" t="s">
        <v>1452</v>
      </c>
      <c r="L6" s="1276" t="s">
        <v>1449</v>
      </c>
      <c r="M6" s="1274" t="s">
        <v>1450</v>
      </c>
      <c r="N6" s="1276" t="s">
        <v>1451</v>
      </c>
      <c r="O6" s="1895"/>
    </row>
    <row r="7" spans="1:17">
      <c r="A7" s="2021"/>
      <c r="B7" s="2024"/>
      <c r="C7" s="800" t="s">
        <v>239</v>
      </c>
      <c r="D7" s="800" t="s">
        <v>240</v>
      </c>
      <c r="E7" s="800" t="s">
        <v>237</v>
      </c>
      <c r="F7" s="800" t="s">
        <v>238</v>
      </c>
      <c r="G7" s="2024"/>
      <c r="H7" s="800" t="s">
        <v>239</v>
      </c>
      <c r="I7" s="800" t="s">
        <v>240</v>
      </c>
      <c r="J7" s="800" t="s">
        <v>237</v>
      </c>
      <c r="K7" s="800" t="s">
        <v>238</v>
      </c>
      <c r="L7" s="800" t="s">
        <v>239</v>
      </c>
      <c r="M7" s="800" t="s">
        <v>240</v>
      </c>
      <c r="N7" s="800" t="s">
        <v>237</v>
      </c>
      <c r="O7" s="1896"/>
    </row>
    <row r="8" spans="1:17" ht="30.75" customHeight="1">
      <c r="A8" s="1277" t="s">
        <v>1453</v>
      </c>
      <c r="B8" s="1278">
        <f t="shared" ref="B8:B10" si="0">SUM(C8:F8)</f>
        <v>1015.0000000000002</v>
      </c>
      <c r="C8" s="1279">
        <f t="shared" ref="C8:F8" si="1">C9+C16+C27+C34</f>
        <v>226.40000000000035</v>
      </c>
      <c r="D8" s="1279">
        <f t="shared" si="1"/>
        <v>215.80000000000024</v>
      </c>
      <c r="E8" s="1279">
        <f t="shared" si="1"/>
        <v>326.5999999999998</v>
      </c>
      <c r="F8" s="1279">
        <f t="shared" si="1"/>
        <v>246.19999999999982</v>
      </c>
      <c r="G8" s="1278">
        <f t="shared" ref="G8:G10" si="2">SUM(H8:K8)</f>
        <v>858</v>
      </c>
      <c r="H8" s="1279">
        <v>208.20000000000022</v>
      </c>
      <c r="I8" s="1279">
        <v>252.59999999999985</v>
      </c>
      <c r="J8" s="1279">
        <v>148.59999999999988</v>
      </c>
      <c r="K8" s="1279">
        <v>248.60000000000002</v>
      </c>
      <c r="L8" s="1279">
        <v>269.69999999999993</v>
      </c>
      <c r="M8" s="1279">
        <v>172.89999999999986</v>
      </c>
      <c r="N8" s="1852">
        <v>305.80000000000018</v>
      </c>
      <c r="O8" s="1280" t="s">
        <v>1454</v>
      </c>
    </row>
    <row r="9" spans="1:17" ht="15">
      <c r="A9" s="1281" t="s">
        <v>1455</v>
      </c>
      <c r="B9" s="1282">
        <f t="shared" si="0"/>
        <v>1693</v>
      </c>
      <c r="C9" s="1282">
        <f t="shared" ref="C9:F9" si="3">C10+C13</f>
        <v>376.60000000000036</v>
      </c>
      <c r="D9" s="1282">
        <f t="shared" si="3"/>
        <v>361.40000000000009</v>
      </c>
      <c r="E9" s="1282">
        <f t="shared" si="3"/>
        <v>528.69999999999982</v>
      </c>
      <c r="F9" s="1282">
        <f t="shared" si="3"/>
        <v>426.29999999999973</v>
      </c>
      <c r="G9" s="1282">
        <f t="shared" si="2"/>
        <v>1356.6000000000001</v>
      </c>
      <c r="H9" s="1282">
        <v>349.20000000000027</v>
      </c>
      <c r="I9" s="1282">
        <v>386.09999999999991</v>
      </c>
      <c r="J9" s="1282">
        <v>278.09999999999991</v>
      </c>
      <c r="K9" s="1282">
        <v>343.20000000000005</v>
      </c>
      <c r="L9" s="1282">
        <v>308.99999999999977</v>
      </c>
      <c r="M9" s="1282">
        <v>201.90000000000009</v>
      </c>
      <c r="N9" s="1853">
        <v>363.80000000000018</v>
      </c>
      <c r="O9" s="1283" t="s">
        <v>1456</v>
      </c>
      <c r="P9" s="1090"/>
    </row>
    <row r="10" spans="1:17" ht="14.25">
      <c r="A10" s="1284" t="s">
        <v>1457</v>
      </c>
      <c r="B10" s="1282">
        <f t="shared" si="0"/>
        <v>9329.9</v>
      </c>
      <c r="C10" s="1282">
        <f t="shared" ref="C10:F10" si="4">C11+C12</f>
        <v>2188.8000000000002</v>
      </c>
      <c r="D10" s="1282">
        <f t="shared" si="4"/>
        <v>2267</v>
      </c>
      <c r="E10" s="1282">
        <f t="shared" si="4"/>
        <v>2443.1999999999998</v>
      </c>
      <c r="F10" s="1282">
        <f t="shared" si="4"/>
        <v>2430.8999999999996</v>
      </c>
      <c r="G10" s="1282">
        <f t="shared" si="2"/>
        <v>9128.7000000000007</v>
      </c>
      <c r="H10" s="1282">
        <v>2363.8000000000002</v>
      </c>
      <c r="I10" s="1282">
        <v>2292.6999999999998</v>
      </c>
      <c r="J10" s="1282">
        <v>2202.6999999999998</v>
      </c>
      <c r="K10" s="1282">
        <v>2269.5</v>
      </c>
      <c r="L10" s="1282">
        <v>2303.6999999999998</v>
      </c>
      <c r="M10" s="1282">
        <v>2088.8000000000002</v>
      </c>
      <c r="N10" s="1853">
        <v>2358.8000000000002</v>
      </c>
      <c r="O10" s="1285" t="s">
        <v>1458</v>
      </c>
    </row>
    <row r="11" spans="1:17" ht="14.25">
      <c r="A11" s="1286" t="s">
        <v>1459</v>
      </c>
      <c r="B11" s="1282">
        <f>SUM(C11:F11)</f>
        <v>4664.8999999999996</v>
      </c>
      <c r="C11" s="1287">
        <v>998.1</v>
      </c>
      <c r="D11" s="1288">
        <v>1120</v>
      </c>
      <c r="E11" s="1288">
        <v>1316</v>
      </c>
      <c r="F11" s="1288">
        <v>1230.8</v>
      </c>
      <c r="G11" s="1282">
        <f>SUM(H11:K11)</f>
        <v>4451.7999999999993</v>
      </c>
      <c r="H11" s="1287">
        <v>1140</v>
      </c>
      <c r="I11" s="1287">
        <v>1192.7</v>
      </c>
      <c r="J11" s="1287">
        <v>1063.5999999999999</v>
      </c>
      <c r="K11" s="1287">
        <v>1055.5</v>
      </c>
      <c r="L11" s="1287">
        <v>1083.5</v>
      </c>
      <c r="M11" s="1287">
        <v>897.2</v>
      </c>
      <c r="N11" s="1288">
        <v>1113.7</v>
      </c>
      <c r="O11" s="1289" t="s">
        <v>1460</v>
      </c>
    </row>
    <row r="12" spans="1:17" ht="14.25">
      <c r="A12" s="1286" t="s">
        <v>1461</v>
      </c>
      <c r="B12" s="1282">
        <f t="shared" ref="B12:B13" si="5">SUM(C12:F12)</f>
        <v>4665</v>
      </c>
      <c r="C12" s="1287">
        <v>1190.7</v>
      </c>
      <c r="D12" s="1288">
        <v>1147</v>
      </c>
      <c r="E12" s="1288">
        <v>1127.2</v>
      </c>
      <c r="F12" s="1288">
        <v>1200.0999999999999</v>
      </c>
      <c r="G12" s="1282">
        <f t="shared" ref="G12:G13" si="6">SUM(H12:K12)</f>
        <v>4676.8999999999996</v>
      </c>
      <c r="H12" s="1287">
        <v>1223.8</v>
      </c>
      <c r="I12" s="1287">
        <v>1100</v>
      </c>
      <c r="J12" s="1287">
        <v>1139.0999999999999</v>
      </c>
      <c r="K12" s="1287">
        <v>1214</v>
      </c>
      <c r="L12" s="1287">
        <v>1220.2</v>
      </c>
      <c r="M12" s="1287">
        <v>1191.5999999999999</v>
      </c>
      <c r="N12" s="1288">
        <v>1245.0999999999999</v>
      </c>
      <c r="O12" s="1289" t="s">
        <v>1462</v>
      </c>
    </row>
    <row r="13" spans="1:17" ht="14.25">
      <c r="A13" s="1284" t="s">
        <v>1463</v>
      </c>
      <c r="B13" s="1282">
        <f t="shared" si="5"/>
        <v>-7636.9</v>
      </c>
      <c r="C13" s="1287">
        <f t="shared" ref="C13:F13" si="7">SUM(C14:C15)</f>
        <v>-1812.1999999999998</v>
      </c>
      <c r="D13" s="1287">
        <f t="shared" si="7"/>
        <v>-1905.6</v>
      </c>
      <c r="E13" s="1287">
        <f t="shared" si="7"/>
        <v>-1914.5</v>
      </c>
      <c r="F13" s="1287">
        <f t="shared" si="7"/>
        <v>-2004.6</v>
      </c>
      <c r="G13" s="1282">
        <f t="shared" si="6"/>
        <v>-7772.0999999999995</v>
      </c>
      <c r="H13" s="1287">
        <v>-2014.6</v>
      </c>
      <c r="I13" s="1287">
        <v>-1906.6</v>
      </c>
      <c r="J13" s="1287">
        <v>-1924.6</v>
      </c>
      <c r="K13" s="1287">
        <v>-1926.3</v>
      </c>
      <c r="L13" s="1287">
        <v>-1994.7</v>
      </c>
      <c r="M13" s="1287">
        <v>-1886.9</v>
      </c>
      <c r="N13" s="1288">
        <v>-1995</v>
      </c>
      <c r="O13" s="1285" t="s">
        <v>1464</v>
      </c>
    </row>
    <row r="14" spans="1:17" ht="14.25">
      <c r="A14" s="1286" t="s">
        <v>1459</v>
      </c>
      <c r="B14" s="1282">
        <f>SUM(C14:F14)</f>
        <v>-2436.7000000000003</v>
      </c>
      <c r="C14" s="1287">
        <v>-524.1</v>
      </c>
      <c r="D14" s="1288">
        <v>-583.6</v>
      </c>
      <c r="E14" s="1288">
        <v>-652.6</v>
      </c>
      <c r="F14" s="1288">
        <v>-676.4</v>
      </c>
      <c r="G14" s="1282">
        <f>SUM(H14:K14)</f>
        <v>-2515.1</v>
      </c>
      <c r="H14" s="1287">
        <v>-667.1</v>
      </c>
      <c r="I14" s="1287">
        <v>-637.9</v>
      </c>
      <c r="J14" s="1287">
        <v>-625.79999999999995</v>
      </c>
      <c r="K14" s="1287">
        <v>-584.29999999999995</v>
      </c>
      <c r="L14" s="1287">
        <v>-620.79999999999995</v>
      </c>
      <c r="M14" s="1287">
        <v>-510.1</v>
      </c>
      <c r="N14" s="1288">
        <v>-643.6</v>
      </c>
      <c r="O14" s="1289" t="s">
        <v>1460</v>
      </c>
    </row>
    <row r="15" spans="1:17" ht="14.25">
      <c r="A15" s="1286" t="s">
        <v>1461</v>
      </c>
      <c r="B15" s="1282">
        <f>SUM(C15:F15)</f>
        <v>-5200.2</v>
      </c>
      <c r="C15" s="1287">
        <v>-1288.0999999999999</v>
      </c>
      <c r="D15" s="1288">
        <v>-1322</v>
      </c>
      <c r="E15" s="1288">
        <v>-1261.9000000000001</v>
      </c>
      <c r="F15" s="1288">
        <v>-1328.2</v>
      </c>
      <c r="G15" s="1282">
        <f>SUM(H15:K15)</f>
        <v>-5257</v>
      </c>
      <c r="H15" s="1287">
        <v>-1347.5</v>
      </c>
      <c r="I15" s="1287">
        <v>-1268.7</v>
      </c>
      <c r="J15" s="1287">
        <v>-1298.8</v>
      </c>
      <c r="K15" s="1287">
        <v>-1342</v>
      </c>
      <c r="L15" s="1287">
        <v>-1373.9</v>
      </c>
      <c r="M15" s="1287">
        <v>-1376.8</v>
      </c>
      <c r="N15" s="1288">
        <v>-1351.4</v>
      </c>
      <c r="O15" s="1289" t="s">
        <v>1462</v>
      </c>
    </row>
    <row r="16" spans="1:17" ht="30" customHeight="1">
      <c r="A16" s="1281" t="s">
        <v>1465</v>
      </c>
      <c r="B16" s="1282">
        <f>SUM(C16:F16)</f>
        <v>1303.8000000000002</v>
      </c>
      <c r="C16" s="1287">
        <f t="shared" ref="C16:F16" si="8">SUM(C17:C18)</f>
        <v>291.79999999999995</v>
      </c>
      <c r="D16" s="1287">
        <f t="shared" si="8"/>
        <v>316.10000000000014</v>
      </c>
      <c r="E16" s="1287">
        <f t="shared" si="8"/>
        <v>319.79999999999995</v>
      </c>
      <c r="F16" s="1287">
        <f t="shared" si="8"/>
        <v>376.10000000000014</v>
      </c>
      <c r="G16" s="1282">
        <f>SUM(H16:K16)</f>
        <v>1748.8</v>
      </c>
      <c r="H16" s="1287">
        <v>389.09999999999991</v>
      </c>
      <c r="I16" s="1287">
        <v>428.29999999999995</v>
      </c>
      <c r="J16" s="1287">
        <v>434.20000000000005</v>
      </c>
      <c r="K16" s="1287">
        <v>497.20000000000005</v>
      </c>
      <c r="L16" s="1287">
        <v>507.90000000000009</v>
      </c>
      <c r="M16" s="1287">
        <v>527.19999999999982</v>
      </c>
      <c r="N16" s="1288">
        <v>523.70000000000005</v>
      </c>
      <c r="O16" s="1283" t="s">
        <v>1466</v>
      </c>
      <c r="Q16" s="1090"/>
    </row>
    <row r="17" spans="1:19" s="1293" customFormat="1" ht="15">
      <c r="A17" s="1290" t="s">
        <v>1467</v>
      </c>
      <c r="B17" s="1287">
        <f t="shared" ref="B17:B34" si="9">SUM(C17:F17)</f>
        <v>5841.5</v>
      </c>
      <c r="C17" s="1287">
        <v>1320.6</v>
      </c>
      <c r="D17" s="1288">
        <v>1432.2</v>
      </c>
      <c r="E17" s="1288">
        <v>1443.8</v>
      </c>
      <c r="F17" s="1288">
        <v>1644.9</v>
      </c>
      <c r="G17" s="1287">
        <f t="shared" ref="G17:G34" si="10">SUM(H17:K17)</f>
        <v>6401.4000000000005</v>
      </c>
      <c r="H17" s="1287">
        <v>1549.6</v>
      </c>
      <c r="I17" s="1287">
        <v>1565.5</v>
      </c>
      <c r="J17" s="1287">
        <v>1606.5</v>
      </c>
      <c r="K17" s="1287">
        <v>1679.8</v>
      </c>
      <c r="L17" s="1287">
        <v>1712.2</v>
      </c>
      <c r="M17" s="1287">
        <v>1741.6</v>
      </c>
      <c r="N17" s="1288">
        <v>1746.4</v>
      </c>
      <c r="O17" s="1291" t="s">
        <v>1468</v>
      </c>
      <c r="P17" s="1292"/>
      <c r="Q17" s="1292"/>
      <c r="R17" s="1292"/>
    </row>
    <row r="18" spans="1:19" s="1293" customFormat="1" ht="15">
      <c r="A18" s="1290" t="s">
        <v>1469</v>
      </c>
      <c r="B18" s="1287">
        <f t="shared" si="9"/>
        <v>-4537.7</v>
      </c>
      <c r="C18" s="1287">
        <v>-1028.8</v>
      </c>
      <c r="D18" s="1288">
        <v>-1116.0999999999999</v>
      </c>
      <c r="E18" s="1288">
        <v>-1124</v>
      </c>
      <c r="F18" s="1288">
        <v>-1268.8</v>
      </c>
      <c r="G18" s="1287">
        <f t="shared" si="10"/>
        <v>-4652.6000000000004</v>
      </c>
      <c r="H18" s="1287">
        <v>-1160.5</v>
      </c>
      <c r="I18" s="1287">
        <v>-1137.2</v>
      </c>
      <c r="J18" s="1287">
        <v>-1172.3</v>
      </c>
      <c r="K18" s="1287">
        <v>-1182.5999999999999</v>
      </c>
      <c r="L18" s="1287">
        <v>-1204.3</v>
      </c>
      <c r="M18" s="1287">
        <v>-1214.4000000000001</v>
      </c>
      <c r="N18" s="1288">
        <v>-1222.7</v>
      </c>
      <c r="O18" s="1291" t="s">
        <v>1470</v>
      </c>
      <c r="R18" s="1292"/>
      <c r="S18" s="1292"/>
    </row>
    <row r="19" spans="1:19" s="1293" customFormat="1" ht="14.25">
      <c r="A19" s="1294" t="s">
        <v>1471</v>
      </c>
      <c r="B19" s="1287">
        <f t="shared" si="9"/>
        <v>93</v>
      </c>
      <c r="C19" s="1287">
        <v>21.8</v>
      </c>
      <c r="D19" s="1288">
        <v>25.3</v>
      </c>
      <c r="E19" s="1288">
        <v>20.2</v>
      </c>
      <c r="F19" s="1288">
        <v>25.7</v>
      </c>
      <c r="G19" s="1287">
        <f t="shared" si="10"/>
        <v>82.300000000000011</v>
      </c>
      <c r="H19" s="1287">
        <v>19.8</v>
      </c>
      <c r="I19" s="1287">
        <v>23.6</v>
      </c>
      <c r="J19" s="1287">
        <v>15.3</v>
      </c>
      <c r="K19" s="1287">
        <v>23.6</v>
      </c>
      <c r="L19" s="1287">
        <v>26.9</v>
      </c>
      <c r="M19" s="1287">
        <v>27.1</v>
      </c>
      <c r="N19" s="1288">
        <v>27.1</v>
      </c>
      <c r="O19" s="1295" t="s">
        <v>1472</v>
      </c>
      <c r="P19" s="1292"/>
      <c r="Q19" s="1292"/>
    </row>
    <row r="20" spans="1:19" ht="14.25">
      <c r="A20" s="1294" t="s">
        <v>1473</v>
      </c>
      <c r="B20" s="1287">
        <f t="shared" si="9"/>
        <v>-834.3</v>
      </c>
      <c r="C20" s="1287">
        <v>-200.6</v>
      </c>
      <c r="D20" s="1288">
        <v>-205.8</v>
      </c>
      <c r="E20" s="1288">
        <v>-209.5</v>
      </c>
      <c r="F20" s="1288">
        <v>-218.4</v>
      </c>
      <c r="G20" s="1287">
        <f t="shared" si="10"/>
        <v>-648.6</v>
      </c>
      <c r="H20" s="1287">
        <v>-178.9</v>
      </c>
      <c r="I20" s="1287">
        <v>-154.19999999999999</v>
      </c>
      <c r="J20" s="1287">
        <v>-162.80000000000001</v>
      </c>
      <c r="K20" s="1287">
        <v>-152.69999999999999</v>
      </c>
      <c r="L20" s="1287">
        <v>-147.80000000000001</v>
      </c>
      <c r="M20" s="1287">
        <v>-135.80000000000001</v>
      </c>
      <c r="N20" s="1288">
        <v>-148.69999999999999</v>
      </c>
      <c r="O20" s="1295" t="s">
        <v>1474</v>
      </c>
    </row>
    <row r="21" spans="1:19" ht="14.25">
      <c r="A21" s="1294" t="s">
        <v>1475</v>
      </c>
      <c r="B21" s="1287">
        <f t="shared" si="9"/>
        <v>1310.8000000000002</v>
      </c>
      <c r="C21" s="1287">
        <v>289.2</v>
      </c>
      <c r="D21" s="1288">
        <v>312.3</v>
      </c>
      <c r="E21" s="1288">
        <v>327.2</v>
      </c>
      <c r="F21" s="1288">
        <v>382.1</v>
      </c>
      <c r="G21" s="1287">
        <f t="shared" si="10"/>
        <v>1534.5</v>
      </c>
      <c r="H21" s="1287">
        <v>358.5</v>
      </c>
      <c r="I21" s="1287">
        <v>367</v>
      </c>
      <c r="J21" s="1287">
        <v>381.5</v>
      </c>
      <c r="K21" s="1287">
        <v>427.5</v>
      </c>
      <c r="L21" s="1287">
        <v>421.70000000000005</v>
      </c>
      <c r="M21" s="1287">
        <v>430.3</v>
      </c>
      <c r="N21" s="1288">
        <v>439.6</v>
      </c>
      <c r="O21" s="1295" t="s">
        <v>1476</v>
      </c>
    </row>
    <row r="22" spans="1:19" ht="14.25">
      <c r="A22" s="1294" t="s">
        <v>1477</v>
      </c>
      <c r="B22" s="1287">
        <f t="shared" si="9"/>
        <v>2.7</v>
      </c>
      <c r="C22" s="1287">
        <v>0.5</v>
      </c>
      <c r="D22" s="1288">
        <v>0.6</v>
      </c>
      <c r="E22" s="1288">
        <v>0.7</v>
      </c>
      <c r="F22" s="1288">
        <v>0.9</v>
      </c>
      <c r="G22" s="1287">
        <f t="shared" si="10"/>
        <v>4.2</v>
      </c>
      <c r="H22" s="1287">
        <v>0.8</v>
      </c>
      <c r="I22" s="1287">
        <v>1.1000000000000001</v>
      </c>
      <c r="J22" s="1287">
        <v>1.2</v>
      </c>
      <c r="K22" s="1287">
        <v>1.1000000000000001</v>
      </c>
      <c r="L22" s="1287">
        <v>1.1000000000000001</v>
      </c>
      <c r="M22" s="1287">
        <v>1.3</v>
      </c>
      <c r="N22" s="1288">
        <v>1.3</v>
      </c>
      <c r="O22" s="1295" t="s">
        <v>1478</v>
      </c>
    </row>
    <row r="23" spans="1:19" ht="14.25">
      <c r="A23" s="1294" t="s">
        <v>1479</v>
      </c>
      <c r="B23" s="1287">
        <f t="shared" si="9"/>
        <v>272.79999999999995</v>
      </c>
      <c r="C23" s="1287">
        <v>69.2</v>
      </c>
      <c r="D23" s="1288">
        <v>68.5</v>
      </c>
      <c r="E23" s="1288">
        <v>67</v>
      </c>
      <c r="F23" s="1288">
        <v>68.099999999999994</v>
      </c>
      <c r="G23" s="1287">
        <f t="shared" si="10"/>
        <v>271.89999999999998</v>
      </c>
      <c r="H23" s="1287">
        <v>68.900000000000006</v>
      </c>
      <c r="I23" s="1287">
        <v>66.900000000000006</v>
      </c>
      <c r="J23" s="1287">
        <v>67.099999999999994</v>
      </c>
      <c r="K23" s="1287">
        <v>69</v>
      </c>
      <c r="L23" s="1287">
        <v>69</v>
      </c>
      <c r="M23" s="1287">
        <v>68.5</v>
      </c>
      <c r="N23" s="1288">
        <v>68</v>
      </c>
      <c r="O23" s="1295" t="s">
        <v>1480</v>
      </c>
    </row>
    <row r="24" spans="1:19" ht="14.25">
      <c r="A24" s="1294" t="s">
        <v>1481</v>
      </c>
      <c r="B24" s="1287">
        <f t="shared" si="9"/>
        <v>95.199999999999989</v>
      </c>
      <c r="C24" s="1287">
        <v>22.5</v>
      </c>
      <c r="D24" s="1288">
        <v>24.1</v>
      </c>
      <c r="E24" s="1288">
        <v>23.2</v>
      </c>
      <c r="F24" s="1288">
        <v>25.4</v>
      </c>
      <c r="G24" s="1287">
        <f t="shared" si="10"/>
        <v>102.6</v>
      </c>
      <c r="H24" s="1287">
        <v>24.1</v>
      </c>
      <c r="I24" s="1287">
        <v>25.4</v>
      </c>
      <c r="J24" s="1287">
        <v>26.3</v>
      </c>
      <c r="K24" s="1287">
        <v>26.8</v>
      </c>
      <c r="L24" s="1287">
        <v>27.8</v>
      </c>
      <c r="M24" s="1287">
        <v>28.1</v>
      </c>
      <c r="N24" s="1288">
        <v>29</v>
      </c>
      <c r="O24" s="1295" t="s">
        <v>1482</v>
      </c>
    </row>
    <row r="25" spans="1:19" ht="14.25">
      <c r="A25" s="1294" t="s">
        <v>1483</v>
      </c>
      <c r="B25" s="1287">
        <f t="shared" si="9"/>
        <v>288.5</v>
      </c>
      <c r="C25" s="1287">
        <v>71.099999999999994</v>
      </c>
      <c r="D25" s="1288">
        <v>71.900000000000006</v>
      </c>
      <c r="E25" s="1288">
        <v>72</v>
      </c>
      <c r="F25" s="1288">
        <v>73.5</v>
      </c>
      <c r="G25" s="1287">
        <f t="shared" si="10"/>
        <v>318.39999999999998</v>
      </c>
      <c r="H25" s="1287">
        <v>73.400000000000006</v>
      </c>
      <c r="I25" s="1287">
        <v>78.3</v>
      </c>
      <c r="J25" s="1287">
        <v>84.5</v>
      </c>
      <c r="K25" s="1287">
        <v>82.2</v>
      </c>
      <c r="L25" s="1287">
        <v>82.4</v>
      </c>
      <c r="M25" s="1287">
        <v>83.5</v>
      </c>
      <c r="N25" s="1288">
        <v>84.6</v>
      </c>
      <c r="O25" s="1295" t="s">
        <v>1484</v>
      </c>
    </row>
    <row r="26" spans="1:19" ht="14.25">
      <c r="A26" s="1294" t="s">
        <v>1485</v>
      </c>
      <c r="B26" s="1287">
        <f t="shared" si="9"/>
        <v>75.099999999999994</v>
      </c>
      <c r="C26" s="1287">
        <v>18.100000000000001</v>
      </c>
      <c r="D26" s="1288">
        <v>19.2</v>
      </c>
      <c r="E26" s="1288">
        <v>19</v>
      </c>
      <c r="F26" s="1288">
        <v>18.8</v>
      </c>
      <c r="G26" s="1287">
        <f t="shared" si="10"/>
        <v>83.5</v>
      </c>
      <c r="H26" s="1287">
        <v>22.5</v>
      </c>
      <c r="I26" s="1287">
        <v>20.2</v>
      </c>
      <c r="J26" s="1287">
        <v>21.1</v>
      </c>
      <c r="K26" s="1287">
        <v>19.7</v>
      </c>
      <c r="L26" s="1287">
        <v>26.8</v>
      </c>
      <c r="M26" s="1287">
        <v>24.2</v>
      </c>
      <c r="N26" s="1288">
        <v>22.8</v>
      </c>
      <c r="O26" s="1295" t="s">
        <v>1486</v>
      </c>
    </row>
    <row r="27" spans="1:19" ht="30" customHeight="1">
      <c r="A27" s="1281" t="s">
        <v>1487</v>
      </c>
      <c r="B27" s="1287">
        <f t="shared" si="9"/>
        <v>-980.39999999999986</v>
      </c>
      <c r="C27" s="1287">
        <f t="shared" ref="C27:F27" si="11">SUM(C28:C29)</f>
        <v>-206.39999999999998</v>
      </c>
      <c r="D27" s="1287">
        <f t="shared" si="11"/>
        <v>-210.5</v>
      </c>
      <c r="E27" s="1287">
        <f t="shared" si="11"/>
        <v>-273.79999999999995</v>
      </c>
      <c r="F27" s="1287">
        <f t="shared" si="11"/>
        <v>-289.7</v>
      </c>
      <c r="G27" s="1287">
        <f t="shared" si="10"/>
        <v>-1247.4000000000001</v>
      </c>
      <c r="H27" s="1287">
        <v>-299.39999999999998</v>
      </c>
      <c r="I27" s="1287">
        <v>-311.5</v>
      </c>
      <c r="J27" s="1287">
        <v>-317.80000000000007</v>
      </c>
      <c r="K27" s="1287">
        <v>-318.70000000000005</v>
      </c>
      <c r="L27" s="1287">
        <v>-318.59999999999991</v>
      </c>
      <c r="M27" s="1287">
        <v>-328.70000000000005</v>
      </c>
      <c r="N27" s="1288">
        <v>-327.70000000000005</v>
      </c>
      <c r="O27" s="1283" t="s">
        <v>1488</v>
      </c>
    </row>
    <row r="28" spans="1:19" s="1293" customFormat="1" ht="15">
      <c r="A28" s="1290" t="s">
        <v>1467</v>
      </c>
      <c r="B28" s="1287">
        <f t="shared" si="9"/>
        <v>1859.8</v>
      </c>
      <c r="C28" s="1287">
        <v>444.5</v>
      </c>
      <c r="D28" s="1287">
        <v>453.4</v>
      </c>
      <c r="E28" s="1287">
        <v>470.6</v>
      </c>
      <c r="F28" s="1287">
        <v>491.3</v>
      </c>
      <c r="G28" s="1287">
        <f t="shared" si="10"/>
        <v>2091</v>
      </c>
      <c r="H28" s="1287">
        <v>501.1</v>
      </c>
      <c r="I28" s="1287">
        <v>521</v>
      </c>
      <c r="J28" s="1287">
        <v>531.4</v>
      </c>
      <c r="K28" s="1287">
        <v>537.5</v>
      </c>
      <c r="L28" s="1287">
        <v>544.70000000000005</v>
      </c>
      <c r="M28" s="1287">
        <v>560</v>
      </c>
      <c r="N28" s="1288">
        <v>575.9</v>
      </c>
      <c r="O28" s="1291" t="s">
        <v>1468</v>
      </c>
    </row>
    <row r="29" spans="1:19" s="1293" customFormat="1" ht="15">
      <c r="A29" s="1290" t="s">
        <v>1469</v>
      </c>
      <c r="B29" s="1287">
        <f t="shared" si="9"/>
        <v>-2840.2</v>
      </c>
      <c r="C29" s="1287">
        <v>-650.9</v>
      </c>
      <c r="D29" s="1287">
        <v>-663.9</v>
      </c>
      <c r="E29" s="1287">
        <v>-744.4</v>
      </c>
      <c r="F29" s="1287">
        <v>-781</v>
      </c>
      <c r="G29" s="1287">
        <f t="shared" si="10"/>
        <v>-3338.3999999999996</v>
      </c>
      <c r="H29" s="1287">
        <v>-800.5</v>
      </c>
      <c r="I29" s="1287">
        <v>-832.5</v>
      </c>
      <c r="J29" s="1287">
        <v>-849.2</v>
      </c>
      <c r="K29" s="1287">
        <v>-856.2</v>
      </c>
      <c r="L29" s="1287">
        <v>-863.3</v>
      </c>
      <c r="M29" s="1287">
        <v>-888.7</v>
      </c>
      <c r="N29" s="1288">
        <v>-903.6</v>
      </c>
      <c r="O29" s="1291" t="s">
        <v>1470</v>
      </c>
    </row>
    <row r="30" spans="1:19" ht="21" customHeight="1">
      <c r="A30" s="1294" t="s">
        <v>1489</v>
      </c>
      <c r="B30" s="1282">
        <f t="shared" si="9"/>
        <v>-980.40000000000009</v>
      </c>
      <c r="C30" s="1287">
        <f t="shared" ref="C30:F30" si="12">C31+C32+C33</f>
        <v>-206.4</v>
      </c>
      <c r="D30" s="1287">
        <f t="shared" si="12"/>
        <v>-210.5</v>
      </c>
      <c r="E30" s="1287">
        <f t="shared" si="12"/>
        <v>-273.8</v>
      </c>
      <c r="F30" s="1287">
        <f t="shared" si="12"/>
        <v>-289.7</v>
      </c>
      <c r="G30" s="1282">
        <f t="shared" si="10"/>
        <v>-1247.4000000000001</v>
      </c>
      <c r="H30" s="1287">
        <v>-299.39999999999998</v>
      </c>
      <c r="I30" s="1287">
        <v>-311.5</v>
      </c>
      <c r="J30" s="1287">
        <v>-317.8</v>
      </c>
      <c r="K30" s="1287">
        <v>-318.7</v>
      </c>
      <c r="L30" s="1287">
        <v>-318.59999999999997</v>
      </c>
      <c r="M30" s="1287">
        <v>-328.7</v>
      </c>
      <c r="N30" s="1288">
        <v>-327.7</v>
      </c>
      <c r="O30" s="1295" t="s">
        <v>1490</v>
      </c>
      <c r="P30" s="1090"/>
    </row>
    <row r="31" spans="1:19" ht="14.25">
      <c r="A31" s="1284" t="s">
        <v>1491</v>
      </c>
      <c r="B31" s="1282">
        <f t="shared" si="9"/>
        <v>-485.70000000000005</v>
      </c>
      <c r="C31" s="1287">
        <v>-118.6</v>
      </c>
      <c r="D31" s="1288">
        <v>-120.9</v>
      </c>
      <c r="E31" s="1288">
        <v>-122.1</v>
      </c>
      <c r="F31" s="1288">
        <v>-124.1</v>
      </c>
      <c r="G31" s="1282">
        <f t="shared" si="10"/>
        <v>-569.90000000000009</v>
      </c>
      <c r="H31" s="1287">
        <v>-139.9</v>
      </c>
      <c r="I31" s="1287">
        <v>-143.30000000000001</v>
      </c>
      <c r="J31" s="1287">
        <v>-142.69999999999999</v>
      </c>
      <c r="K31" s="1287">
        <v>-144</v>
      </c>
      <c r="L31" s="1287">
        <v>-145.19999999999999</v>
      </c>
      <c r="M31" s="1287">
        <v>-152.9</v>
      </c>
      <c r="N31" s="1288">
        <v>-161</v>
      </c>
      <c r="O31" s="1285" t="s">
        <v>1492</v>
      </c>
      <c r="Q31" s="1090"/>
    </row>
    <row r="32" spans="1:19" ht="14.25">
      <c r="A32" s="1284" t="s">
        <v>1493</v>
      </c>
      <c r="B32" s="1282">
        <f t="shared" si="9"/>
        <v>-195.2</v>
      </c>
      <c r="C32" s="1287">
        <v>-38.200000000000003</v>
      </c>
      <c r="D32" s="1288">
        <v>-39</v>
      </c>
      <c r="E32" s="1288">
        <v>-60.5</v>
      </c>
      <c r="F32" s="1288">
        <v>-57.5</v>
      </c>
      <c r="G32" s="1282">
        <f t="shared" si="10"/>
        <v>-256.3</v>
      </c>
      <c r="H32" s="1287">
        <v>-62.3</v>
      </c>
      <c r="I32" s="1287">
        <v>-65.400000000000006</v>
      </c>
      <c r="J32" s="1287">
        <v>-63.4</v>
      </c>
      <c r="K32" s="1287">
        <v>-65.2</v>
      </c>
      <c r="L32" s="1287">
        <v>-66.2</v>
      </c>
      <c r="M32" s="1287">
        <v>-66.099999999999994</v>
      </c>
      <c r="N32" s="1288">
        <v>-67.599999999999994</v>
      </c>
      <c r="O32" s="1285" t="s">
        <v>1494</v>
      </c>
      <c r="Q32" s="1090"/>
    </row>
    <row r="33" spans="1:17" ht="14.25">
      <c r="A33" s="1284" t="s">
        <v>1495</v>
      </c>
      <c r="B33" s="1282">
        <f t="shared" si="9"/>
        <v>-299.5</v>
      </c>
      <c r="C33" s="1287">
        <v>-49.6</v>
      </c>
      <c r="D33" s="1288">
        <v>-50.6</v>
      </c>
      <c r="E33" s="1288">
        <v>-91.2</v>
      </c>
      <c r="F33" s="1288">
        <v>-108.1</v>
      </c>
      <c r="G33" s="1282">
        <f t="shared" si="10"/>
        <v>-421.2</v>
      </c>
      <c r="H33" s="1287">
        <v>-97.2</v>
      </c>
      <c r="I33" s="1287">
        <v>-102.8</v>
      </c>
      <c r="J33" s="1287">
        <v>-111.7</v>
      </c>
      <c r="K33" s="1287">
        <v>-109.5</v>
      </c>
      <c r="L33" s="1287">
        <v>-107.2</v>
      </c>
      <c r="M33" s="1287">
        <v>-109.7</v>
      </c>
      <c r="N33" s="1288">
        <v>-99.1</v>
      </c>
      <c r="O33" s="1285" t="s">
        <v>1496</v>
      </c>
      <c r="Q33" s="1090"/>
    </row>
    <row r="34" spans="1:17" ht="30" customHeight="1">
      <c r="A34" s="1281" t="s">
        <v>1497</v>
      </c>
      <c r="B34" s="1282">
        <f t="shared" si="9"/>
        <v>-1001.4</v>
      </c>
      <c r="C34" s="1287">
        <f t="shared" ref="C34:F34" si="13">C35</f>
        <v>-235.6</v>
      </c>
      <c r="D34" s="1287">
        <f t="shared" si="13"/>
        <v>-251.2</v>
      </c>
      <c r="E34" s="1287">
        <f t="shared" si="13"/>
        <v>-248.1</v>
      </c>
      <c r="F34" s="1287">
        <f t="shared" si="13"/>
        <v>-266.5</v>
      </c>
      <c r="G34" s="1282">
        <f t="shared" si="10"/>
        <v>-1000</v>
      </c>
      <c r="H34" s="1287">
        <v>-230.7</v>
      </c>
      <c r="I34" s="1287">
        <v>-250.3</v>
      </c>
      <c r="J34" s="1287">
        <v>-245.9</v>
      </c>
      <c r="K34" s="1287">
        <v>-273.10000000000002</v>
      </c>
      <c r="L34" s="1287">
        <v>-228.6</v>
      </c>
      <c r="M34" s="1287">
        <v>-227.5</v>
      </c>
      <c r="N34" s="1288">
        <v>-254</v>
      </c>
      <c r="O34" s="1283" t="s">
        <v>1498</v>
      </c>
    </row>
    <row r="35" spans="1:17" ht="14.25">
      <c r="A35" s="1294" t="s">
        <v>1499</v>
      </c>
      <c r="B35" s="1282">
        <f>SUM(C35:F35)</f>
        <v>-1001.4</v>
      </c>
      <c r="C35" s="1287">
        <v>-235.6</v>
      </c>
      <c r="D35" s="1288">
        <v>-251.2</v>
      </c>
      <c r="E35" s="1288">
        <v>-248.1</v>
      </c>
      <c r="F35" s="1288">
        <v>-266.5</v>
      </c>
      <c r="G35" s="1282">
        <f>SUM(H35:K35)</f>
        <v>-1000</v>
      </c>
      <c r="H35" s="1287">
        <v>-230.7</v>
      </c>
      <c r="I35" s="1287">
        <v>-250.3</v>
      </c>
      <c r="J35" s="1287">
        <v>-245.9</v>
      </c>
      <c r="K35" s="1287">
        <v>-273.10000000000002</v>
      </c>
      <c r="L35" s="1287">
        <v>-228.6</v>
      </c>
      <c r="M35" s="1287">
        <v>-227.5</v>
      </c>
      <c r="N35" s="1288">
        <v>-254</v>
      </c>
      <c r="O35" s="1295" t="s">
        <v>1500</v>
      </c>
    </row>
    <row r="36" spans="1:17" ht="30" customHeight="1">
      <c r="A36" s="1296" t="s">
        <v>1501</v>
      </c>
      <c r="B36" s="1297">
        <f>SUM(C36:F36)</f>
        <v>-18.600000000000762</v>
      </c>
      <c r="C36" s="1298">
        <f t="shared" ref="C36:F36" si="14">C37+C39</f>
        <v>77.199999999999903</v>
      </c>
      <c r="D36" s="1298">
        <f t="shared" si="14"/>
        <v>-50.200000000000045</v>
      </c>
      <c r="E36" s="1298">
        <f t="shared" si="14"/>
        <v>113.69999999999993</v>
      </c>
      <c r="F36" s="1298">
        <f t="shared" si="14"/>
        <v>-159.30000000000055</v>
      </c>
      <c r="G36" s="1297">
        <f>SUM(H36:K36)</f>
        <v>96.781382346727014</v>
      </c>
      <c r="H36" s="1298">
        <v>274.78138234672844</v>
      </c>
      <c r="I36" s="1298">
        <v>-405.59999999999491</v>
      </c>
      <c r="J36" s="1298">
        <v>-215.50000000000887</v>
      </c>
      <c r="K36" s="1298">
        <v>443.10000000000235</v>
      </c>
      <c r="L36" s="1298">
        <v>382.80000000000541</v>
      </c>
      <c r="M36" s="1298">
        <v>93.999999999995637</v>
      </c>
      <c r="N36" s="1854">
        <v>481.50000000000216</v>
      </c>
      <c r="O36" s="1280" t="s">
        <v>1502</v>
      </c>
    </row>
    <row r="37" spans="1:17" ht="30" customHeight="1">
      <c r="A37" s="1281" t="s">
        <v>1503</v>
      </c>
      <c r="B37" s="1282">
        <f t="shared" ref="B37:B50" si="15">SUM(C37:F37)</f>
        <v>131.6</v>
      </c>
      <c r="C37" s="1287">
        <f t="shared" ref="C37:F37" si="16">C38</f>
        <v>0</v>
      </c>
      <c r="D37" s="1287">
        <f t="shared" si="16"/>
        <v>0</v>
      </c>
      <c r="E37" s="1287">
        <f t="shared" si="16"/>
        <v>0</v>
      </c>
      <c r="F37" s="1287">
        <f t="shared" si="16"/>
        <v>131.6</v>
      </c>
      <c r="G37" s="1282">
        <f t="shared" ref="G37:G50" si="17">SUM(H37:K37)</f>
        <v>87.2</v>
      </c>
      <c r="H37" s="1287">
        <v>0</v>
      </c>
      <c r="I37" s="1287">
        <v>0</v>
      </c>
      <c r="J37" s="1287">
        <v>0</v>
      </c>
      <c r="K37" s="1287">
        <v>87.2</v>
      </c>
      <c r="L37" s="1287">
        <v>0</v>
      </c>
      <c r="M37" s="1287">
        <v>10.199999999999999</v>
      </c>
      <c r="N37" s="1288">
        <v>36.1</v>
      </c>
      <c r="O37" s="1283" t="s">
        <v>1504</v>
      </c>
    </row>
    <row r="38" spans="1:17" ht="14.25">
      <c r="A38" s="1294" t="s">
        <v>1505</v>
      </c>
      <c r="B38" s="1282">
        <f t="shared" si="15"/>
        <v>131.6</v>
      </c>
      <c r="C38" s="1287">
        <v>0</v>
      </c>
      <c r="D38" s="1288">
        <v>0</v>
      </c>
      <c r="E38" s="1288">
        <v>0</v>
      </c>
      <c r="F38" s="1288">
        <v>131.6</v>
      </c>
      <c r="G38" s="1282">
        <f t="shared" si="17"/>
        <v>87.2</v>
      </c>
      <c r="H38" s="1287">
        <v>0</v>
      </c>
      <c r="I38" s="1287">
        <v>0</v>
      </c>
      <c r="J38" s="1287">
        <v>0</v>
      </c>
      <c r="K38" s="1287">
        <v>87.2</v>
      </c>
      <c r="L38" s="1287">
        <v>0</v>
      </c>
      <c r="M38" s="1287">
        <v>10.199999999999999</v>
      </c>
      <c r="N38" s="1288">
        <v>36.1</v>
      </c>
      <c r="O38" s="1295" t="s">
        <v>1506</v>
      </c>
    </row>
    <row r="39" spans="1:17" ht="30" customHeight="1">
      <c r="A39" s="1281" t="s">
        <v>1507</v>
      </c>
      <c r="B39" s="1282">
        <f t="shared" si="15"/>
        <v>-150.20000000000076</v>
      </c>
      <c r="C39" s="1287">
        <f t="shared" ref="C39:F39" si="18">C40+C43+C46+C49</f>
        <v>77.199999999999903</v>
      </c>
      <c r="D39" s="1287">
        <f t="shared" si="18"/>
        <v>-50.200000000000045</v>
      </c>
      <c r="E39" s="1287">
        <f t="shared" si="18"/>
        <v>113.69999999999993</v>
      </c>
      <c r="F39" s="1287">
        <f t="shared" si="18"/>
        <v>-290.90000000000055</v>
      </c>
      <c r="G39" s="1282">
        <f t="shared" si="17"/>
        <v>9.5813823467270254</v>
      </c>
      <c r="H39" s="1287">
        <v>274.78138234672844</v>
      </c>
      <c r="I39" s="1287">
        <v>-405.59999999999491</v>
      </c>
      <c r="J39" s="1287">
        <v>-215.50000000000887</v>
      </c>
      <c r="K39" s="1287">
        <v>355.90000000000236</v>
      </c>
      <c r="L39" s="1287">
        <v>382.80000000000541</v>
      </c>
      <c r="M39" s="1287">
        <v>83.799999999995634</v>
      </c>
      <c r="N39" s="1288">
        <v>445.40000000000214</v>
      </c>
      <c r="O39" s="1283" t="s">
        <v>1508</v>
      </c>
    </row>
    <row r="40" spans="1:17" ht="15">
      <c r="A40" s="1290" t="s">
        <v>1509</v>
      </c>
      <c r="B40" s="1282">
        <f t="shared" si="15"/>
        <v>2298.3999999999992</v>
      </c>
      <c r="C40" s="1287">
        <f t="shared" ref="C40:F40" si="19">C41+C42</f>
        <v>1060.8</v>
      </c>
      <c r="D40" s="1287">
        <f t="shared" si="19"/>
        <v>351.5</v>
      </c>
      <c r="E40" s="1287">
        <f t="shared" si="19"/>
        <v>568</v>
      </c>
      <c r="F40" s="1287">
        <f t="shared" si="19"/>
        <v>318.09999999999928</v>
      </c>
      <c r="G40" s="1282">
        <f t="shared" si="17"/>
        <v>877.78000000000065</v>
      </c>
      <c r="H40" s="1287">
        <v>269.28000000000065</v>
      </c>
      <c r="I40" s="1287">
        <v>-36.599999999998545</v>
      </c>
      <c r="J40" s="1287">
        <v>64.899999999999636</v>
      </c>
      <c r="K40" s="1287">
        <v>580.19999999999891</v>
      </c>
      <c r="L40" s="1287">
        <v>169.70000000000073</v>
      </c>
      <c r="M40" s="1287">
        <v>-118.89999999999964</v>
      </c>
      <c r="N40" s="1288">
        <v>-278.60000000000036</v>
      </c>
      <c r="O40" s="1291" t="s">
        <v>1510</v>
      </c>
    </row>
    <row r="41" spans="1:17" ht="14.25">
      <c r="A41" s="1284" t="s">
        <v>1511</v>
      </c>
      <c r="B41" s="1282">
        <f t="shared" si="15"/>
        <v>-418.49999999999994</v>
      </c>
      <c r="C41" s="1287">
        <v>-78.400000000000006</v>
      </c>
      <c r="D41" s="1288">
        <v>-76.3</v>
      </c>
      <c r="E41" s="1288">
        <v>-146.1</v>
      </c>
      <c r="F41" s="1288">
        <v>-117.7</v>
      </c>
      <c r="G41" s="1282">
        <f t="shared" si="17"/>
        <v>-202.60000000000036</v>
      </c>
      <c r="H41" s="1287">
        <v>56.399999999999636</v>
      </c>
      <c r="I41" s="1287">
        <v>-37</v>
      </c>
      <c r="J41" s="1287">
        <v>-77.100000000000364</v>
      </c>
      <c r="K41" s="1287">
        <v>-144.89999999999964</v>
      </c>
      <c r="L41" s="1287">
        <v>164.5</v>
      </c>
      <c r="M41" s="1287">
        <v>-143.89999999999964</v>
      </c>
      <c r="N41" s="1288">
        <v>238.39999999999964</v>
      </c>
      <c r="O41" s="1285" t="s">
        <v>1512</v>
      </c>
    </row>
    <row r="42" spans="1:17" ht="14.25">
      <c r="A42" s="1284" t="s">
        <v>1513</v>
      </c>
      <c r="B42" s="1282">
        <f t="shared" si="15"/>
        <v>2716.8999999999992</v>
      </c>
      <c r="C42" s="1287">
        <v>1139.2</v>
      </c>
      <c r="D42" s="1288">
        <v>427.8</v>
      </c>
      <c r="E42" s="1288">
        <v>714.1</v>
      </c>
      <c r="F42" s="1288">
        <v>435.79999999999927</v>
      </c>
      <c r="G42" s="1282">
        <f t="shared" si="17"/>
        <v>1080.380000000001</v>
      </c>
      <c r="H42" s="1287">
        <v>212.88000000000102</v>
      </c>
      <c r="I42" s="1287">
        <v>0.40000000000145519</v>
      </c>
      <c r="J42" s="1287">
        <v>142</v>
      </c>
      <c r="K42" s="1287">
        <v>725.09999999999854</v>
      </c>
      <c r="L42" s="1287">
        <v>5.2000000000007276</v>
      </c>
      <c r="M42" s="1287">
        <v>25</v>
      </c>
      <c r="N42" s="1288">
        <v>-517</v>
      </c>
      <c r="O42" s="1285" t="s">
        <v>1514</v>
      </c>
    </row>
    <row r="43" spans="1:17" ht="30" customHeight="1">
      <c r="A43" s="1290" t="s">
        <v>1515</v>
      </c>
      <c r="B43" s="1282">
        <f t="shared" si="15"/>
        <v>299.60000000000014</v>
      </c>
      <c r="C43" s="1287">
        <f t="shared" ref="C43:D43" si="20">SUM(C44:C45)</f>
        <v>401.5</v>
      </c>
      <c r="D43" s="1287">
        <f t="shared" si="20"/>
        <v>676.8</v>
      </c>
      <c r="E43" s="1287">
        <f t="shared" ref="E43:F43" si="21">SUM(E44:E45)</f>
        <v>-334.3</v>
      </c>
      <c r="F43" s="1287">
        <f t="shared" si="21"/>
        <v>-444.39999999999986</v>
      </c>
      <c r="G43" s="1282">
        <f t="shared" si="17"/>
        <v>-443.467120938265</v>
      </c>
      <c r="H43" s="1287">
        <v>82.73287906173573</v>
      </c>
      <c r="I43" s="1287">
        <v>-236.59999999999854</v>
      </c>
      <c r="J43" s="1287">
        <v>-140.70000000000255</v>
      </c>
      <c r="K43" s="1287">
        <v>-148.89999999999964</v>
      </c>
      <c r="L43" s="1287">
        <v>-434.49999999999818</v>
      </c>
      <c r="M43" s="1287">
        <v>1281.6999999999989</v>
      </c>
      <c r="N43" s="1288">
        <v>-195.69999999999891</v>
      </c>
      <c r="O43" s="1291" t="s">
        <v>1516</v>
      </c>
    </row>
    <row r="44" spans="1:17" ht="14.25">
      <c r="A44" s="1284" t="s">
        <v>1517</v>
      </c>
      <c r="B44" s="1282">
        <f t="shared" si="15"/>
        <v>-2001.3</v>
      </c>
      <c r="C44" s="1287">
        <v>-659.7</v>
      </c>
      <c r="D44" s="1288">
        <v>-75.099999999999994</v>
      </c>
      <c r="E44" s="1288">
        <v>-143.9</v>
      </c>
      <c r="F44" s="1288">
        <v>-1122.5999999999999</v>
      </c>
      <c r="G44" s="1282">
        <f t="shared" si="17"/>
        <v>-1725.7901067507446</v>
      </c>
      <c r="H44" s="1287">
        <v>-60.590106750743871</v>
      </c>
      <c r="I44" s="1287">
        <v>-242.39999999999782</v>
      </c>
      <c r="J44" s="1287">
        <v>-706.80000000000291</v>
      </c>
      <c r="K44" s="1287">
        <v>-716</v>
      </c>
      <c r="L44" s="1287">
        <v>-74.899999999997817</v>
      </c>
      <c r="M44" s="1287">
        <v>344.59999999999854</v>
      </c>
      <c r="N44" s="1288">
        <v>-836.39999999999782</v>
      </c>
      <c r="O44" s="1285" t="s">
        <v>1518</v>
      </c>
      <c r="Q44" s="1090"/>
    </row>
    <row r="45" spans="1:17" ht="14.25">
      <c r="A45" s="1284" t="s">
        <v>1519</v>
      </c>
      <c r="B45" s="1282">
        <f t="shared" si="15"/>
        <v>2300.8999999999996</v>
      </c>
      <c r="C45" s="1287">
        <v>1061.2</v>
      </c>
      <c r="D45" s="1288">
        <v>751.9</v>
      </c>
      <c r="E45" s="1288">
        <v>-190.4</v>
      </c>
      <c r="F45" s="1288">
        <v>678.2</v>
      </c>
      <c r="G45" s="1282">
        <f t="shared" si="17"/>
        <v>1282.3229858124796</v>
      </c>
      <c r="H45" s="1287">
        <v>143.3229858124796</v>
      </c>
      <c r="I45" s="1287">
        <v>5.7999999999992724</v>
      </c>
      <c r="J45" s="1287">
        <v>566.10000000000036</v>
      </c>
      <c r="K45" s="1287">
        <v>567.10000000000036</v>
      </c>
      <c r="L45" s="1287">
        <v>-359.60000000000036</v>
      </c>
      <c r="M45" s="1287">
        <v>937.10000000000036</v>
      </c>
      <c r="N45" s="1288">
        <v>640.69999999999891</v>
      </c>
      <c r="O45" s="1285" t="s">
        <v>1520</v>
      </c>
      <c r="Q45" s="1090"/>
    </row>
    <row r="46" spans="1:17" ht="30" customHeight="1">
      <c r="A46" s="1290" t="s">
        <v>1521</v>
      </c>
      <c r="B46" s="1282">
        <f t="shared" si="15"/>
        <v>-2635.2000000000003</v>
      </c>
      <c r="C46" s="1287">
        <f t="shared" ref="C46:F46" si="22">SUM(C47:C48)</f>
        <v>-1449.7</v>
      </c>
      <c r="D46" s="1287">
        <f t="shared" si="22"/>
        <v>-464.9</v>
      </c>
      <c r="E46" s="1287">
        <f t="shared" si="22"/>
        <v>-581.70000000000005</v>
      </c>
      <c r="F46" s="1287">
        <f t="shared" si="22"/>
        <v>-138.89999999999998</v>
      </c>
      <c r="G46" s="1282">
        <f t="shared" si="17"/>
        <v>-517.23149671500869</v>
      </c>
      <c r="H46" s="1287">
        <v>-73.531496715007961</v>
      </c>
      <c r="I46" s="1287">
        <v>-149.39999999999782</v>
      </c>
      <c r="J46" s="1287">
        <v>265.39999999999418</v>
      </c>
      <c r="K46" s="1287">
        <v>-559.69999999999709</v>
      </c>
      <c r="L46" s="1287">
        <v>271.80000000000291</v>
      </c>
      <c r="M46" s="1287">
        <v>-686.50000000000364</v>
      </c>
      <c r="N46" s="1288">
        <v>708.40000000000146</v>
      </c>
      <c r="O46" s="1291" t="s">
        <v>1522</v>
      </c>
    </row>
    <row r="47" spans="1:17" ht="14.25">
      <c r="A47" s="1284" t="s">
        <v>1517</v>
      </c>
      <c r="B47" s="1282">
        <f t="shared" si="15"/>
        <v>-3279.2</v>
      </c>
      <c r="C47" s="1287">
        <v>-985</v>
      </c>
      <c r="D47" s="1288">
        <v>-210.5</v>
      </c>
      <c r="E47" s="1288">
        <v>-1181.2</v>
      </c>
      <c r="F47" s="1288">
        <v>-902.5</v>
      </c>
      <c r="G47" s="1282">
        <f t="shared" si="17"/>
        <v>-1912.0283108233125</v>
      </c>
      <c r="H47" s="1287">
        <v>-827.42831082331395</v>
      </c>
      <c r="I47" s="1287">
        <v>-931.09999999999854</v>
      </c>
      <c r="J47" s="1287">
        <v>-452.80000000000291</v>
      </c>
      <c r="K47" s="1287">
        <v>299.30000000000291</v>
      </c>
      <c r="L47" s="1287">
        <v>392</v>
      </c>
      <c r="M47" s="1287">
        <v>-487.40000000000146</v>
      </c>
      <c r="N47" s="1288">
        <v>701.40000000000146</v>
      </c>
      <c r="O47" s="1285" t="s">
        <v>1518</v>
      </c>
      <c r="Q47" s="1090"/>
    </row>
    <row r="48" spans="1:17" ht="14.25">
      <c r="A48" s="1284" t="s">
        <v>1519</v>
      </c>
      <c r="B48" s="1282">
        <f t="shared" si="15"/>
        <v>644</v>
      </c>
      <c r="C48" s="1287">
        <v>-464.7</v>
      </c>
      <c r="D48" s="1288">
        <v>-254.4</v>
      </c>
      <c r="E48" s="1288">
        <v>599.5</v>
      </c>
      <c r="F48" s="1288">
        <v>763.6</v>
      </c>
      <c r="G48" s="1282">
        <f t="shared" si="17"/>
        <v>1394.7968141083038</v>
      </c>
      <c r="H48" s="1287">
        <v>753.89681410830599</v>
      </c>
      <c r="I48" s="1287">
        <v>781.70000000000073</v>
      </c>
      <c r="J48" s="1287">
        <v>718.19999999999709</v>
      </c>
      <c r="K48" s="1287">
        <v>-859</v>
      </c>
      <c r="L48" s="1287">
        <v>-120.19999999999709</v>
      </c>
      <c r="M48" s="1287">
        <v>-199.10000000000218</v>
      </c>
      <c r="N48" s="1288">
        <v>7</v>
      </c>
      <c r="O48" s="1285" t="s">
        <v>1520</v>
      </c>
      <c r="Q48" s="1090"/>
    </row>
    <row r="49" spans="1:17" ht="30" customHeight="1">
      <c r="A49" s="1290" t="s">
        <v>1523</v>
      </c>
      <c r="B49" s="1282">
        <f t="shared" si="15"/>
        <v>-113.00000000000001</v>
      </c>
      <c r="C49" s="1287">
        <v>64.599999999999994</v>
      </c>
      <c r="D49" s="1288">
        <v>-613.6</v>
      </c>
      <c r="E49" s="1288">
        <v>461.7</v>
      </c>
      <c r="F49" s="1288">
        <v>-25.7</v>
      </c>
      <c r="G49" s="1282">
        <f t="shared" si="17"/>
        <v>92.500000000000057</v>
      </c>
      <c r="H49" s="1287">
        <v>-3.7</v>
      </c>
      <c r="I49" s="1287">
        <v>17</v>
      </c>
      <c r="J49" s="1287">
        <v>-405.10000000000014</v>
      </c>
      <c r="K49" s="1287">
        <v>484.30000000000018</v>
      </c>
      <c r="L49" s="1287">
        <v>375.79999999999995</v>
      </c>
      <c r="M49" s="1287">
        <v>-392.5</v>
      </c>
      <c r="N49" s="1288">
        <v>211.29999999999995</v>
      </c>
      <c r="O49" s="1291" t="s">
        <v>1524</v>
      </c>
      <c r="Q49" s="1090"/>
    </row>
    <row r="50" spans="1:17" ht="30" customHeight="1">
      <c r="A50" s="1277" t="s">
        <v>1525</v>
      </c>
      <c r="B50" s="1278">
        <f t="shared" si="15"/>
        <v>-996.39999999999952</v>
      </c>
      <c r="C50" s="1299">
        <f t="shared" ref="C50:F50" si="23">-(C8+C36)</f>
        <v>-303.60000000000025</v>
      </c>
      <c r="D50" s="1299">
        <f t="shared" si="23"/>
        <v>-165.60000000000019</v>
      </c>
      <c r="E50" s="1299">
        <f t="shared" si="23"/>
        <v>-440.29999999999973</v>
      </c>
      <c r="F50" s="1299">
        <f t="shared" si="23"/>
        <v>-86.899999999999267</v>
      </c>
      <c r="G50" s="1278">
        <f t="shared" si="17"/>
        <v>-954.7813823467269</v>
      </c>
      <c r="H50" s="1299">
        <v>-482.98138234672865</v>
      </c>
      <c r="I50" s="1299">
        <v>152.99999999999505</v>
      </c>
      <c r="J50" s="1299">
        <v>66.900000000008987</v>
      </c>
      <c r="K50" s="1299">
        <v>-691.70000000000232</v>
      </c>
      <c r="L50" s="1299">
        <v>-652.50000000000534</v>
      </c>
      <c r="M50" s="1299">
        <v>-266.89999999999549</v>
      </c>
      <c r="N50" s="1854">
        <v>-787.30000000000234</v>
      </c>
      <c r="O50" s="1280" t="s">
        <v>1526</v>
      </c>
    </row>
    <row r="51" spans="1:17" ht="21" customHeight="1">
      <c r="A51" s="1300" t="s">
        <v>1527</v>
      </c>
      <c r="B51" s="1301"/>
      <c r="C51" s="1301"/>
      <c r="D51" s="1301"/>
      <c r="E51" s="1301"/>
      <c r="F51" s="1301"/>
      <c r="G51" s="1301"/>
      <c r="H51" s="1301"/>
      <c r="I51" s="1301"/>
      <c r="J51" s="1301"/>
      <c r="K51" s="1301"/>
      <c r="L51" s="1301"/>
      <c r="M51" s="1301"/>
      <c r="N51" s="1301"/>
      <c r="O51" s="409" t="s">
        <v>1528</v>
      </c>
    </row>
    <row r="52" spans="1:17">
      <c r="A52" s="1302" t="s">
        <v>1529</v>
      </c>
      <c r="O52" s="1303" t="s">
        <v>1530</v>
      </c>
    </row>
    <row r="54" spans="1:17" s="148" customFormat="1" ht="15">
      <c r="A54" s="1217" t="s">
        <v>1531</v>
      </c>
      <c r="B54" s="387"/>
      <c r="C54" s="387"/>
      <c r="D54" s="387"/>
      <c r="E54" s="387"/>
      <c r="F54" s="387"/>
      <c r="G54" s="387"/>
      <c r="H54" s="387"/>
      <c r="I54" s="387"/>
      <c r="J54" s="387"/>
      <c r="K54" s="387"/>
      <c r="L54" s="387"/>
      <c r="M54" s="387"/>
      <c r="N54" s="387"/>
      <c r="O54" s="387"/>
    </row>
    <row r="55" spans="1:17">
      <c r="B55" s="1304"/>
      <c r="C55" s="1304"/>
      <c r="D55" s="1304"/>
      <c r="E55" s="1304"/>
      <c r="F55" s="1304"/>
      <c r="G55" s="1304"/>
      <c r="H55" s="1304"/>
      <c r="I55" s="1304"/>
      <c r="J55" s="1304"/>
      <c r="K55" s="1304"/>
      <c r="L55" s="1304"/>
      <c r="M55" s="1304"/>
      <c r="N55" s="1304"/>
    </row>
    <row r="56" spans="1:17">
      <c r="B56" s="1304"/>
      <c r="C56" s="1304"/>
      <c r="D56" s="1304"/>
      <c r="E56" s="1304"/>
      <c r="F56" s="1304"/>
      <c r="G56" s="1304"/>
      <c r="H56" s="1304"/>
      <c r="I56" s="1304"/>
      <c r="J56" s="1304"/>
      <c r="K56" s="1304"/>
      <c r="L56" s="1304"/>
      <c r="M56" s="1304"/>
      <c r="N56" s="1304"/>
    </row>
    <row r="57" spans="1:17">
      <c r="B57" s="1304"/>
      <c r="C57" s="1304"/>
      <c r="D57" s="1304"/>
      <c r="E57" s="1304"/>
      <c r="F57" s="1304"/>
      <c r="G57" s="1304"/>
      <c r="H57" s="1304"/>
      <c r="I57" s="1304"/>
      <c r="J57" s="1304"/>
      <c r="K57" s="1304"/>
      <c r="L57" s="1304"/>
      <c r="M57" s="1304"/>
      <c r="N57" s="1304"/>
    </row>
  </sheetData>
  <mergeCells count="4">
    <mergeCell ref="A5:A7"/>
    <mergeCell ref="B5:B7"/>
    <mergeCell ref="G5:G7"/>
    <mergeCell ref="O5:O7"/>
  </mergeCells>
  <printOptions horizontalCentered="1" verticalCentered="1"/>
  <pageMargins left="0" right="0" top="0" bottom="0" header="0.3" footer="0.3"/>
  <pageSetup paperSize="9" scale="61"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R26"/>
  <sheetViews>
    <sheetView tabSelected="1" zoomScale="90" zoomScaleNormal="90" workbookViewId="0">
      <selection activeCell="N29" sqref="N29"/>
    </sheetView>
  </sheetViews>
  <sheetFormatPr defaultColWidth="9.140625" defaultRowHeight="15"/>
  <cols>
    <col min="1" max="1" width="32.7109375" style="180" customWidth="1"/>
    <col min="2" max="6" width="13.7109375" style="180" hidden="1" customWidth="1"/>
    <col min="7" max="14" width="13.7109375" style="180" customWidth="1"/>
    <col min="15" max="15" width="29.7109375" style="180" customWidth="1"/>
    <col min="16" max="17" width="9.140625" style="180"/>
    <col min="18" max="18" width="15.42578125" style="180" customWidth="1"/>
    <col min="19" max="16384" width="9.140625" style="180"/>
  </cols>
  <sheetData>
    <row r="1" spans="1:18" s="1266" customFormat="1" ht="18" customHeight="1">
      <c r="A1" s="1264" t="s">
        <v>1532</v>
      </c>
      <c r="B1" s="1264"/>
      <c r="C1" s="1264"/>
      <c r="D1" s="1264"/>
      <c r="E1" s="1264"/>
      <c r="F1" s="1264"/>
      <c r="G1" s="1264"/>
      <c r="H1" s="1264"/>
      <c r="I1" s="1264"/>
      <c r="J1" s="1264"/>
      <c r="K1" s="1264"/>
      <c r="L1" s="1264"/>
      <c r="M1" s="1264"/>
      <c r="N1" s="1264"/>
      <c r="O1" s="1265"/>
    </row>
    <row r="2" spans="1:18" s="1266" customFormat="1" ht="18" customHeight="1">
      <c r="A2" s="1265" t="s">
        <v>102</v>
      </c>
      <c r="B2" s="1265"/>
      <c r="C2" s="1265"/>
      <c r="D2" s="1265"/>
      <c r="E2" s="1265"/>
      <c r="F2" s="1265"/>
      <c r="G2" s="1265"/>
      <c r="H2" s="1265"/>
      <c r="I2" s="1265"/>
      <c r="J2" s="1265"/>
      <c r="K2" s="1265"/>
      <c r="L2" s="1265"/>
      <c r="M2" s="1265"/>
      <c r="N2" s="1265"/>
      <c r="O2" s="1265"/>
    </row>
    <row r="3" spans="1:18" s="1266" customFormat="1" ht="18" customHeight="1">
      <c r="A3" s="1265" t="s">
        <v>101</v>
      </c>
      <c r="B3" s="1265"/>
      <c r="C3" s="1265"/>
      <c r="D3" s="1265"/>
      <c r="E3" s="1265"/>
      <c r="F3" s="1265"/>
      <c r="G3" s="1265"/>
      <c r="H3" s="1265"/>
      <c r="I3" s="1265"/>
      <c r="J3" s="1265"/>
      <c r="K3" s="1265"/>
      <c r="L3" s="1265"/>
      <c r="M3" s="1265"/>
      <c r="N3" s="1265"/>
      <c r="O3" s="1265"/>
    </row>
    <row r="4" spans="1:18" ht="15.75">
      <c r="A4" s="381" t="s">
        <v>1213</v>
      </c>
      <c r="B4" s="1267"/>
      <c r="C4" s="1267"/>
      <c r="D4" s="1267"/>
      <c r="E4" s="1267"/>
      <c r="F4" s="1267"/>
      <c r="G4" s="1267"/>
      <c r="H4" s="1267"/>
      <c r="I4" s="1267"/>
      <c r="J4" s="1267"/>
      <c r="K4" s="1267"/>
      <c r="L4" s="1267"/>
      <c r="M4" s="1267"/>
      <c r="N4" s="1267"/>
      <c r="O4" s="1268" t="s">
        <v>370</v>
      </c>
    </row>
    <row r="5" spans="1:18" ht="18" customHeight="1">
      <c r="A5" s="2025" t="s">
        <v>1445</v>
      </c>
      <c r="B5" s="2028">
        <v>2023</v>
      </c>
      <c r="C5" s="601">
        <v>2023</v>
      </c>
      <c r="D5" s="601"/>
      <c r="E5" s="601"/>
      <c r="F5" s="601"/>
      <c r="G5" s="2028" t="s">
        <v>1446</v>
      </c>
      <c r="H5" s="601" t="s">
        <v>1446</v>
      </c>
      <c r="I5" s="601"/>
      <c r="J5" s="601"/>
      <c r="K5" s="601"/>
      <c r="L5" s="601" t="s">
        <v>1447</v>
      </c>
      <c r="M5" s="601"/>
      <c r="N5" s="601"/>
      <c r="O5" s="2031" t="s">
        <v>1448</v>
      </c>
    </row>
    <row r="6" spans="1:18" ht="18" customHeight="1">
      <c r="A6" s="2026"/>
      <c r="B6" s="2029"/>
      <c r="C6" s="866" t="s">
        <v>1449</v>
      </c>
      <c r="D6" s="866" t="s">
        <v>1450</v>
      </c>
      <c r="E6" s="866" t="s">
        <v>1451</v>
      </c>
      <c r="F6" s="929" t="s">
        <v>1452</v>
      </c>
      <c r="G6" s="2029"/>
      <c r="H6" s="866" t="s">
        <v>1449</v>
      </c>
      <c r="I6" s="866" t="s">
        <v>1450</v>
      </c>
      <c r="J6" s="866" t="s">
        <v>1451</v>
      </c>
      <c r="K6" s="929" t="s">
        <v>1452</v>
      </c>
      <c r="L6" s="866" t="s">
        <v>1449</v>
      </c>
      <c r="M6" s="866" t="s">
        <v>1450</v>
      </c>
      <c r="N6" s="866" t="s">
        <v>1451</v>
      </c>
      <c r="O6" s="2032"/>
    </row>
    <row r="7" spans="1:18" ht="18" customHeight="1">
      <c r="A7" s="2027"/>
      <c r="B7" s="2030"/>
      <c r="C7" s="801" t="s">
        <v>239</v>
      </c>
      <c r="D7" s="801" t="s">
        <v>240</v>
      </c>
      <c r="E7" s="801" t="s">
        <v>237</v>
      </c>
      <c r="F7" s="801" t="s">
        <v>238</v>
      </c>
      <c r="G7" s="2030"/>
      <c r="H7" s="801" t="s">
        <v>239</v>
      </c>
      <c r="I7" s="801" t="s">
        <v>240</v>
      </c>
      <c r="J7" s="801" t="s">
        <v>237</v>
      </c>
      <c r="K7" s="801" t="s">
        <v>238</v>
      </c>
      <c r="L7" s="801" t="s">
        <v>239</v>
      </c>
      <c r="M7" s="801" t="s">
        <v>240</v>
      </c>
      <c r="N7" s="801" t="s">
        <v>237</v>
      </c>
      <c r="O7" s="2033"/>
    </row>
    <row r="8" spans="1:18" s="321" customFormat="1" ht="33" customHeight="1">
      <c r="A8" s="1269" t="s">
        <v>1533</v>
      </c>
      <c r="B8" s="759">
        <f>F8</f>
        <v>10572.700000000004</v>
      </c>
      <c r="C8" s="759">
        <f t="shared" ref="C8:F8" si="0">C9-C14</f>
        <v>10200.099999999999</v>
      </c>
      <c r="D8" s="759">
        <f t="shared" si="0"/>
        <v>10250.299999999996</v>
      </c>
      <c r="E8" s="759">
        <f t="shared" si="0"/>
        <v>10136.599999999999</v>
      </c>
      <c r="F8" s="759">
        <f t="shared" si="0"/>
        <v>10572.700000000004</v>
      </c>
      <c r="G8" s="759">
        <f>K8</f>
        <v>10418.000000000007</v>
      </c>
      <c r="H8" s="759">
        <f t="shared" ref="H8:N8" si="1">H9-H14</f>
        <v>10152.800000000003</v>
      </c>
      <c r="I8" s="759">
        <f t="shared" si="1"/>
        <v>10558.399999999994</v>
      </c>
      <c r="J8" s="759">
        <f t="shared" si="1"/>
        <v>10773.900000000001</v>
      </c>
      <c r="K8" s="759">
        <f t="shared" si="1"/>
        <v>10418.000000000007</v>
      </c>
      <c r="L8" s="759">
        <f t="shared" si="1"/>
        <v>10035.199999999997</v>
      </c>
      <c r="M8" s="759">
        <f t="shared" si="1"/>
        <v>9951.3999999999942</v>
      </c>
      <c r="N8" s="759">
        <f t="shared" si="1"/>
        <v>9506</v>
      </c>
      <c r="O8" s="557" t="s">
        <v>1534</v>
      </c>
    </row>
    <row r="9" spans="1:18" s="321" customFormat="1" ht="30" customHeight="1">
      <c r="A9" s="558" t="s">
        <v>838</v>
      </c>
      <c r="B9" s="559">
        <f t="shared" ref="B9:B17" si="2">F9</f>
        <v>62206.1</v>
      </c>
      <c r="C9" s="559">
        <f t="shared" ref="C9:D9" si="3">SUM(C10:C13)</f>
        <v>58052.6</v>
      </c>
      <c r="D9" s="559">
        <f t="shared" si="3"/>
        <v>59028.1</v>
      </c>
      <c r="E9" s="559">
        <f t="shared" ref="E9:F9" si="4">SUM(E10:E13)</f>
        <v>60037.599999999999</v>
      </c>
      <c r="F9" s="559">
        <f t="shared" si="4"/>
        <v>62206.1</v>
      </c>
      <c r="G9" s="559">
        <f t="shared" ref="G9:G17" si="5">K9</f>
        <v>65954.100000000006</v>
      </c>
      <c r="H9" s="559">
        <f t="shared" ref="H9:N9" si="6">SUM(H10:H13)</f>
        <v>63041.5</v>
      </c>
      <c r="I9" s="559">
        <f t="shared" si="6"/>
        <v>64235</v>
      </c>
      <c r="J9" s="559">
        <f t="shared" si="6"/>
        <v>65876.800000000003</v>
      </c>
      <c r="K9" s="559">
        <f t="shared" si="6"/>
        <v>65954.100000000006</v>
      </c>
      <c r="L9" s="559">
        <f t="shared" si="6"/>
        <v>65096.7</v>
      </c>
      <c r="M9" s="559">
        <f t="shared" si="6"/>
        <v>65775.899999999994</v>
      </c>
      <c r="N9" s="559">
        <f t="shared" si="6"/>
        <v>65461.2</v>
      </c>
      <c r="O9" s="557" t="s">
        <v>1535</v>
      </c>
    </row>
    <row r="10" spans="1:18" s="321" customFormat="1" ht="22.5" customHeight="1">
      <c r="A10" s="560" t="s">
        <v>1536</v>
      </c>
      <c r="B10" s="561">
        <f t="shared" si="2"/>
        <v>8297.4</v>
      </c>
      <c r="C10" s="561">
        <v>7957.3</v>
      </c>
      <c r="D10" s="561">
        <v>8033.6</v>
      </c>
      <c r="E10" s="561">
        <v>8179.7</v>
      </c>
      <c r="F10" s="561">
        <v>8297.4</v>
      </c>
      <c r="G10" s="561">
        <f t="shared" si="5"/>
        <v>8500</v>
      </c>
      <c r="H10" s="561">
        <v>8241</v>
      </c>
      <c r="I10" s="561">
        <v>8278</v>
      </c>
      <c r="J10" s="561">
        <v>8355.1</v>
      </c>
      <c r="K10" s="561">
        <v>8500</v>
      </c>
      <c r="L10" s="561">
        <v>8335.5</v>
      </c>
      <c r="M10" s="561">
        <v>8479.4</v>
      </c>
      <c r="N10" s="561">
        <v>8241</v>
      </c>
      <c r="O10" s="562" t="s">
        <v>1537</v>
      </c>
      <c r="R10" s="770"/>
    </row>
    <row r="11" spans="1:18" s="321" customFormat="1" ht="22.5" customHeight="1">
      <c r="A11" s="560" t="s">
        <v>1538</v>
      </c>
      <c r="B11" s="561">
        <f t="shared" si="2"/>
        <v>20292.099999999999</v>
      </c>
      <c r="C11" s="561">
        <v>18950.5</v>
      </c>
      <c r="D11" s="561">
        <v>19025.599999999999</v>
      </c>
      <c r="E11" s="561">
        <v>19169.5</v>
      </c>
      <c r="F11" s="561">
        <v>20292.099999999999</v>
      </c>
      <c r="G11" s="561">
        <f t="shared" si="5"/>
        <v>22017.9</v>
      </c>
      <c r="H11" s="561">
        <v>20352.7</v>
      </c>
      <c r="I11" s="561">
        <v>20595.099999999999</v>
      </c>
      <c r="J11" s="561">
        <v>21301.9</v>
      </c>
      <c r="K11" s="561">
        <v>22017.9</v>
      </c>
      <c r="L11" s="561">
        <v>22092.799999999999</v>
      </c>
      <c r="M11" s="561">
        <v>21748.2</v>
      </c>
      <c r="N11" s="561">
        <v>22584.6</v>
      </c>
      <c r="O11" s="562" t="s">
        <v>1539</v>
      </c>
      <c r="R11" s="770"/>
    </row>
    <row r="12" spans="1:18" s="321" customFormat="1" ht="22.5" customHeight="1">
      <c r="A12" s="560" t="s">
        <v>1540</v>
      </c>
      <c r="B12" s="561">
        <f t="shared" si="2"/>
        <v>31805</v>
      </c>
      <c r="C12" s="561">
        <v>29510.799999999999</v>
      </c>
      <c r="D12" s="561">
        <v>29721.3</v>
      </c>
      <c r="E12" s="561">
        <v>30902.5</v>
      </c>
      <c r="F12" s="561">
        <v>31805</v>
      </c>
      <c r="G12" s="561">
        <f t="shared" si="5"/>
        <v>33717.1</v>
      </c>
      <c r="H12" s="561">
        <v>32632.5</v>
      </c>
      <c r="I12" s="561">
        <v>33563.599999999999</v>
      </c>
      <c r="J12" s="561">
        <v>34016.400000000001</v>
      </c>
      <c r="K12" s="561">
        <v>33717.1</v>
      </c>
      <c r="L12" s="561">
        <v>33325.1</v>
      </c>
      <c r="M12" s="561">
        <v>33812.5</v>
      </c>
      <c r="N12" s="561">
        <v>33111.1</v>
      </c>
      <c r="O12" s="562" t="s">
        <v>1541</v>
      </c>
      <c r="R12" s="770"/>
    </row>
    <row r="13" spans="1:18" s="321" customFormat="1" ht="22.5" customHeight="1">
      <c r="A13" s="563" t="s">
        <v>1542</v>
      </c>
      <c r="B13" s="561">
        <f t="shared" si="2"/>
        <v>1811.6</v>
      </c>
      <c r="C13" s="561">
        <v>1634</v>
      </c>
      <c r="D13" s="561">
        <v>2247.6</v>
      </c>
      <c r="E13" s="561">
        <v>1785.9</v>
      </c>
      <c r="F13" s="561">
        <v>1811.6</v>
      </c>
      <c r="G13" s="561">
        <f t="shared" si="5"/>
        <v>1719.1</v>
      </c>
      <c r="H13" s="561">
        <v>1815.3</v>
      </c>
      <c r="I13" s="561">
        <v>1798.3</v>
      </c>
      <c r="J13" s="561">
        <v>2203.4</v>
      </c>
      <c r="K13" s="561">
        <v>1719.1</v>
      </c>
      <c r="L13" s="561">
        <v>1343.3</v>
      </c>
      <c r="M13" s="561">
        <v>1735.8</v>
      </c>
      <c r="N13" s="561">
        <v>1524.5</v>
      </c>
      <c r="O13" s="562" t="s">
        <v>1543</v>
      </c>
      <c r="R13" s="770"/>
    </row>
    <row r="14" spans="1:18" s="321" customFormat="1" ht="30" customHeight="1">
      <c r="A14" s="564" t="s">
        <v>1080</v>
      </c>
      <c r="B14" s="565">
        <f t="shared" si="2"/>
        <v>51633.399999999994</v>
      </c>
      <c r="C14" s="565">
        <f t="shared" ref="C14:F14" si="7">SUM(C15:C17)</f>
        <v>47852.5</v>
      </c>
      <c r="D14" s="565">
        <f t="shared" si="7"/>
        <v>48777.8</v>
      </c>
      <c r="E14" s="565">
        <f t="shared" si="7"/>
        <v>49901</v>
      </c>
      <c r="F14" s="565">
        <f t="shared" si="7"/>
        <v>51633.399999999994</v>
      </c>
      <c r="G14" s="565">
        <f t="shared" si="5"/>
        <v>55536.1</v>
      </c>
      <c r="H14" s="565">
        <f t="shared" ref="H14:N14" si="8">SUM(H15:H17)</f>
        <v>52888.7</v>
      </c>
      <c r="I14" s="565">
        <f t="shared" si="8"/>
        <v>53676.600000000006</v>
      </c>
      <c r="J14" s="565">
        <f t="shared" si="8"/>
        <v>55102.9</v>
      </c>
      <c r="K14" s="565">
        <f t="shared" si="8"/>
        <v>55536.1</v>
      </c>
      <c r="L14" s="565">
        <f t="shared" si="8"/>
        <v>55061.5</v>
      </c>
      <c r="M14" s="565">
        <f t="shared" si="8"/>
        <v>55824.5</v>
      </c>
      <c r="N14" s="565">
        <f t="shared" si="8"/>
        <v>55955.199999999997</v>
      </c>
      <c r="O14" s="557" t="s">
        <v>1544</v>
      </c>
    </row>
    <row r="15" spans="1:18" s="321" customFormat="1" ht="22.5" customHeight="1">
      <c r="A15" s="563" t="s">
        <v>1545</v>
      </c>
      <c r="B15" s="561">
        <f t="shared" si="2"/>
        <v>16344.9</v>
      </c>
      <c r="C15" s="561">
        <v>14767.2</v>
      </c>
      <c r="D15" s="561">
        <v>15195</v>
      </c>
      <c r="E15" s="561">
        <v>15909.1</v>
      </c>
      <c r="F15" s="561">
        <v>16344.9</v>
      </c>
      <c r="G15" s="561">
        <f t="shared" si="5"/>
        <v>17425.3</v>
      </c>
      <c r="H15" s="561">
        <v>16557.8</v>
      </c>
      <c r="I15" s="561">
        <v>16558.2</v>
      </c>
      <c r="J15" s="561">
        <v>16700.2</v>
      </c>
      <c r="K15" s="561">
        <v>17425.3</v>
      </c>
      <c r="L15" s="561">
        <v>17430.5</v>
      </c>
      <c r="M15" s="561">
        <v>17455.5</v>
      </c>
      <c r="N15" s="561">
        <v>16938.5</v>
      </c>
      <c r="O15" s="562" t="s">
        <v>1546</v>
      </c>
      <c r="R15" s="770"/>
    </row>
    <row r="16" spans="1:18" s="321" customFormat="1" ht="22.5" customHeight="1">
      <c r="A16" s="563" t="s">
        <v>1538</v>
      </c>
      <c r="B16" s="561">
        <f t="shared" si="2"/>
        <v>11702.4</v>
      </c>
      <c r="C16" s="561">
        <v>10462.700000000001</v>
      </c>
      <c r="D16" s="561">
        <v>11214.6</v>
      </c>
      <c r="E16" s="561">
        <v>11024.2</v>
      </c>
      <c r="F16" s="561">
        <v>11702.4</v>
      </c>
      <c r="G16" s="561">
        <f t="shared" si="5"/>
        <v>12984.7</v>
      </c>
      <c r="H16" s="561">
        <v>11845.7</v>
      </c>
      <c r="I16" s="561">
        <v>11851.5</v>
      </c>
      <c r="J16" s="561">
        <v>12417.6</v>
      </c>
      <c r="K16" s="561">
        <v>12984.7</v>
      </c>
      <c r="L16" s="561">
        <v>12625.1</v>
      </c>
      <c r="M16" s="561">
        <v>13562.2</v>
      </c>
      <c r="N16" s="561">
        <v>14202.9</v>
      </c>
      <c r="O16" s="562" t="s">
        <v>1539</v>
      </c>
      <c r="R16" s="770"/>
    </row>
    <row r="17" spans="1:18" s="321" customFormat="1" ht="22.5" customHeight="1">
      <c r="A17" s="560" t="s">
        <v>1540</v>
      </c>
      <c r="B17" s="566">
        <f t="shared" si="2"/>
        <v>23586.1</v>
      </c>
      <c r="C17" s="566">
        <v>22622.6</v>
      </c>
      <c r="D17" s="566">
        <v>22368.2</v>
      </c>
      <c r="E17" s="566">
        <v>22967.7</v>
      </c>
      <c r="F17" s="566">
        <v>23586.1</v>
      </c>
      <c r="G17" s="566">
        <f t="shared" si="5"/>
        <v>25126.1</v>
      </c>
      <c r="H17" s="566">
        <v>24485.200000000001</v>
      </c>
      <c r="I17" s="566">
        <v>25266.9</v>
      </c>
      <c r="J17" s="566">
        <v>25985.1</v>
      </c>
      <c r="K17" s="566">
        <v>25126.1</v>
      </c>
      <c r="L17" s="566">
        <v>25005.9</v>
      </c>
      <c r="M17" s="566">
        <v>24806.799999999999</v>
      </c>
      <c r="N17" s="566">
        <v>24813.8</v>
      </c>
      <c r="O17" s="562" t="s">
        <v>1541</v>
      </c>
      <c r="R17" s="770"/>
    </row>
    <row r="18" spans="1:18" s="381" customFormat="1" ht="20.25" customHeight="1">
      <c r="A18" s="380" t="s">
        <v>1547</v>
      </c>
      <c r="B18" s="567"/>
      <c r="C18" s="567"/>
      <c r="D18" s="567"/>
      <c r="E18" s="567"/>
      <c r="F18" s="567"/>
      <c r="G18" s="567"/>
      <c r="H18" s="567"/>
      <c r="I18" s="567"/>
      <c r="J18" s="567"/>
      <c r="K18" s="567"/>
      <c r="L18" s="567"/>
      <c r="M18" s="567"/>
      <c r="N18" s="567"/>
      <c r="O18" s="568" t="s">
        <v>1548</v>
      </c>
    </row>
    <row r="19" spans="1:18" ht="15.75">
      <c r="B19" s="569"/>
      <c r="C19" s="569"/>
      <c r="D19" s="569"/>
      <c r="E19" s="569"/>
      <c r="F19" s="569"/>
      <c r="G19" s="569"/>
      <c r="H19" s="569"/>
      <c r="I19" s="569"/>
      <c r="J19" s="569"/>
      <c r="K19" s="569"/>
      <c r="L19" s="569"/>
      <c r="M19" s="569"/>
      <c r="N19" s="569"/>
    </row>
    <row r="21" spans="1:18">
      <c r="C21" s="348"/>
      <c r="D21" s="348"/>
      <c r="E21" s="348"/>
      <c r="F21" s="348"/>
      <c r="H21" s="348"/>
      <c r="I21" s="348"/>
      <c r="J21" s="348"/>
      <c r="K21" s="348"/>
      <c r="L21" s="348"/>
      <c r="M21" s="348"/>
      <c r="N21" s="348"/>
    </row>
    <row r="26" spans="1:18">
      <c r="A26" s="382" t="s">
        <v>1549</v>
      </c>
      <c r="B26" s="276"/>
      <c r="C26" s="276"/>
      <c r="D26" s="276"/>
      <c r="E26" s="276"/>
      <c r="F26" s="276"/>
      <c r="G26" s="276"/>
      <c r="H26" s="276"/>
      <c r="I26" s="276"/>
      <c r="J26" s="276"/>
      <c r="K26" s="276"/>
      <c r="L26" s="276"/>
      <c r="M26" s="276"/>
      <c r="N26" s="276"/>
      <c r="O26" s="276"/>
    </row>
  </sheetData>
  <mergeCells count="4">
    <mergeCell ref="A5:A7"/>
    <mergeCell ref="B5:B7"/>
    <mergeCell ref="G5:G7"/>
    <mergeCell ref="O5:O7"/>
  </mergeCells>
  <printOptions horizontalCentered="1" verticalCentered="1"/>
  <pageMargins left="0.5" right="0.5" top="0" bottom="0" header="0.3" footer="0.3"/>
  <pageSetup paperSize="9" scale="80"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tabSelected="1" zoomScale="80" zoomScaleNormal="80" workbookViewId="0">
      <pane ySplit="12" topLeftCell="A18" activePane="bottomLeft" state="frozen"/>
      <selection activeCell="N29" sqref="N29"/>
      <selection pane="bottomLeft" activeCell="N29" sqref="N29"/>
    </sheetView>
  </sheetViews>
  <sheetFormatPr defaultColWidth="8.85546875" defaultRowHeight="12.75"/>
  <cols>
    <col min="1" max="2" width="9.7109375" customWidth="1"/>
    <col min="3" max="3" width="13.140625" bestFit="1" customWidth="1"/>
    <col min="4" max="4" width="14.28515625" customWidth="1"/>
    <col min="5" max="5" width="20.28515625" bestFit="1" customWidth="1"/>
    <col min="6" max="6" width="21" bestFit="1" customWidth="1"/>
    <col min="7" max="7" width="16" customWidth="1"/>
    <col min="8" max="8" width="18" customWidth="1"/>
    <col min="9" max="9" width="9.28515625" style="1261" customWidth="1"/>
  </cols>
  <sheetData>
    <row r="1" spans="1:18" s="23" customFormat="1" ht="18">
      <c r="A1" s="16" t="s">
        <v>1723</v>
      </c>
      <c r="B1" s="4"/>
      <c r="C1" s="4"/>
      <c r="D1" s="4"/>
      <c r="E1" s="4"/>
      <c r="F1" s="4"/>
      <c r="G1" s="4"/>
      <c r="H1" s="4"/>
      <c r="I1" s="1253"/>
    </row>
    <row r="2" spans="1:18" s="23" customFormat="1" ht="18" hidden="1">
      <c r="A2" s="1254" t="s">
        <v>365</v>
      </c>
      <c r="B2" s="4"/>
      <c r="C2" s="4"/>
      <c r="D2" s="4"/>
      <c r="E2" s="4"/>
      <c r="F2" s="4"/>
      <c r="G2" s="4"/>
      <c r="H2" s="4"/>
      <c r="I2" s="1253"/>
    </row>
    <row r="3" spans="1:18" s="23" customFormat="1" ht="19.5" hidden="1">
      <c r="A3" s="1255" t="s">
        <v>366</v>
      </c>
      <c r="B3" s="4"/>
      <c r="C3" s="4"/>
      <c r="D3" s="4"/>
      <c r="E3" s="4"/>
      <c r="F3" s="4"/>
      <c r="G3" s="4"/>
      <c r="H3" s="4"/>
      <c r="I3" s="1253"/>
    </row>
    <row r="4" spans="1:18" s="23" customFormat="1" ht="18">
      <c r="A4" s="1254" t="s">
        <v>1550</v>
      </c>
      <c r="B4" s="4"/>
      <c r="C4" s="4"/>
      <c r="D4" s="4"/>
      <c r="E4" s="4"/>
      <c r="F4" s="4"/>
      <c r="G4" s="4"/>
      <c r="H4" s="4"/>
      <c r="I4" s="1253"/>
    </row>
    <row r="5" spans="1:18" s="23" customFormat="1" ht="19.5">
      <c r="A5" s="1255" t="s">
        <v>103</v>
      </c>
      <c r="B5" s="4"/>
      <c r="C5" s="4"/>
      <c r="D5" s="4"/>
      <c r="E5" s="4"/>
      <c r="F5" s="4"/>
      <c r="G5" s="4"/>
      <c r="H5" s="4"/>
      <c r="I5" s="1253"/>
    </row>
    <row r="6" spans="1:18" s="8" customFormat="1" ht="15">
      <c r="I6" s="234"/>
    </row>
    <row r="7" spans="1:18" s="8" customFormat="1" ht="15">
      <c r="A7" s="1170" t="s">
        <v>369</v>
      </c>
      <c r="B7" s="172"/>
      <c r="C7" s="172"/>
      <c r="D7" s="172"/>
      <c r="E7" s="172"/>
      <c r="F7" s="172"/>
      <c r="G7" s="172"/>
      <c r="H7" s="1256" t="s">
        <v>370</v>
      </c>
      <c r="I7" s="234"/>
    </row>
    <row r="8" spans="1:18" s="34" customFormat="1" ht="18" customHeight="1">
      <c r="A8" s="56"/>
      <c r="C8" s="273" t="s">
        <v>1551</v>
      </c>
      <c r="D8" s="54"/>
      <c r="E8" s="1171" t="s">
        <v>1552</v>
      </c>
      <c r="F8" s="1171"/>
      <c r="G8" s="1172"/>
      <c r="H8" s="1173" t="s">
        <v>1553</v>
      </c>
      <c r="I8" s="240"/>
    </row>
    <row r="9" spans="1:18" s="34" customFormat="1" ht="18" customHeight="1">
      <c r="A9" s="24" t="s">
        <v>379</v>
      </c>
      <c r="B9" s="74"/>
      <c r="C9" s="87" t="s">
        <v>398</v>
      </c>
      <c r="D9" s="88"/>
      <c r="E9" s="61" t="s">
        <v>1554</v>
      </c>
      <c r="F9" s="59" t="s">
        <v>1555</v>
      </c>
      <c r="G9" s="59" t="s">
        <v>1556</v>
      </c>
      <c r="H9" s="313" t="s">
        <v>1557</v>
      </c>
      <c r="I9" s="240"/>
    </row>
    <row r="10" spans="1:18" s="34" customFormat="1" ht="18" customHeight="1">
      <c r="A10" s="82" t="s">
        <v>387</v>
      </c>
      <c r="B10" s="125"/>
      <c r="C10" s="307" t="s">
        <v>1558</v>
      </c>
      <c r="D10" s="59" t="s">
        <v>1280</v>
      </c>
      <c r="E10" s="110" t="s">
        <v>1559</v>
      </c>
      <c r="F10" s="59" t="s">
        <v>1560</v>
      </c>
      <c r="G10" s="202" t="s">
        <v>375</v>
      </c>
      <c r="H10" s="173" t="s">
        <v>393</v>
      </c>
      <c r="I10" s="240"/>
    </row>
    <row r="11" spans="1:18" s="39" customFormat="1" ht="18" customHeight="1">
      <c r="A11" s="97"/>
      <c r="B11" s="60"/>
      <c r="C11" s="126" t="s">
        <v>1561</v>
      </c>
      <c r="D11" s="84" t="s">
        <v>1282</v>
      </c>
      <c r="E11" s="110" t="s">
        <v>1562</v>
      </c>
      <c r="F11" s="110" t="s">
        <v>1563</v>
      </c>
      <c r="G11" s="110" t="s">
        <v>380</v>
      </c>
      <c r="H11" s="173" t="s">
        <v>1564</v>
      </c>
      <c r="I11" s="241"/>
    </row>
    <row r="12" spans="1:18" s="34" customFormat="1" ht="18" customHeight="1">
      <c r="A12" s="65"/>
      <c r="B12" s="66"/>
      <c r="C12" s="207"/>
      <c r="D12" s="89"/>
      <c r="E12" s="90" t="s">
        <v>1565</v>
      </c>
      <c r="F12" s="89" t="s">
        <v>1566</v>
      </c>
      <c r="G12" s="1174" t="s">
        <v>1021</v>
      </c>
      <c r="H12" s="212" t="s">
        <v>411</v>
      </c>
      <c r="I12" s="242"/>
    </row>
    <row r="13" spans="1:18" s="1033" customFormat="1" ht="21" customHeight="1">
      <c r="A13" s="405">
        <v>2015</v>
      </c>
      <c r="B13" s="1117"/>
      <c r="C13" s="1202">
        <v>150317</v>
      </c>
      <c r="D13" s="674">
        <v>2.5</v>
      </c>
      <c r="E13" s="837">
        <v>67.599999999999994</v>
      </c>
      <c r="F13" s="837">
        <v>37.1</v>
      </c>
      <c r="G13" s="839">
        <v>1168.9000000000001</v>
      </c>
      <c r="H13" s="1108">
        <v>1276.1000000000001</v>
      </c>
      <c r="I13" s="778"/>
      <c r="J13" s="770"/>
      <c r="K13" s="321"/>
      <c r="L13" s="321"/>
      <c r="M13" s="321"/>
      <c r="N13" s="321"/>
      <c r="O13" s="321"/>
      <c r="P13" s="321"/>
      <c r="Q13" s="321"/>
    </row>
    <row r="14" spans="1:18" s="1033" customFormat="1" ht="14.25" customHeight="1">
      <c r="A14" s="1257">
        <v>2016</v>
      </c>
      <c r="B14" s="1117"/>
      <c r="C14" s="1202">
        <v>150317</v>
      </c>
      <c r="D14" s="674">
        <v>2.5</v>
      </c>
      <c r="E14" s="837">
        <v>32.700000000000003</v>
      </c>
      <c r="F14" s="837">
        <v>68.8</v>
      </c>
      <c r="G14" s="839">
        <f>'1'!D14</f>
        <v>815.9</v>
      </c>
      <c r="H14" s="1108">
        <f t="shared" ref="H14:H19" si="0">SUM(D14:G14)</f>
        <v>919.9</v>
      </c>
      <c r="I14" s="778"/>
      <c r="J14" s="321"/>
      <c r="K14" s="321"/>
      <c r="L14" s="321"/>
      <c r="M14" s="321"/>
      <c r="N14" s="321"/>
      <c r="O14" s="321"/>
      <c r="P14" s="321"/>
      <c r="Q14" s="321"/>
      <c r="R14" s="321"/>
    </row>
    <row r="15" spans="1:18" s="1033" customFormat="1" ht="14.25" customHeight="1">
      <c r="A15" s="1257">
        <v>2017</v>
      </c>
      <c r="B15" s="1117"/>
      <c r="C15" s="1202">
        <v>150317</v>
      </c>
      <c r="D15" s="674">
        <v>2.5</v>
      </c>
      <c r="E15" s="837">
        <v>34.5</v>
      </c>
      <c r="F15" s="837">
        <v>70.2</v>
      </c>
      <c r="G15" s="839">
        <f>'1'!D15</f>
        <v>880.6</v>
      </c>
      <c r="H15" s="1108">
        <f t="shared" si="0"/>
        <v>987.80000000000007</v>
      </c>
      <c r="I15" s="778"/>
      <c r="J15" s="321"/>
      <c r="K15" s="321"/>
      <c r="L15" s="321"/>
      <c r="M15" s="321"/>
      <c r="N15" s="321"/>
      <c r="O15" s="321"/>
      <c r="P15" s="321"/>
      <c r="Q15" s="321"/>
      <c r="R15" s="321"/>
    </row>
    <row r="16" spans="1:18" s="321" customFormat="1" ht="14.25" customHeight="1">
      <c r="A16" s="747">
        <v>2018</v>
      </c>
      <c r="B16" s="1107"/>
      <c r="C16" s="1202">
        <v>150317</v>
      </c>
      <c r="D16" s="674">
        <v>2.5</v>
      </c>
      <c r="E16" s="837">
        <v>35.9</v>
      </c>
      <c r="F16" s="837">
        <v>73.2</v>
      </c>
      <c r="G16" s="839">
        <f>'1'!D16</f>
        <v>699.8</v>
      </c>
      <c r="H16" s="1108">
        <f t="shared" si="0"/>
        <v>811.4</v>
      </c>
      <c r="I16" s="778"/>
    </row>
    <row r="17" spans="1:9" s="321" customFormat="1" ht="14.25" customHeight="1">
      <c r="A17" s="747">
        <v>2019</v>
      </c>
      <c r="B17" s="1107"/>
      <c r="C17" s="1202">
        <v>150317</v>
      </c>
      <c r="D17" s="674">
        <v>2.5</v>
      </c>
      <c r="E17" s="837">
        <v>35.6</v>
      </c>
      <c r="F17" s="837">
        <v>72.5</v>
      </c>
      <c r="G17" s="839">
        <f>'1'!D17</f>
        <v>1276.0999999999999</v>
      </c>
      <c r="H17" s="1108">
        <f t="shared" si="0"/>
        <v>1386.6999999999998</v>
      </c>
      <c r="I17" s="778"/>
    </row>
    <row r="18" spans="1:9" s="321" customFormat="1" ht="14.25" customHeight="1">
      <c r="A18" s="747">
        <v>2020</v>
      </c>
      <c r="B18" s="1107"/>
      <c r="C18" s="1202">
        <v>150317</v>
      </c>
      <c r="D18" s="674">
        <v>2.5</v>
      </c>
      <c r="E18" s="837">
        <v>34.4</v>
      </c>
      <c r="F18" s="837">
        <v>70</v>
      </c>
      <c r="G18" s="839">
        <f>'1'!D18</f>
        <v>732</v>
      </c>
      <c r="H18" s="1108">
        <f t="shared" si="0"/>
        <v>838.9</v>
      </c>
      <c r="I18" s="778"/>
    </row>
    <row r="19" spans="1:9" s="321" customFormat="1" ht="14.25" customHeight="1">
      <c r="A19" s="747">
        <v>2021</v>
      </c>
      <c r="B19" s="1107"/>
      <c r="C19" s="1202">
        <v>150317</v>
      </c>
      <c r="D19" s="674">
        <v>2.5</v>
      </c>
      <c r="E19" s="837">
        <v>240.6</v>
      </c>
      <c r="F19" s="837">
        <v>73.5</v>
      </c>
      <c r="G19" s="839">
        <f>'1'!D19</f>
        <v>1468.6</v>
      </c>
      <c r="H19" s="1108">
        <f t="shared" si="0"/>
        <v>1785.1999999999998</v>
      </c>
      <c r="I19" s="778"/>
    </row>
    <row r="20" spans="1:9" s="321" customFormat="1" ht="14.25" customHeight="1">
      <c r="A20" s="747">
        <v>2022</v>
      </c>
      <c r="B20" s="1107"/>
      <c r="C20" s="1202">
        <v>150317</v>
      </c>
      <c r="D20" s="674">
        <v>2.5</v>
      </c>
      <c r="E20" s="837">
        <v>225.6</v>
      </c>
      <c r="F20" s="837">
        <v>68.900000000000006</v>
      </c>
      <c r="G20" s="839">
        <v>1401.6</v>
      </c>
      <c r="H20" s="1108">
        <v>1698.6</v>
      </c>
      <c r="I20" s="778"/>
    </row>
    <row r="21" spans="1:9" s="321" customFormat="1" ht="14.25" customHeight="1">
      <c r="A21" s="747">
        <v>2023</v>
      </c>
      <c r="B21" s="1107"/>
      <c r="C21" s="1202">
        <v>150317</v>
      </c>
      <c r="D21" s="674">
        <v>2.5</v>
      </c>
      <c r="E21" s="837">
        <v>227.4</v>
      </c>
      <c r="F21" s="837">
        <v>69</v>
      </c>
      <c r="G21" s="839">
        <v>1512.7</v>
      </c>
      <c r="H21" s="1108">
        <v>1811.6</v>
      </c>
      <c r="I21" s="778"/>
    </row>
    <row r="22" spans="1:9" s="321" customFormat="1" ht="14.25" customHeight="1">
      <c r="A22" s="907">
        <v>2024</v>
      </c>
      <c r="B22" s="970"/>
      <c r="C22" s="1203">
        <f t="shared" ref="C22:H22" si="1">C27</f>
        <v>150317</v>
      </c>
      <c r="D22" s="971">
        <f t="shared" si="1"/>
        <v>2.5</v>
      </c>
      <c r="E22" s="972">
        <f t="shared" si="1"/>
        <v>224.1</v>
      </c>
      <c r="F22" s="972">
        <f t="shared" si="1"/>
        <v>67.5</v>
      </c>
      <c r="G22" s="974">
        <f t="shared" si="1"/>
        <v>1425</v>
      </c>
      <c r="H22" s="975">
        <f t="shared" si="1"/>
        <v>1719.1</v>
      </c>
      <c r="I22" s="778"/>
    </row>
    <row r="23" spans="1:9" s="321" customFormat="1" ht="21" customHeight="1">
      <c r="A23" s="747">
        <v>2023</v>
      </c>
      <c r="B23" s="1107" t="s">
        <v>238</v>
      </c>
      <c r="C23" s="1202">
        <v>150317</v>
      </c>
      <c r="D23" s="674">
        <v>2.5</v>
      </c>
      <c r="E23" s="837">
        <v>227.4</v>
      </c>
      <c r="F23" s="837">
        <v>69</v>
      </c>
      <c r="G23" s="839">
        <v>1512.7</v>
      </c>
      <c r="H23" s="1108">
        <v>1811.6</v>
      </c>
      <c r="I23" s="778"/>
    </row>
    <row r="24" spans="1:9" s="321" customFormat="1" ht="21" customHeight="1">
      <c r="A24" s="747">
        <v>2024</v>
      </c>
      <c r="B24" s="1107" t="s">
        <v>239</v>
      </c>
      <c r="C24" s="1202">
        <v>150317</v>
      </c>
      <c r="D24" s="674">
        <v>2.5</v>
      </c>
      <c r="E24" s="837">
        <v>227.89360000000002</v>
      </c>
      <c r="F24" s="837">
        <v>68.995999999999995</v>
      </c>
      <c r="G24" s="839">
        <v>1515.9</v>
      </c>
      <c r="H24" s="1108">
        <v>1815.2896000000001</v>
      </c>
      <c r="I24" s="1258"/>
    </row>
    <row r="25" spans="1:9" s="321" customFormat="1" ht="15" customHeight="1">
      <c r="A25" s="747"/>
      <c r="B25" s="1107" t="s">
        <v>240</v>
      </c>
      <c r="C25" s="1202">
        <v>150317</v>
      </c>
      <c r="D25" s="674">
        <v>2.5</v>
      </c>
      <c r="E25" s="837">
        <v>223.3</v>
      </c>
      <c r="F25" s="837">
        <v>67.5</v>
      </c>
      <c r="G25" s="839">
        <v>1505</v>
      </c>
      <c r="H25" s="1108">
        <v>1798.3</v>
      </c>
      <c r="I25" s="1258"/>
    </row>
    <row r="26" spans="1:9" s="321" customFormat="1" ht="15" customHeight="1">
      <c r="A26" s="747"/>
      <c r="B26" s="1107" t="s">
        <v>237</v>
      </c>
      <c r="C26" s="1202">
        <v>150317</v>
      </c>
      <c r="D26" s="674">
        <v>2.5</v>
      </c>
      <c r="E26" s="837">
        <v>223.7</v>
      </c>
      <c r="F26" s="837">
        <v>67.5</v>
      </c>
      <c r="G26" s="839">
        <v>1909.7</v>
      </c>
      <c r="H26" s="1108">
        <v>2203.4</v>
      </c>
      <c r="I26" s="1258"/>
    </row>
    <row r="27" spans="1:9" s="321" customFormat="1" ht="15" customHeight="1">
      <c r="A27" s="747"/>
      <c r="B27" s="1107" t="s">
        <v>238</v>
      </c>
      <c r="C27" s="1202">
        <v>150317</v>
      </c>
      <c r="D27" s="674">
        <v>2.5</v>
      </c>
      <c r="E27" s="837">
        <v>224.1</v>
      </c>
      <c r="F27" s="837">
        <v>67.5</v>
      </c>
      <c r="G27" s="839">
        <v>1425</v>
      </c>
      <c r="H27" s="1108">
        <v>1719.1</v>
      </c>
      <c r="I27" s="1258"/>
    </row>
    <row r="28" spans="1:9" s="321" customFormat="1" ht="21" customHeight="1">
      <c r="A28" s="747">
        <v>2025</v>
      </c>
      <c r="B28" s="1107" t="s">
        <v>239</v>
      </c>
      <c r="C28" s="1202">
        <f t="shared" ref="C28:H28" si="2">C36</f>
        <v>150317</v>
      </c>
      <c r="D28" s="674">
        <f t="shared" si="2"/>
        <v>2.5</v>
      </c>
      <c r="E28" s="837">
        <f t="shared" si="2"/>
        <v>224.5</v>
      </c>
      <c r="F28" s="837">
        <f t="shared" si="2"/>
        <v>67.5</v>
      </c>
      <c r="G28" s="839">
        <f t="shared" si="2"/>
        <v>1048.8</v>
      </c>
      <c r="H28" s="1108">
        <f t="shared" si="2"/>
        <v>1343.3</v>
      </c>
      <c r="I28" s="1258"/>
    </row>
    <row r="29" spans="1:9" s="321" customFormat="1" ht="15" customHeight="1">
      <c r="A29" s="747"/>
      <c r="B29" s="1107" t="s">
        <v>240</v>
      </c>
      <c r="C29" s="1202">
        <f t="shared" ref="C29:H29" si="3">C39</f>
        <v>150317</v>
      </c>
      <c r="D29" s="674">
        <f t="shared" si="3"/>
        <v>2.5</v>
      </c>
      <c r="E29" s="837">
        <f t="shared" si="3"/>
        <v>231.3</v>
      </c>
      <c r="F29" s="837">
        <f t="shared" si="3"/>
        <v>69.5</v>
      </c>
      <c r="G29" s="839">
        <f t="shared" si="3"/>
        <v>1432.5</v>
      </c>
      <c r="H29" s="1108">
        <f t="shared" si="3"/>
        <v>1735.8</v>
      </c>
      <c r="I29" s="1258"/>
    </row>
    <row r="30" spans="1:9" s="321" customFormat="1" ht="15" customHeight="1">
      <c r="A30" s="907"/>
      <c r="B30" s="970" t="s">
        <v>237</v>
      </c>
      <c r="C30" s="1203">
        <f t="shared" ref="C30:H30" si="4">C42</f>
        <v>150317</v>
      </c>
      <c r="D30" s="971">
        <f t="shared" si="4"/>
        <v>2.5</v>
      </c>
      <c r="E30" s="972">
        <f t="shared" si="4"/>
        <v>231.6</v>
      </c>
      <c r="F30" s="972">
        <f t="shared" si="4"/>
        <v>69.5</v>
      </c>
      <c r="G30" s="974">
        <f t="shared" si="4"/>
        <v>1220.9000000000001</v>
      </c>
      <c r="H30" s="975">
        <f t="shared" si="4"/>
        <v>1524.5</v>
      </c>
      <c r="I30" s="1258"/>
    </row>
    <row r="31" spans="1:9" s="321" customFormat="1" ht="21" customHeight="1">
      <c r="A31" s="747">
        <v>2024</v>
      </c>
      <c r="B31" s="748" t="s">
        <v>412</v>
      </c>
      <c r="C31" s="1202">
        <v>150317</v>
      </c>
      <c r="D31" s="674">
        <v>2.5</v>
      </c>
      <c r="E31" s="837">
        <v>223.7</v>
      </c>
      <c r="F31" s="837">
        <v>67.5</v>
      </c>
      <c r="G31" s="839">
        <v>1592.2</v>
      </c>
      <c r="H31" s="1108">
        <v>1885.9</v>
      </c>
      <c r="I31" s="778"/>
    </row>
    <row r="32" spans="1:9" s="321" customFormat="1" ht="15">
      <c r="A32" s="747"/>
      <c r="B32" s="748" t="s">
        <v>413</v>
      </c>
      <c r="C32" s="1202">
        <v>150317</v>
      </c>
      <c r="D32" s="674">
        <f>'1'!C32</f>
        <v>2.5</v>
      </c>
      <c r="E32" s="837">
        <v>224.1</v>
      </c>
      <c r="F32" s="837">
        <v>67.5</v>
      </c>
      <c r="G32" s="839">
        <f>'1'!D32</f>
        <v>1241.7</v>
      </c>
      <c r="H32" s="1108">
        <f t="shared" ref="H32" si="5">SUM(D32:G32)</f>
        <v>1535.8000000000002</v>
      </c>
      <c r="I32" s="778"/>
    </row>
    <row r="33" spans="1:31" s="321" customFormat="1" ht="15">
      <c r="A33" s="747"/>
      <c r="B33" s="748" t="s">
        <v>414</v>
      </c>
      <c r="C33" s="1202">
        <v>150317</v>
      </c>
      <c r="D33" s="674">
        <f>'1'!C33</f>
        <v>2.5</v>
      </c>
      <c r="E33" s="1193">
        <v>224.1</v>
      </c>
      <c r="F33" s="1193">
        <v>67.5</v>
      </c>
      <c r="G33" s="839">
        <f>'1'!D33</f>
        <v>1425</v>
      </c>
      <c r="H33" s="1108">
        <f t="shared" ref="H33" si="6">SUM(D33:G33)</f>
        <v>1719.1</v>
      </c>
      <c r="I33" s="778"/>
    </row>
    <row r="34" spans="1:31" s="321" customFormat="1" ht="21" customHeight="1">
      <c r="A34" s="747">
        <v>2025</v>
      </c>
      <c r="B34" s="748" t="s">
        <v>415</v>
      </c>
      <c r="C34" s="1202">
        <v>150317</v>
      </c>
      <c r="D34" s="674">
        <f>'1'!C34</f>
        <v>2.5</v>
      </c>
      <c r="E34" s="837">
        <v>224.1</v>
      </c>
      <c r="F34" s="837">
        <v>67.5</v>
      </c>
      <c r="G34" s="839">
        <f>'1'!D34</f>
        <v>1591.7</v>
      </c>
      <c r="H34" s="1108">
        <f t="shared" ref="H34" si="7">SUM(D34:G34)</f>
        <v>1885.8000000000002</v>
      </c>
      <c r="I34" s="778"/>
    </row>
    <row r="35" spans="1:31" s="321" customFormat="1" ht="15" customHeight="1">
      <c r="A35" s="747"/>
      <c r="B35" s="748" t="s">
        <v>416</v>
      </c>
      <c r="C35" s="1202">
        <v>150317</v>
      </c>
      <c r="D35" s="674">
        <f>'1'!C35</f>
        <v>2.5</v>
      </c>
      <c r="E35" s="837">
        <v>224.5</v>
      </c>
      <c r="F35" s="837">
        <v>67.5</v>
      </c>
      <c r="G35" s="839">
        <f>'1'!D35</f>
        <v>1482.9</v>
      </c>
      <c r="H35" s="1108">
        <f t="shared" ref="H35" si="8">SUM(D35:G35)</f>
        <v>1777.4</v>
      </c>
      <c r="I35" s="778"/>
    </row>
    <row r="36" spans="1:31" s="321" customFormat="1" ht="15" customHeight="1">
      <c r="A36" s="747"/>
      <c r="B36" s="748" t="s">
        <v>417</v>
      </c>
      <c r="C36" s="1202">
        <v>150317</v>
      </c>
      <c r="D36" s="674">
        <f>'1'!C36</f>
        <v>2.5</v>
      </c>
      <c r="E36" s="837">
        <v>224.5</v>
      </c>
      <c r="F36" s="837">
        <v>67.5</v>
      </c>
      <c r="G36" s="839">
        <f>'1'!D36</f>
        <v>1048.8</v>
      </c>
      <c r="H36" s="1108">
        <f t="shared" ref="H36" si="9">SUM(D36:G36)</f>
        <v>1343.3</v>
      </c>
      <c r="I36" s="778"/>
    </row>
    <row r="37" spans="1:31" s="321" customFormat="1" ht="15" customHeight="1">
      <c r="A37" s="747"/>
      <c r="B37" s="748" t="s">
        <v>418</v>
      </c>
      <c r="C37" s="1202">
        <v>150317</v>
      </c>
      <c r="D37" s="674">
        <f>'1'!C37</f>
        <v>2.5</v>
      </c>
      <c r="E37" s="837">
        <v>231</v>
      </c>
      <c r="F37" s="837">
        <v>69.5</v>
      </c>
      <c r="G37" s="839">
        <f>'1'!D37</f>
        <v>896.8</v>
      </c>
      <c r="H37" s="1108">
        <f t="shared" ref="H37" si="10">SUM(D37:G37)</f>
        <v>1199.8</v>
      </c>
      <c r="I37" s="778"/>
    </row>
    <row r="38" spans="1:31" s="321" customFormat="1" ht="15" customHeight="1">
      <c r="A38" s="747"/>
      <c r="B38" s="748" t="s">
        <v>419</v>
      </c>
      <c r="C38" s="1202">
        <v>150317</v>
      </c>
      <c r="D38" s="674">
        <f>'1'!C38</f>
        <v>2.5</v>
      </c>
      <c r="E38" s="837">
        <v>231.3</v>
      </c>
      <c r="F38" s="837">
        <v>69.5</v>
      </c>
      <c r="G38" s="839">
        <f>'1'!D38</f>
        <v>1710</v>
      </c>
      <c r="H38" s="1108">
        <f t="shared" ref="H38" si="11">SUM(D38:G38)</f>
        <v>2013.3</v>
      </c>
      <c r="I38" s="778"/>
      <c r="J38" s="770"/>
    </row>
    <row r="39" spans="1:31" s="321" customFormat="1" ht="15" customHeight="1">
      <c r="A39" s="747"/>
      <c r="B39" s="748" t="s">
        <v>420</v>
      </c>
      <c r="C39" s="1202">
        <v>150317</v>
      </c>
      <c r="D39" s="674">
        <f>'1'!C39</f>
        <v>2.5</v>
      </c>
      <c r="E39" s="837">
        <v>231.3</v>
      </c>
      <c r="F39" s="837">
        <v>69.5</v>
      </c>
      <c r="G39" s="839">
        <f>'1'!D39</f>
        <v>1432.5</v>
      </c>
      <c r="H39" s="1108">
        <f t="shared" ref="H39" si="12">SUM(D39:G39)</f>
        <v>1735.8</v>
      </c>
      <c r="I39" s="778"/>
      <c r="J39" s="770"/>
    </row>
    <row r="40" spans="1:31" s="321" customFormat="1" ht="15" customHeight="1">
      <c r="A40" s="747"/>
      <c r="B40" s="748" t="s">
        <v>421</v>
      </c>
      <c r="C40" s="1202">
        <v>150317</v>
      </c>
      <c r="D40" s="674">
        <f>'1'!C40</f>
        <v>2.5</v>
      </c>
      <c r="E40" s="837">
        <v>231.3</v>
      </c>
      <c r="F40" s="837">
        <v>69.5</v>
      </c>
      <c r="G40" s="839">
        <f>'1'!D40</f>
        <v>1605.2</v>
      </c>
      <c r="H40" s="1108">
        <f t="shared" ref="H40" si="13">SUM(D40:G40)</f>
        <v>1908.5</v>
      </c>
      <c r="I40" s="778"/>
      <c r="J40" s="770"/>
    </row>
    <row r="41" spans="1:31" s="321" customFormat="1" ht="15" customHeight="1">
      <c r="A41" s="747"/>
      <c r="B41" s="748" t="s">
        <v>422</v>
      </c>
      <c r="C41" s="1202">
        <v>150317</v>
      </c>
      <c r="D41" s="674">
        <f>'1'!C41</f>
        <v>2.5</v>
      </c>
      <c r="E41" s="837">
        <v>231.6</v>
      </c>
      <c r="F41" s="837">
        <v>69.5</v>
      </c>
      <c r="G41" s="839">
        <f>'1'!D41</f>
        <v>1334.5</v>
      </c>
      <c r="H41" s="1108">
        <f t="shared" ref="H41" si="14">SUM(D41:G41)</f>
        <v>1638.1</v>
      </c>
      <c r="I41" s="778"/>
      <c r="J41" s="770"/>
    </row>
    <row r="42" spans="1:31" s="321" customFormat="1" ht="15" customHeight="1">
      <c r="A42" s="747"/>
      <c r="B42" s="748" t="s">
        <v>423</v>
      </c>
      <c r="C42" s="1202">
        <v>150317</v>
      </c>
      <c r="D42" s="674">
        <f>'1'!C42</f>
        <v>2.5</v>
      </c>
      <c r="E42" s="1193">
        <v>231.6</v>
      </c>
      <c r="F42" s="1193">
        <v>69.5</v>
      </c>
      <c r="G42" s="839">
        <f>'1'!D42</f>
        <v>1220.9000000000001</v>
      </c>
      <c r="H42" s="1108">
        <f t="shared" ref="H42" si="15">SUM(D42:G42)</f>
        <v>1524.5</v>
      </c>
      <c r="I42" s="778"/>
      <c r="J42" s="770"/>
    </row>
    <row r="43" spans="1:31" s="321" customFormat="1" ht="15" customHeight="1">
      <c r="A43" s="747"/>
      <c r="B43" s="748" t="s">
        <v>412</v>
      </c>
      <c r="C43" s="1202">
        <v>150317</v>
      </c>
      <c r="D43" s="674">
        <f>'1'!C43</f>
        <v>2.5</v>
      </c>
      <c r="E43" s="1207">
        <v>231.6</v>
      </c>
      <c r="F43" s="1207">
        <v>69.5</v>
      </c>
      <c r="G43" s="839">
        <f>'1'!D43</f>
        <v>1588.6</v>
      </c>
      <c r="H43" s="1108">
        <f t="shared" ref="H43" si="16">SUM(D43:G43)</f>
        <v>1892.1999999999998</v>
      </c>
      <c r="I43" s="778"/>
      <c r="J43" s="770"/>
    </row>
    <row r="44" spans="1:31" s="321" customFormat="1" ht="15">
      <c r="A44" s="548"/>
      <c r="B44" s="548"/>
      <c r="C44" s="1259"/>
      <c r="D44" s="1259"/>
      <c r="E44" s="1259"/>
      <c r="F44" s="1260"/>
      <c r="G44" s="1259"/>
      <c r="H44" s="1259" t="s">
        <v>117</v>
      </c>
      <c r="I44" s="1261"/>
      <c r="J44"/>
      <c r="K44"/>
      <c r="L44"/>
      <c r="M44"/>
      <c r="N44"/>
      <c r="O44"/>
      <c r="P44"/>
      <c r="Q44"/>
      <c r="R44"/>
      <c r="S44"/>
      <c r="T44"/>
      <c r="U44"/>
      <c r="V44"/>
      <c r="W44"/>
      <c r="X44"/>
      <c r="Y44"/>
      <c r="Z44"/>
      <c r="AA44"/>
      <c r="AB44"/>
      <c r="AC44"/>
      <c r="AD44"/>
      <c r="AE44"/>
    </row>
    <row r="45" spans="1:31" ht="12.75" customHeight="1"/>
    <row r="46" spans="1:31" ht="14.25">
      <c r="A46" s="318" t="s">
        <v>1567</v>
      </c>
      <c r="B46" s="1262"/>
      <c r="C46" s="1262"/>
      <c r="D46" s="1262"/>
      <c r="E46" s="1262"/>
      <c r="F46" s="1262"/>
      <c r="G46" s="1262"/>
      <c r="H46" s="1262"/>
    </row>
    <row r="50" spans="3:9">
      <c r="C50" s="1263"/>
      <c r="D50" s="1263"/>
      <c r="E50" s="1263"/>
      <c r="F50" s="1263"/>
      <c r="G50" s="1263"/>
      <c r="H50" s="1263"/>
      <c r="I50"/>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tabSelected="1" zoomScale="80" zoomScaleNormal="80" workbookViewId="0">
      <pane ySplit="12" topLeftCell="A16" activePane="bottomLeft" state="frozen"/>
      <selection activeCell="N29" sqref="N29"/>
      <selection pane="bottomLeft" activeCell="N29" sqref="N29"/>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08" t="s">
        <v>1721</v>
      </c>
      <c r="B1" s="808"/>
      <c r="C1" s="808"/>
      <c r="D1" s="808"/>
      <c r="E1" s="808"/>
      <c r="F1" s="808"/>
      <c r="G1" s="808"/>
      <c r="H1" s="808"/>
      <c r="I1" s="808"/>
      <c r="J1" s="808"/>
      <c r="K1" s="808"/>
      <c r="L1" s="808"/>
    </row>
    <row r="2" spans="1:21" ht="18" customHeight="1">
      <c r="A2" s="808" t="s">
        <v>1568</v>
      </c>
      <c r="B2" s="808"/>
      <c r="C2" s="808"/>
      <c r="D2" s="808"/>
      <c r="E2" s="808"/>
      <c r="F2" s="808"/>
      <c r="G2" s="808"/>
      <c r="H2" s="808"/>
      <c r="I2" s="808"/>
      <c r="J2" s="808"/>
      <c r="K2" s="808"/>
      <c r="L2" s="808"/>
    </row>
    <row r="3" spans="1:21" ht="15.95" customHeight="1">
      <c r="A3" s="809" t="s">
        <v>1569</v>
      </c>
      <c r="B3" s="464"/>
      <c r="C3" s="464"/>
      <c r="D3" s="464"/>
      <c r="E3" s="464"/>
      <c r="F3" s="464"/>
      <c r="G3" s="464"/>
      <c r="H3" s="464"/>
      <c r="I3" s="464"/>
      <c r="J3" s="464"/>
      <c r="K3" s="464"/>
      <c r="L3" s="464"/>
    </row>
    <row r="4" spans="1:21" ht="15.95" hidden="1" customHeight="1">
      <c r="A4" s="809"/>
      <c r="B4" s="464"/>
      <c r="C4" s="464"/>
      <c r="D4" s="464"/>
      <c r="E4" s="464"/>
      <c r="F4" s="464"/>
      <c r="G4" s="464"/>
      <c r="H4" s="464"/>
      <c r="I4" s="464"/>
      <c r="J4" s="464"/>
      <c r="K4" s="464"/>
      <c r="L4" s="464"/>
    </row>
    <row r="5" spans="1:21" ht="15.95" hidden="1" customHeight="1">
      <c r="A5" s="809"/>
      <c r="B5" s="464"/>
      <c r="C5" s="464"/>
      <c r="D5" s="464"/>
      <c r="E5" s="464"/>
      <c r="F5" s="464"/>
      <c r="G5" s="464"/>
      <c r="H5" s="464"/>
      <c r="I5" s="464"/>
      <c r="J5" s="464"/>
      <c r="K5" s="464"/>
      <c r="L5" s="464"/>
    </row>
    <row r="6" spans="1:21" ht="15.95" hidden="1" customHeight="1">
      <c r="A6" s="809"/>
      <c r="B6" s="464"/>
      <c r="C6" s="464"/>
      <c r="D6" s="464"/>
      <c r="E6" s="464"/>
      <c r="F6" s="464"/>
      <c r="G6" s="464"/>
      <c r="H6" s="464"/>
      <c r="I6" s="464"/>
      <c r="J6" s="464"/>
      <c r="K6" s="464"/>
      <c r="L6" s="464"/>
    </row>
    <row r="7" spans="1:21" s="448" customFormat="1" ht="14.85" customHeight="1">
      <c r="A7" s="446"/>
      <c r="B7" s="446"/>
      <c r="C7" s="447"/>
      <c r="D7" s="447"/>
      <c r="E7" s="447"/>
      <c r="F7" s="447"/>
      <c r="G7" s="447"/>
      <c r="H7" s="447"/>
      <c r="I7" s="447"/>
      <c r="J7" s="447"/>
      <c r="K7" s="447"/>
      <c r="L7" s="447"/>
    </row>
    <row r="8" spans="1:21" s="468" customFormat="1" ht="15">
      <c r="A8" s="465"/>
      <c r="B8" s="466"/>
      <c r="C8" s="467" t="s">
        <v>1570</v>
      </c>
      <c r="D8" s="467" t="s">
        <v>1571</v>
      </c>
      <c r="E8" s="467" t="s">
        <v>1572</v>
      </c>
      <c r="F8" s="467" t="s">
        <v>1573</v>
      </c>
      <c r="G8" s="861" t="s">
        <v>1574</v>
      </c>
      <c r="H8" s="861" t="s">
        <v>1575</v>
      </c>
      <c r="I8" s="860" t="s">
        <v>1576</v>
      </c>
      <c r="J8" s="467"/>
      <c r="K8" s="467"/>
      <c r="L8" s="467" t="s">
        <v>1577</v>
      </c>
    </row>
    <row r="9" spans="1:21" s="468" customFormat="1" ht="14.25" customHeight="1">
      <c r="A9" s="855"/>
      <c r="B9" s="856"/>
      <c r="C9" s="469" t="s">
        <v>1578</v>
      </c>
      <c r="D9" s="469" t="s">
        <v>1579</v>
      </c>
      <c r="E9" s="469" t="s">
        <v>1580</v>
      </c>
      <c r="F9" s="469" t="s">
        <v>1581</v>
      </c>
      <c r="G9" s="858" t="s">
        <v>1582</v>
      </c>
      <c r="H9" s="858" t="s">
        <v>1582</v>
      </c>
      <c r="I9" s="857" t="s">
        <v>1583</v>
      </c>
      <c r="J9" s="470" t="s">
        <v>1584</v>
      </c>
      <c r="K9" s="470" t="s">
        <v>1585</v>
      </c>
      <c r="L9" s="470" t="s">
        <v>1586</v>
      </c>
    </row>
    <row r="10" spans="1:21" s="468" customFormat="1" ht="15">
      <c r="A10" s="471" t="s">
        <v>1587</v>
      </c>
      <c r="B10" s="472"/>
      <c r="C10" s="473" t="s">
        <v>1588</v>
      </c>
      <c r="D10" s="473" t="s">
        <v>1589</v>
      </c>
      <c r="E10" s="473" t="s">
        <v>1590</v>
      </c>
      <c r="F10" s="473" t="s">
        <v>1588</v>
      </c>
      <c r="G10" s="474" t="s">
        <v>994</v>
      </c>
      <c r="H10" s="474" t="s">
        <v>1591</v>
      </c>
      <c r="I10" s="475" t="s">
        <v>1592</v>
      </c>
      <c r="J10" s="473" t="s">
        <v>1593</v>
      </c>
      <c r="L10" s="473" t="s">
        <v>1594</v>
      </c>
    </row>
    <row r="11" spans="1:21" s="468" customFormat="1" ht="15">
      <c r="A11" s="471" t="s">
        <v>1595</v>
      </c>
      <c r="B11" s="472"/>
      <c r="C11" s="473" t="s">
        <v>1596</v>
      </c>
      <c r="D11" s="473" t="s">
        <v>1597</v>
      </c>
      <c r="E11" s="473" t="s">
        <v>1598</v>
      </c>
      <c r="F11" s="473" t="s">
        <v>1599</v>
      </c>
      <c r="G11" s="474" t="s">
        <v>1600</v>
      </c>
      <c r="H11" s="474" t="s">
        <v>1601</v>
      </c>
      <c r="I11" s="475" t="s">
        <v>1602</v>
      </c>
      <c r="J11" s="473" t="s">
        <v>1603</v>
      </c>
      <c r="K11" s="473" t="s">
        <v>1604</v>
      </c>
      <c r="L11" s="473" t="s">
        <v>1605</v>
      </c>
    </row>
    <row r="12" spans="1:21" s="482" customFormat="1" ht="15">
      <c r="A12" s="476"/>
      <c r="B12" s="477"/>
      <c r="C12" s="478" t="s">
        <v>1606</v>
      </c>
      <c r="D12" s="479" t="s">
        <v>1607</v>
      </c>
      <c r="E12" s="478" t="s">
        <v>1608</v>
      </c>
      <c r="F12" s="480"/>
      <c r="G12" s="639" t="s">
        <v>1609</v>
      </c>
      <c r="H12" s="478" t="s">
        <v>1609</v>
      </c>
      <c r="I12" s="481" t="s">
        <v>1610</v>
      </c>
      <c r="J12" s="479" t="s">
        <v>713</v>
      </c>
      <c r="K12" s="479"/>
      <c r="L12" s="479"/>
    </row>
    <row r="13" spans="1:21" s="468" customFormat="1" ht="20.25" customHeight="1">
      <c r="A13" s="405">
        <v>2015</v>
      </c>
      <c r="B13" s="483"/>
      <c r="C13" s="484">
        <v>46</v>
      </c>
      <c r="D13" s="485">
        <v>515561</v>
      </c>
      <c r="E13" s="486">
        <v>109975</v>
      </c>
      <c r="F13" s="487">
        <v>11248</v>
      </c>
      <c r="G13" s="496" t="s">
        <v>1611</v>
      </c>
      <c r="H13" s="489">
        <v>1215.8900000000001</v>
      </c>
      <c r="I13" s="490">
        <v>7199.91</v>
      </c>
      <c r="J13" s="545">
        <v>1.53</v>
      </c>
      <c r="K13" s="491">
        <v>8.85</v>
      </c>
      <c r="L13" s="491">
        <v>5.16</v>
      </c>
    </row>
    <row r="14" spans="1:21" s="468" customFormat="1" ht="15.95" customHeight="1">
      <c r="A14" s="405">
        <v>2016</v>
      </c>
      <c r="B14" s="495"/>
      <c r="C14" s="492">
        <v>44</v>
      </c>
      <c r="D14" s="487">
        <v>734391.93700000003</v>
      </c>
      <c r="E14" s="493">
        <v>124453.992</v>
      </c>
      <c r="F14" s="487">
        <v>10592</v>
      </c>
      <c r="G14" s="489" t="s">
        <v>1611</v>
      </c>
      <c r="H14" s="489">
        <v>1220.45</v>
      </c>
      <c r="I14" s="488">
        <v>7248.4495200000001</v>
      </c>
      <c r="J14" s="545">
        <v>1.72</v>
      </c>
      <c r="K14" s="494">
        <v>8.99</v>
      </c>
      <c r="L14" s="494">
        <v>4.1100000000000003</v>
      </c>
    </row>
    <row r="15" spans="1:21" s="468" customFormat="1" ht="15.95" customHeight="1">
      <c r="A15" s="405">
        <v>2017</v>
      </c>
      <c r="B15" s="495"/>
      <c r="C15" s="492">
        <v>43</v>
      </c>
      <c r="D15" s="487">
        <v>1129827</v>
      </c>
      <c r="E15" s="493">
        <v>211339</v>
      </c>
      <c r="F15" s="487">
        <v>19440</v>
      </c>
      <c r="G15" s="489" t="s">
        <v>1611</v>
      </c>
      <c r="H15" s="489">
        <v>1331.71</v>
      </c>
      <c r="I15" s="488">
        <v>8146.33</v>
      </c>
      <c r="J15" s="545">
        <v>2.58</v>
      </c>
      <c r="K15" s="494">
        <v>9.43</v>
      </c>
      <c r="L15" s="494">
        <v>4.82</v>
      </c>
    </row>
    <row r="16" spans="1:21" s="468" customFormat="1" ht="16.5" customHeight="1">
      <c r="A16" s="405">
        <v>2018</v>
      </c>
      <c r="B16" s="497"/>
      <c r="C16" s="492">
        <v>44</v>
      </c>
      <c r="D16" s="487">
        <v>1441081.638</v>
      </c>
      <c r="E16" s="493">
        <v>321919</v>
      </c>
      <c r="F16" s="487">
        <v>19225</v>
      </c>
      <c r="G16" s="489" t="s">
        <v>1612</v>
      </c>
      <c r="H16" s="489">
        <v>1337.26</v>
      </c>
      <c r="I16" s="488">
        <v>8198.5304350000006</v>
      </c>
      <c r="J16" s="555">
        <v>3.88</v>
      </c>
      <c r="K16" s="494">
        <v>9.69</v>
      </c>
      <c r="L16" s="494">
        <v>5.22</v>
      </c>
      <c r="M16" s="822"/>
      <c r="N16" s="823"/>
      <c r="O16" s="823"/>
      <c r="P16" s="823"/>
      <c r="Q16" s="823"/>
      <c r="R16" s="823"/>
      <c r="S16" s="823"/>
      <c r="T16" s="823"/>
      <c r="U16" s="823"/>
    </row>
    <row r="17" spans="1:21" s="468" customFormat="1" ht="16.5" customHeight="1">
      <c r="A17" s="405">
        <v>2019</v>
      </c>
      <c r="B17" s="497"/>
      <c r="C17" s="492">
        <v>44</v>
      </c>
      <c r="D17" s="487">
        <v>397719</v>
      </c>
      <c r="E17" s="493">
        <v>56461</v>
      </c>
      <c r="F17" s="487">
        <v>4209</v>
      </c>
      <c r="G17" s="489" t="s">
        <v>1612</v>
      </c>
      <c r="H17" s="489">
        <v>1610.18</v>
      </c>
      <c r="I17" s="488">
        <v>10134.620000000001</v>
      </c>
      <c r="J17" s="555">
        <v>2.82</v>
      </c>
      <c r="K17" s="494">
        <v>11.27</v>
      </c>
      <c r="L17" s="494">
        <v>4.0999999999999996</v>
      </c>
      <c r="M17" s="822"/>
      <c r="N17" s="823"/>
      <c r="O17" s="823"/>
      <c r="P17" s="823"/>
      <c r="Q17" s="823"/>
      <c r="R17" s="823"/>
      <c r="S17" s="823"/>
      <c r="T17" s="823"/>
      <c r="U17" s="823"/>
    </row>
    <row r="18" spans="1:21" s="468" customFormat="1" ht="16.5" customHeight="1">
      <c r="A18" s="405">
        <v>2020</v>
      </c>
      <c r="B18" s="497"/>
      <c r="C18" s="492">
        <v>43</v>
      </c>
      <c r="D18" s="487">
        <v>1063071.6359999999</v>
      </c>
      <c r="E18" s="493">
        <v>193309.04775</v>
      </c>
      <c r="F18" s="487">
        <v>18074</v>
      </c>
      <c r="G18" s="489" t="s">
        <v>1612</v>
      </c>
      <c r="H18" s="489">
        <v>1489.78</v>
      </c>
      <c r="I18" s="488">
        <v>9277.25</v>
      </c>
      <c r="J18" s="555">
        <v>2.1800000000000002</v>
      </c>
      <c r="K18" s="494">
        <v>11.29</v>
      </c>
      <c r="L18" s="494">
        <v>5.07</v>
      </c>
      <c r="M18" s="822"/>
      <c r="N18" s="823"/>
      <c r="O18" s="823"/>
      <c r="P18" s="823"/>
      <c r="Q18" s="823"/>
      <c r="R18" s="823"/>
      <c r="S18" s="823"/>
      <c r="T18" s="823"/>
      <c r="U18" s="823"/>
    </row>
    <row r="19" spans="1:21" s="468" customFormat="1" ht="16.5" customHeight="1">
      <c r="A19" s="405">
        <v>2021</v>
      </c>
      <c r="B19" s="497"/>
      <c r="C19" s="492">
        <v>42</v>
      </c>
      <c r="D19" s="487">
        <v>1018298.618</v>
      </c>
      <c r="E19" s="493">
        <v>195678</v>
      </c>
      <c r="F19" s="487">
        <v>21001</v>
      </c>
      <c r="G19" s="489" t="s">
        <v>1612</v>
      </c>
      <c r="H19" s="489">
        <v>1797.25</v>
      </c>
      <c r="I19" s="488">
        <v>10815.45</v>
      </c>
      <c r="J19" s="555">
        <v>1.7</v>
      </c>
      <c r="K19" s="494">
        <v>20.350000000000001</v>
      </c>
      <c r="L19" s="494">
        <v>1.89</v>
      </c>
      <c r="M19" s="822"/>
      <c r="N19" s="823"/>
      <c r="O19" s="823"/>
      <c r="P19" s="823"/>
      <c r="Q19" s="823"/>
      <c r="R19" s="823"/>
      <c r="S19" s="823"/>
      <c r="T19" s="823"/>
      <c r="U19" s="823"/>
    </row>
    <row r="20" spans="1:21" s="468" customFormat="1" ht="16.5" customHeight="1">
      <c r="A20" s="405">
        <v>2022</v>
      </c>
      <c r="B20" s="497"/>
      <c r="C20" s="492">
        <v>43</v>
      </c>
      <c r="D20" s="487">
        <v>536936</v>
      </c>
      <c r="E20" s="493">
        <v>169789</v>
      </c>
      <c r="F20" s="487">
        <v>17474</v>
      </c>
      <c r="G20" s="489" t="s">
        <v>1612</v>
      </c>
      <c r="H20" s="489">
        <v>1895.27</v>
      </c>
      <c r="I20" s="488">
        <v>11408.89</v>
      </c>
      <c r="J20" s="555">
        <v>1.41</v>
      </c>
      <c r="K20" s="494">
        <v>9.83</v>
      </c>
      <c r="L20" s="494">
        <v>3.81</v>
      </c>
      <c r="M20" s="822"/>
      <c r="N20" s="823"/>
      <c r="O20" s="823"/>
      <c r="P20" s="823"/>
      <c r="Q20" s="823"/>
      <c r="R20" s="823"/>
      <c r="S20" s="823"/>
      <c r="T20" s="823"/>
      <c r="U20" s="823"/>
    </row>
    <row r="21" spans="1:21" s="468" customFormat="1" ht="16.5" customHeight="1">
      <c r="A21" s="405">
        <v>2023</v>
      </c>
      <c r="B21" s="497"/>
      <c r="C21" s="492">
        <v>42</v>
      </c>
      <c r="D21" s="487">
        <v>780702</v>
      </c>
      <c r="E21" s="493">
        <v>210239</v>
      </c>
      <c r="F21" s="487">
        <v>17730</v>
      </c>
      <c r="G21" s="489" t="s">
        <v>1612</v>
      </c>
      <c r="H21" s="489">
        <v>1971.49</v>
      </c>
      <c r="I21" s="488">
        <v>7768.57</v>
      </c>
      <c r="J21" s="555">
        <v>1.62</v>
      </c>
      <c r="K21" s="494">
        <v>7.81</v>
      </c>
      <c r="L21" s="494">
        <v>5.56</v>
      </c>
      <c r="M21" s="822"/>
      <c r="N21" s="823"/>
      <c r="O21" s="823"/>
      <c r="P21" s="823"/>
      <c r="Q21" s="823"/>
      <c r="R21" s="823"/>
      <c r="S21" s="823"/>
      <c r="T21" s="823"/>
      <c r="U21" s="823"/>
    </row>
    <row r="22" spans="1:21" s="468" customFormat="1" ht="16.5" customHeight="1">
      <c r="A22" s="713">
        <v>2024</v>
      </c>
      <c r="B22" s="750"/>
      <c r="C22" s="751">
        <f>C27</f>
        <v>41</v>
      </c>
      <c r="D22" s="752">
        <f>SUM(D24:D27)</f>
        <v>1483917</v>
      </c>
      <c r="E22" s="753">
        <f>SUM(E24:E27)</f>
        <v>319799</v>
      </c>
      <c r="F22" s="752">
        <f>SUM(F24:F27)</f>
        <v>17014</v>
      </c>
      <c r="G22" s="754" t="s">
        <v>1612</v>
      </c>
      <c r="H22" s="754">
        <f>H27</f>
        <v>1985.91</v>
      </c>
      <c r="I22" s="755">
        <f>I27</f>
        <v>7693.68</v>
      </c>
      <c r="J22" s="756">
        <v>3.84</v>
      </c>
      <c r="K22" s="715">
        <v>11.36</v>
      </c>
      <c r="L22" s="715">
        <v>4.7</v>
      </c>
      <c r="M22" s="822"/>
      <c r="N22" s="823"/>
      <c r="O22" s="823"/>
      <c r="P22" s="823"/>
      <c r="Q22" s="823"/>
      <c r="R22" s="823"/>
      <c r="S22" s="823"/>
      <c r="T22" s="823"/>
      <c r="U22" s="823"/>
    </row>
    <row r="23" spans="1:21" s="468" customFormat="1" ht="21" customHeight="1">
      <c r="A23" s="405">
        <v>2023</v>
      </c>
      <c r="B23" s="497" t="s">
        <v>238</v>
      </c>
      <c r="C23" s="492">
        <v>42</v>
      </c>
      <c r="D23" s="487">
        <v>189713</v>
      </c>
      <c r="E23" s="493">
        <v>50213</v>
      </c>
      <c r="F23" s="487">
        <v>3681</v>
      </c>
      <c r="G23" s="489" t="s">
        <v>1612</v>
      </c>
      <c r="H23" s="489">
        <v>1971.49</v>
      </c>
      <c r="I23" s="488">
        <v>7768.57</v>
      </c>
      <c r="J23" s="555">
        <v>0.62</v>
      </c>
      <c r="K23" s="494">
        <v>7.81</v>
      </c>
      <c r="L23" s="494">
        <v>5.56</v>
      </c>
      <c r="M23" s="822"/>
      <c r="N23" s="823"/>
      <c r="O23" s="823"/>
      <c r="P23" s="823"/>
      <c r="Q23" s="823"/>
      <c r="R23" s="823"/>
      <c r="S23" s="823"/>
      <c r="T23" s="823"/>
      <c r="U23" s="823"/>
    </row>
    <row r="24" spans="1:21" s="468" customFormat="1" ht="21" customHeight="1">
      <c r="A24" s="405">
        <v>2024</v>
      </c>
      <c r="B24" s="497" t="s">
        <v>239</v>
      </c>
      <c r="C24" s="492">
        <v>42</v>
      </c>
      <c r="D24" s="487">
        <v>414003</v>
      </c>
      <c r="E24" s="493">
        <v>84967</v>
      </c>
      <c r="F24" s="487">
        <v>5358</v>
      </c>
      <c r="G24" s="489" t="s">
        <v>1612</v>
      </c>
      <c r="H24" s="489">
        <v>2042.67</v>
      </c>
      <c r="I24" s="488">
        <v>8074.55</v>
      </c>
      <c r="J24" s="555">
        <v>1.02</v>
      </c>
      <c r="K24" s="494">
        <v>10.97</v>
      </c>
      <c r="L24" s="494">
        <v>4.55</v>
      </c>
      <c r="M24" s="822"/>
      <c r="N24" s="823"/>
      <c r="O24" s="823"/>
      <c r="P24" s="823"/>
      <c r="Q24" s="823"/>
      <c r="R24" s="823"/>
      <c r="S24" s="823"/>
      <c r="T24" s="823"/>
      <c r="U24" s="823"/>
    </row>
    <row r="25" spans="1:21" s="468" customFormat="1" ht="15" customHeight="1">
      <c r="A25" s="405"/>
      <c r="B25" s="497" t="s">
        <v>240</v>
      </c>
      <c r="C25" s="492">
        <v>42</v>
      </c>
      <c r="D25" s="487">
        <v>482312</v>
      </c>
      <c r="E25" s="493">
        <v>72353</v>
      </c>
      <c r="F25" s="487">
        <v>4213</v>
      </c>
      <c r="G25" s="489" t="s">
        <v>1612</v>
      </c>
      <c r="H25" s="489">
        <v>2025.49</v>
      </c>
      <c r="I25" s="488">
        <v>8005.47</v>
      </c>
      <c r="J25" s="555">
        <v>0.85</v>
      </c>
      <c r="K25" s="494">
        <v>10.85</v>
      </c>
      <c r="L25" s="494">
        <v>4.59</v>
      </c>
      <c r="M25" s="822"/>
      <c r="N25" s="823"/>
      <c r="O25" s="823"/>
      <c r="P25" s="823"/>
      <c r="Q25" s="823"/>
      <c r="R25" s="823"/>
      <c r="S25" s="823"/>
      <c r="T25" s="823"/>
      <c r="U25" s="823"/>
    </row>
    <row r="26" spans="1:21" s="468" customFormat="1" ht="15" customHeight="1">
      <c r="A26" s="405"/>
      <c r="B26" s="497" t="s">
        <v>237</v>
      </c>
      <c r="C26" s="492">
        <v>40</v>
      </c>
      <c r="D26" s="487">
        <v>502684</v>
      </c>
      <c r="E26" s="493">
        <v>117643</v>
      </c>
      <c r="F26" s="487">
        <v>4280</v>
      </c>
      <c r="G26" s="489" t="s">
        <v>1612</v>
      </c>
      <c r="H26" s="489">
        <v>2012.77</v>
      </c>
      <c r="I26" s="488">
        <v>7797.73</v>
      </c>
      <c r="J26" s="555">
        <v>1.38</v>
      </c>
      <c r="K26" s="494">
        <v>11.53</v>
      </c>
      <c r="L26" s="494">
        <v>4.6500000000000004</v>
      </c>
      <c r="M26" s="822"/>
      <c r="N26" s="823"/>
      <c r="O26" s="823"/>
      <c r="P26" s="823"/>
      <c r="Q26" s="823"/>
      <c r="R26" s="823"/>
      <c r="S26" s="823"/>
      <c r="T26" s="823"/>
      <c r="U26" s="823"/>
    </row>
    <row r="27" spans="1:21" s="468" customFormat="1" ht="15" customHeight="1">
      <c r="A27" s="405"/>
      <c r="B27" s="497" t="s">
        <v>238</v>
      </c>
      <c r="C27" s="492">
        <v>41</v>
      </c>
      <c r="D27" s="487">
        <v>84918</v>
      </c>
      <c r="E27" s="493">
        <v>44836</v>
      </c>
      <c r="F27" s="487">
        <v>3163</v>
      </c>
      <c r="G27" s="489" t="s">
        <v>1612</v>
      </c>
      <c r="H27" s="489">
        <v>1985.91</v>
      </c>
      <c r="I27" s="488">
        <v>7693.68</v>
      </c>
      <c r="J27" s="555">
        <v>0.55000000000000004</v>
      </c>
      <c r="K27" s="494">
        <v>11.38</v>
      </c>
      <c r="L27" s="494">
        <v>4.7</v>
      </c>
      <c r="M27" s="822"/>
      <c r="N27" s="823"/>
      <c r="O27" s="823"/>
      <c r="P27" s="823"/>
      <c r="Q27" s="823"/>
      <c r="R27" s="823"/>
      <c r="S27" s="823"/>
      <c r="T27" s="823"/>
      <c r="U27" s="823"/>
    </row>
    <row r="28" spans="1:21" s="468" customFormat="1" ht="21" customHeight="1">
      <c r="A28" s="405">
        <v>2025</v>
      </c>
      <c r="B28" s="497" t="s">
        <v>239</v>
      </c>
      <c r="C28" s="492">
        <f>C36</f>
        <v>41</v>
      </c>
      <c r="D28" s="487">
        <f>SUM(D34:D36)</f>
        <v>570770</v>
      </c>
      <c r="E28" s="493">
        <f>SUM(E34:E36)</f>
        <v>418270</v>
      </c>
      <c r="F28" s="487">
        <f>SUM(F34:F36)</f>
        <v>3900</v>
      </c>
      <c r="G28" s="489" t="s">
        <v>1612</v>
      </c>
      <c r="H28" s="489">
        <f>H36</f>
        <v>1951.37</v>
      </c>
      <c r="I28" s="488">
        <f>I36</f>
        <v>7558.81</v>
      </c>
      <c r="J28" s="555">
        <v>5.5</v>
      </c>
      <c r="K28" s="494">
        <v>9.34</v>
      </c>
      <c r="L28" s="494">
        <v>5.35</v>
      </c>
      <c r="M28" s="822"/>
      <c r="N28" s="823"/>
      <c r="O28" s="823"/>
      <c r="P28" s="823"/>
      <c r="Q28" s="823"/>
      <c r="R28" s="823"/>
      <c r="S28" s="823"/>
      <c r="T28" s="823"/>
      <c r="U28" s="823"/>
    </row>
    <row r="29" spans="1:21" s="468" customFormat="1" ht="15" customHeight="1">
      <c r="A29" s="405"/>
      <c r="B29" s="497" t="s">
        <v>240</v>
      </c>
      <c r="C29" s="492">
        <f>C39</f>
        <v>41</v>
      </c>
      <c r="D29" s="487">
        <f>SUM(D37:D39)</f>
        <v>219487</v>
      </c>
      <c r="E29" s="493">
        <f>SUM(E37:E39)</f>
        <v>50790</v>
      </c>
      <c r="F29" s="487">
        <f>SUM(F37:F39)</f>
        <v>5467</v>
      </c>
      <c r="G29" s="489" t="s">
        <v>1612</v>
      </c>
      <c r="H29" s="489">
        <f>H39</f>
        <v>1943.81</v>
      </c>
      <c r="I29" s="488">
        <f>I39</f>
        <v>7556.17</v>
      </c>
      <c r="J29" s="555">
        <v>0.63</v>
      </c>
      <c r="K29" s="494">
        <v>9.3000000000000007</v>
      </c>
      <c r="L29" s="494">
        <v>5.38</v>
      </c>
      <c r="M29" s="822"/>
      <c r="N29" s="823"/>
      <c r="O29" s="823"/>
      <c r="P29" s="823"/>
      <c r="Q29" s="823"/>
      <c r="R29" s="823"/>
      <c r="S29" s="823"/>
      <c r="T29" s="823"/>
      <c r="U29" s="823"/>
    </row>
    <row r="30" spans="1:21" s="468" customFormat="1" ht="15" customHeight="1">
      <c r="A30" s="713"/>
      <c r="B30" s="750" t="s">
        <v>237</v>
      </c>
      <c r="C30" s="751">
        <f>C42</f>
        <v>41</v>
      </c>
      <c r="D30" s="752">
        <f>SUM(D40:D42)</f>
        <v>235680</v>
      </c>
      <c r="E30" s="753">
        <f>SUM(E40:E42)</f>
        <v>52100</v>
      </c>
      <c r="F30" s="752">
        <f>SUM(F40:F42)</f>
        <v>5289</v>
      </c>
      <c r="G30" s="754" t="s">
        <v>1612</v>
      </c>
      <c r="H30" s="754">
        <f>H42</f>
        <v>1948.17</v>
      </c>
      <c r="I30" s="755">
        <f>I42</f>
        <v>7573.13</v>
      </c>
      <c r="J30" s="756">
        <v>0.65</v>
      </c>
      <c r="K30" s="715">
        <v>9.31</v>
      </c>
      <c r="L30" s="715">
        <v>5.37</v>
      </c>
      <c r="M30" s="822"/>
      <c r="N30" s="823"/>
      <c r="O30" s="823"/>
      <c r="P30" s="823"/>
      <c r="Q30" s="823"/>
      <c r="R30" s="823"/>
      <c r="S30" s="823"/>
      <c r="T30" s="823"/>
      <c r="U30" s="823"/>
    </row>
    <row r="31" spans="1:21" s="823" customFormat="1" ht="21" customHeight="1">
      <c r="A31" s="747">
        <v>2024</v>
      </c>
      <c r="B31" s="748" t="s">
        <v>412</v>
      </c>
      <c r="C31" s="1184">
        <v>40</v>
      </c>
      <c r="D31" s="844">
        <v>23439</v>
      </c>
      <c r="E31" s="1185">
        <v>9941</v>
      </c>
      <c r="F31" s="844">
        <v>1035</v>
      </c>
      <c r="G31" s="807" t="s">
        <v>1612</v>
      </c>
      <c r="H31" s="1187">
        <v>2018.9</v>
      </c>
      <c r="I31" s="1188">
        <v>7821.49</v>
      </c>
      <c r="J31" s="1189">
        <v>0.12</v>
      </c>
      <c r="K31" s="1190">
        <v>11.58</v>
      </c>
      <c r="L31" s="1190">
        <v>4.68</v>
      </c>
    </row>
    <row r="32" spans="1:21" s="823" customFormat="1" ht="17.25" customHeight="1">
      <c r="A32" s="747"/>
      <c r="B32" s="748" t="s">
        <v>413</v>
      </c>
      <c r="C32" s="1184">
        <v>40</v>
      </c>
      <c r="D32" s="844">
        <v>39428</v>
      </c>
      <c r="E32" s="1185">
        <v>25343</v>
      </c>
      <c r="F32" s="844">
        <v>1002</v>
      </c>
      <c r="G32" s="1186" t="s">
        <v>1612</v>
      </c>
      <c r="H32" s="1187">
        <v>2031.98</v>
      </c>
      <c r="I32" s="1188">
        <v>7872.14</v>
      </c>
      <c r="J32" s="1189">
        <v>0.31</v>
      </c>
      <c r="K32" s="1190">
        <v>11.67</v>
      </c>
      <c r="L32" s="1190">
        <v>4.6500000000000004</v>
      </c>
    </row>
    <row r="33" spans="1:12" s="823" customFormat="1" ht="17.25" customHeight="1">
      <c r="A33" s="747"/>
      <c r="B33" s="748" t="s">
        <v>414</v>
      </c>
      <c r="C33" s="1184">
        <v>41</v>
      </c>
      <c r="D33" s="844">
        <v>22051</v>
      </c>
      <c r="E33" s="1185">
        <v>9552</v>
      </c>
      <c r="F33" s="844">
        <v>1126</v>
      </c>
      <c r="G33" s="1186" t="s">
        <v>1612</v>
      </c>
      <c r="H33" s="1187">
        <v>1985.91</v>
      </c>
      <c r="I33" s="1188">
        <v>7693.68</v>
      </c>
      <c r="J33" s="1189">
        <v>0.11</v>
      </c>
      <c r="K33" s="1190">
        <v>11.38</v>
      </c>
      <c r="L33" s="1190">
        <v>4.76</v>
      </c>
    </row>
    <row r="34" spans="1:12" s="823" customFormat="1" ht="21" customHeight="1">
      <c r="A34" s="747">
        <v>2025</v>
      </c>
      <c r="B34" s="748" t="s">
        <v>415</v>
      </c>
      <c r="C34" s="1184">
        <v>41</v>
      </c>
      <c r="D34" s="844">
        <v>15868</v>
      </c>
      <c r="E34" s="1185">
        <v>5474</v>
      </c>
      <c r="F34" s="844">
        <v>1106</v>
      </c>
      <c r="G34" s="807" t="s">
        <v>1612</v>
      </c>
      <c r="H34" s="1187">
        <v>1879.48</v>
      </c>
      <c r="I34" s="1188">
        <v>7281.35</v>
      </c>
      <c r="J34" s="1189">
        <v>7.0000000000000007E-2</v>
      </c>
      <c r="K34" s="1190">
        <v>10.72</v>
      </c>
      <c r="L34" s="1190">
        <v>5.03</v>
      </c>
    </row>
    <row r="35" spans="1:12" s="823" customFormat="1" ht="17.25" customHeight="1">
      <c r="A35" s="747"/>
      <c r="B35" s="748" t="s">
        <v>416</v>
      </c>
      <c r="C35" s="1184">
        <v>41</v>
      </c>
      <c r="D35" s="844">
        <v>374749</v>
      </c>
      <c r="E35" s="1185">
        <v>382522</v>
      </c>
      <c r="F35" s="844">
        <v>1585</v>
      </c>
      <c r="G35" s="807" t="s">
        <v>1612</v>
      </c>
      <c r="H35" s="1187">
        <v>1960.23</v>
      </c>
      <c r="I35" s="1188">
        <v>7592.5</v>
      </c>
      <c r="J35" s="1189">
        <v>5.0199999999999996</v>
      </c>
      <c r="K35" s="1190">
        <v>9.48</v>
      </c>
      <c r="L35" s="1190">
        <v>5.14</v>
      </c>
    </row>
    <row r="36" spans="1:12" s="823" customFormat="1" ht="17.25" customHeight="1">
      <c r="A36" s="747"/>
      <c r="B36" s="748" t="s">
        <v>417</v>
      </c>
      <c r="C36" s="1184">
        <v>41</v>
      </c>
      <c r="D36" s="844">
        <v>180153</v>
      </c>
      <c r="E36" s="1185">
        <v>30274</v>
      </c>
      <c r="F36" s="844">
        <v>1209</v>
      </c>
      <c r="G36" s="807" t="s">
        <v>1612</v>
      </c>
      <c r="H36" s="1187">
        <v>1951.37</v>
      </c>
      <c r="I36" s="1188">
        <v>7558.81</v>
      </c>
      <c r="J36" s="1189">
        <v>0.4</v>
      </c>
      <c r="K36" s="1190">
        <v>9.36</v>
      </c>
      <c r="L36" s="1190">
        <v>5.38</v>
      </c>
    </row>
    <row r="37" spans="1:12" s="823" customFormat="1" ht="17.25" customHeight="1">
      <c r="A37" s="747"/>
      <c r="B37" s="748" t="s">
        <v>418</v>
      </c>
      <c r="C37" s="1184">
        <v>41</v>
      </c>
      <c r="D37" s="844">
        <v>32994</v>
      </c>
      <c r="E37" s="1185">
        <v>8343</v>
      </c>
      <c r="F37" s="844">
        <v>1842</v>
      </c>
      <c r="G37" s="807" t="s">
        <v>1612</v>
      </c>
      <c r="H37" s="1187">
        <v>1912.2</v>
      </c>
      <c r="I37" s="1188">
        <v>7407.02</v>
      </c>
      <c r="J37" s="1189">
        <v>0.1</v>
      </c>
      <c r="K37" s="1190">
        <v>9.1199999999999992</v>
      </c>
      <c r="L37" s="1190">
        <v>5.5</v>
      </c>
    </row>
    <row r="38" spans="1:12" s="823" customFormat="1" ht="17.25" customHeight="1">
      <c r="A38" s="747"/>
      <c r="B38" s="748" t="s">
        <v>419</v>
      </c>
      <c r="C38" s="1184">
        <v>41</v>
      </c>
      <c r="D38" s="844">
        <v>109119</v>
      </c>
      <c r="E38" s="1185">
        <v>24218</v>
      </c>
      <c r="F38" s="844">
        <v>1913</v>
      </c>
      <c r="G38" s="807" t="s">
        <v>1612</v>
      </c>
      <c r="H38" s="1187">
        <v>1920.91</v>
      </c>
      <c r="I38" s="1188">
        <v>7440.76</v>
      </c>
      <c r="J38" s="1189">
        <v>0.3</v>
      </c>
      <c r="K38" s="1190">
        <v>9.17</v>
      </c>
      <c r="L38" s="1190">
        <v>5.47</v>
      </c>
    </row>
    <row r="39" spans="1:12" s="823" customFormat="1" ht="17.25" customHeight="1">
      <c r="A39" s="747"/>
      <c r="B39" s="748" t="s">
        <v>420</v>
      </c>
      <c r="C39" s="1184">
        <v>41</v>
      </c>
      <c r="D39" s="844">
        <v>77374</v>
      </c>
      <c r="E39" s="1185">
        <v>18229</v>
      </c>
      <c r="F39" s="844">
        <v>1712</v>
      </c>
      <c r="G39" s="807" t="s">
        <v>1612</v>
      </c>
      <c r="H39" s="1187">
        <v>1943.81</v>
      </c>
      <c r="I39" s="1188">
        <v>7556.17</v>
      </c>
      <c r="J39" s="1189">
        <v>0.23</v>
      </c>
      <c r="K39" s="1190">
        <v>9.31</v>
      </c>
      <c r="L39" s="1190">
        <v>5.4</v>
      </c>
    </row>
    <row r="40" spans="1:12" s="823" customFormat="1" ht="17.25" customHeight="1">
      <c r="A40" s="747"/>
      <c r="B40" s="748" t="s">
        <v>421</v>
      </c>
      <c r="C40" s="1184">
        <v>41</v>
      </c>
      <c r="D40" s="844">
        <v>161116</v>
      </c>
      <c r="E40" s="1185">
        <v>28851</v>
      </c>
      <c r="F40" s="844">
        <v>2044</v>
      </c>
      <c r="G40" s="807" t="s">
        <v>1612</v>
      </c>
      <c r="H40" s="1187">
        <v>1955.63</v>
      </c>
      <c r="I40" s="1188">
        <v>7602.13</v>
      </c>
      <c r="J40" s="1189">
        <v>0.35</v>
      </c>
      <c r="K40" s="1190">
        <v>9.35</v>
      </c>
      <c r="L40" s="1190">
        <v>5.37</v>
      </c>
    </row>
    <row r="41" spans="1:12" s="823" customFormat="1" ht="17.25" customHeight="1">
      <c r="A41" s="747"/>
      <c r="B41" s="748" t="s">
        <v>422</v>
      </c>
      <c r="C41" s="1184">
        <v>41</v>
      </c>
      <c r="D41" s="844">
        <v>24600</v>
      </c>
      <c r="E41" s="1185">
        <v>8703</v>
      </c>
      <c r="F41" s="844">
        <v>1567</v>
      </c>
      <c r="G41" s="807" t="s">
        <v>1612</v>
      </c>
      <c r="H41" s="1187">
        <v>1929.18</v>
      </c>
      <c r="I41" s="1188">
        <v>7499.31</v>
      </c>
      <c r="J41" s="1189">
        <v>0.11</v>
      </c>
      <c r="K41" s="1190">
        <v>9.2100000000000009</v>
      </c>
      <c r="L41" s="1190">
        <v>5.44</v>
      </c>
    </row>
    <row r="42" spans="1:12" s="823" customFormat="1" ht="17.25" customHeight="1">
      <c r="A42" s="747"/>
      <c r="B42" s="748" t="s">
        <v>423</v>
      </c>
      <c r="C42" s="1184">
        <v>41</v>
      </c>
      <c r="D42" s="844">
        <v>49964</v>
      </c>
      <c r="E42" s="1185">
        <v>14546</v>
      </c>
      <c r="F42" s="844">
        <v>1678</v>
      </c>
      <c r="G42" s="807" t="s">
        <v>1612</v>
      </c>
      <c r="H42" s="1187">
        <v>1948.17</v>
      </c>
      <c r="I42" s="1188">
        <v>7573.13</v>
      </c>
      <c r="J42" s="1189">
        <v>0.18</v>
      </c>
      <c r="K42" s="1190">
        <v>9.31</v>
      </c>
      <c r="L42" s="1190">
        <v>5.39</v>
      </c>
    </row>
    <row r="43" spans="1:12" s="823" customFormat="1" ht="17.25" customHeight="1">
      <c r="A43" s="747"/>
      <c r="B43" s="748" t="s">
        <v>412</v>
      </c>
      <c r="C43" s="1184">
        <v>41</v>
      </c>
      <c r="D43" s="844">
        <v>148575</v>
      </c>
      <c r="E43" s="1185">
        <v>36116</v>
      </c>
      <c r="F43" s="844">
        <v>2704</v>
      </c>
      <c r="G43" s="807" t="s">
        <v>1612</v>
      </c>
      <c r="H43" s="1187">
        <v>2062.9</v>
      </c>
      <c r="I43" s="1188">
        <v>8016.67</v>
      </c>
      <c r="J43" s="1189">
        <v>0.45</v>
      </c>
      <c r="K43" s="1190">
        <v>10.01</v>
      </c>
      <c r="L43" s="1190">
        <v>5.0999999999999996</v>
      </c>
    </row>
    <row r="44" spans="1:12" ht="21.2" customHeight="1">
      <c r="A44" s="462" t="s">
        <v>1613</v>
      </c>
      <c r="B44" s="462"/>
      <c r="C44" s="462"/>
      <c r="D44" s="462"/>
      <c r="E44" s="462"/>
      <c r="F44" s="462"/>
      <c r="G44" s="462"/>
      <c r="H44" s="462"/>
      <c r="I44" s="462"/>
      <c r="J44" s="462"/>
      <c r="K44" s="462"/>
      <c r="L44" s="498" t="s">
        <v>1614</v>
      </c>
    </row>
    <row r="45" spans="1:12" ht="13.7" customHeight="1">
      <c r="A45" s="445" t="s">
        <v>1615</v>
      </c>
      <c r="L45" s="499" t="s">
        <v>1616</v>
      </c>
    </row>
    <row r="46" spans="1:12" ht="13.7" customHeight="1">
      <c r="A46" s="445" t="s">
        <v>1617</v>
      </c>
      <c r="L46" s="499" t="s">
        <v>1722</v>
      </c>
    </row>
    <row r="47" spans="1:12" ht="13.7" customHeight="1">
      <c r="A47" s="445" t="s">
        <v>1618</v>
      </c>
      <c r="L47" s="499" t="s">
        <v>1619</v>
      </c>
    </row>
    <row r="48" spans="1:12" ht="13.7" customHeight="1">
      <c r="A48" s="463" t="s">
        <v>1620</v>
      </c>
      <c r="L48" s="500" t="s">
        <v>1621</v>
      </c>
    </row>
    <row r="49" spans="1:12">
      <c r="E49" s="445" t="s">
        <v>117</v>
      </c>
    </row>
    <row r="50" spans="1:12" ht="14.25">
      <c r="A50" s="501" t="s">
        <v>1622</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tabSelected="1" zoomScale="80" zoomScaleNormal="80" workbookViewId="0">
      <pane ySplit="12" topLeftCell="A19" activePane="bottomLeft" state="frozen"/>
      <selection activeCell="N29" sqref="N29"/>
      <selection pane="bottomLeft" activeCell="N29" sqref="N29"/>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248" t="s">
        <v>1720</v>
      </c>
      <c r="B1" s="808"/>
      <c r="C1" s="808"/>
      <c r="D1" s="808"/>
      <c r="E1" s="808"/>
      <c r="F1" s="808"/>
      <c r="G1" s="808"/>
      <c r="H1" s="808"/>
      <c r="I1" s="808"/>
      <c r="J1" s="808"/>
      <c r="K1" s="808"/>
      <c r="L1" s="808"/>
      <c r="M1" s="808"/>
    </row>
    <row r="2" spans="1:22" ht="18">
      <c r="A2" s="1248" t="s">
        <v>1623</v>
      </c>
      <c r="B2" s="808"/>
      <c r="C2" s="808"/>
      <c r="D2" s="808"/>
      <c r="E2" s="808"/>
      <c r="F2" s="808"/>
      <c r="G2" s="808"/>
      <c r="H2" s="808"/>
      <c r="I2" s="808"/>
      <c r="J2" s="808"/>
      <c r="K2" s="808"/>
      <c r="L2" s="808"/>
      <c r="M2" s="808"/>
    </row>
    <row r="3" spans="1:22" ht="16.5">
      <c r="A3" s="1249" t="s">
        <v>1624</v>
      </c>
      <c r="B3" s="464"/>
      <c r="C3" s="464"/>
      <c r="D3" s="464"/>
      <c r="E3" s="464"/>
      <c r="F3" s="464"/>
      <c r="G3" s="464"/>
      <c r="H3" s="464"/>
      <c r="I3" s="464"/>
      <c r="J3" s="464"/>
      <c r="K3" s="464"/>
      <c r="L3" s="464"/>
      <c r="M3" s="464"/>
    </row>
    <row r="4" spans="1:22" ht="16.5" hidden="1">
      <c r="A4" s="1249"/>
      <c r="B4" s="464"/>
      <c r="C4" s="464"/>
      <c r="D4" s="464"/>
      <c r="E4" s="464"/>
      <c r="F4" s="464"/>
      <c r="G4" s="464"/>
      <c r="H4" s="464"/>
      <c r="I4" s="464"/>
      <c r="J4" s="464"/>
      <c r="K4" s="464"/>
      <c r="L4" s="464"/>
      <c r="M4" s="464"/>
    </row>
    <row r="5" spans="1:22" ht="16.5" hidden="1">
      <c r="A5" s="1249"/>
      <c r="B5" s="464"/>
      <c r="C5" s="464"/>
      <c r="D5" s="464"/>
      <c r="E5" s="464"/>
      <c r="F5" s="464"/>
      <c r="G5" s="464"/>
      <c r="H5" s="464"/>
      <c r="I5" s="464"/>
      <c r="J5" s="464"/>
      <c r="K5" s="464"/>
      <c r="L5" s="464"/>
      <c r="M5" s="464"/>
    </row>
    <row r="6" spans="1:22" ht="16.5" hidden="1">
      <c r="A6" s="1249"/>
      <c r="B6" s="464"/>
      <c r="C6" s="464"/>
      <c r="D6" s="464"/>
      <c r="E6" s="464"/>
      <c r="F6" s="464"/>
      <c r="G6" s="464"/>
      <c r="H6" s="464"/>
      <c r="I6" s="464"/>
      <c r="J6" s="464"/>
      <c r="K6" s="464"/>
      <c r="L6" s="464"/>
      <c r="M6" s="464"/>
    </row>
    <row r="7" spans="1:22" ht="0.6" customHeight="1">
      <c r="A7" s="1249"/>
      <c r="B7" s="464"/>
      <c r="C7" s="464"/>
      <c r="D7" s="464"/>
      <c r="E7" s="464"/>
      <c r="F7" s="464"/>
      <c r="G7" s="464"/>
      <c r="H7" s="464"/>
      <c r="I7" s="464"/>
      <c r="J7" s="464"/>
      <c r="K7" s="464"/>
      <c r="L7" s="464"/>
      <c r="M7" s="464"/>
    </row>
    <row r="8" spans="1:22" s="448" customFormat="1" ht="14.85" customHeight="1">
      <c r="A8" s="502" t="s">
        <v>1625</v>
      </c>
      <c r="B8" s="446"/>
      <c r="C8" s="447"/>
      <c r="D8" s="447"/>
      <c r="E8" s="447"/>
      <c r="F8" s="447"/>
      <c r="G8" s="447"/>
      <c r="H8" s="447"/>
      <c r="I8" s="447"/>
      <c r="J8" s="447"/>
      <c r="K8" s="447"/>
      <c r="L8" s="447"/>
      <c r="M8" s="503" t="s">
        <v>1626</v>
      </c>
    </row>
    <row r="9" spans="1:22" s="508" customFormat="1" ht="15.95" customHeight="1">
      <c r="A9" s="504"/>
      <c r="B9" s="505"/>
      <c r="C9" s="506"/>
      <c r="D9" s="506"/>
      <c r="E9" s="467" t="s">
        <v>1627</v>
      </c>
      <c r="F9" s="467" t="s">
        <v>1627</v>
      </c>
      <c r="G9" s="932"/>
      <c r="H9" s="933"/>
      <c r="I9" s="506"/>
      <c r="J9" s="506"/>
      <c r="K9" s="467" t="s">
        <v>1628</v>
      </c>
      <c r="L9" s="506"/>
      <c r="M9" s="507"/>
    </row>
    <row r="10" spans="1:22" s="468" customFormat="1" ht="15">
      <c r="A10" s="509" t="s">
        <v>1587</v>
      </c>
      <c r="B10" s="510"/>
      <c r="C10" s="511" t="s">
        <v>1629</v>
      </c>
      <c r="D10" s="511" t="s">
        <v>1630</v>
      </c>
      <c r="E10" s="511" t="s">
        <v>1631</v>
      </c>
      <c r="F10" s="511" t="s">
        <v>1632</v>
      </c>
      <c r="G10" s="511" t="s">
        <v>1633</v>
      </c>
      <c r="H10" s="511" t="s">
        <v>1353</v>
      </c>
      <c r="I10" s="511" t="s">
        <v>1634</v>
      </c>
      <c r="J10" s="511" t="s">
        <v>1635</v>
      </c>
      <c r="K10" s="511" t="s">
        <v>1636</v>
      </c>
      <c r="L10" s="511" t="s">
        <v>1637</v>
      </c>
      <c r="M10" s="511" t="s">
        <v>382</v>
      </c>
    </row>
    <row r="11" spans="1:22" s="468" customFormat="1" ht="15">
      <c r="A11" s="471" t="s">
        <v>1595</v>
      </c>
      <c r="B11" s="510"/>
      <c r="C11" s="474" t="s">
        <v>1638</v>
      </c>
      <c r="D11" s="474" t="s">
        <v>1639</v>
      </c>
      <c r="E11" s="474" t="s">
        <v>1640</v>
      </c>
      <c r="F11" s="474" t="s">
        <v>1640</v>
      </c>
      <c r="G11" s="474" t="s">
        <v>1641</v>
      </c>
      <c r="H11" s="474" t="s">
        <v>1642</v>
      </c>
      <c r="I11" s="474" t="s">
        <v>1643</v>
      </c>
      <c r="J11" s="474" t="s">
        <v>1644</v>
      </c>
      <c r="K11" s="474" t="s">
        <v>1645</v>
      </c>
      <c r="L11" s="474" t="s">
        <v>1646</v>
      </c>
      <c r="M11" s="474" t="s">
        <v>393</v>
      </c>
    </row>
    <row r="12" spans="1:22" s="468" customFormat="1" ht="15">
      <c r="A12" s="512"/>
      <c r="B12" s="513"/>
      <c r="C12" s="514"/>
      <c r="D12" s="514"/>
      <c r="E12" s="514" t="s">
        <v>1647</v>
      </c>
      <c r="F12" s="514" t="s">
        <v>1648</v>
      </c>
      <c r="G12" s="514"/>
      <c r="H12" s="514" t="s">
        <v>1649</v>
      </c>
      <c r="I12" s="514" t="s">
        <v>1650</v>
      </c>
      <c r="J12" s="514" t="s">
        <v>1606</v>
      </c>
      <c r="K12" s="515" t="s">
        <v>1015</v>
      </c>
      <c r="L12" s="515" t="s">
        <v>1593</v>
      </c>
      <c r="M12" s="515"/>
    </row>
    <row r="13" spans="1:22" ht="20.25" hidden="1" customHeight="1">
      <c r="A13" s="516">
        <v>2015</v>
      </c>
      <c r="B13" s="517"/>
      <c r="C13" s="518"/>
      <c r="D13" s="519"/>
      <c r="E13" s="520"/>
      <c r="F13" s="520"/>
      <c r="G13" s="520"/>
      <c r="H13" s="520"/>
      <c r="I13" s="520"/>
      <c r="J13" s="520"/>
      <c r="K13" s="520"/>
      <c r="L13" s="520"/>
      <c r="M13" s="520"/>
    </row>
    <row r="14" spans="1:22" ht="15.95" hidden="1" customHeight="1">
      <c r="A14" s="521">
        <v>2016</v>
      </c>
      <c r="B14" s="522"/>
      <c r="C14" s="520"/>
      <c r="D14" s="520"/>
      <c r="E14" s="520"/>
      <c r="F14" s="520"/>
      <c r="G14" s="520"/>
      <c r="H14" s="520"/>
      <c r="I14" s="520"/>
      <c r="J14" s="520"/>
      <c r="K14" s="520"/>
      <c r="L14" s="520"/>
      <c r="M14" s="520"/>
    </row>
    <row r="15" spans="1:22" ht="15.95" hidden="1" customHeight="1">
      <c r="A15" s="521">
        <v>2017</v>
      </c>
      <c r="B15" s="522"/>
      <c r="C15" s="520"/>
      <c r="D15" s="520"/>
      <c r="E15" s="520"/>
      <c r="F15" s="520"/>
      <c r="G15" s="520"/>
      <c r="H15" s="520"/>
      <c r="I15" s="520"/>
      <c r="J15" s="520"/>
      <c r="K15" s="520"/>
      <c r="L15" s="520"/>
      <c r="M15" s="520"/>
    </row>
    <row r="16" spans="1:22" ht="16.5" hidden="1" customHeight="1">
      <c r="A16" s="852">
        <v>2018</v>
      </c>
      <c r="B16" s="523"/>
      <c r="C16" s="716"/>
      <c r="D16" s="716"/>
      <c r="E16" s="716"/>
      <c r="F16" s="716"/>
      <c r="G16" s="716"/>
      <c r="H16" s="716"/>
      <c r="I16" s="716"/>
      <c r="J16" s="716"/>
      <c r="K16" s="716"/>
      <c r="L16" s="716"/>
      <c r="M16" s="520"/>
      <c r="N16" s="982"/>
      <c r="O16" s="843"/>
      <c r="P16" s="843"/>
      <c r="Q16" s="843"/>
      <c r="R16" s="843"/>
      <c r="S16" s="843"/>
      <c r="T16" s="843"/>
      <c r="U16" s="843"/>
      <c r="V16" s="843"/>
    </row>
    <row r="17" spans="1:22" ht="16.5" hidden="1" customHeight="1">
      <c r="A17" s="852">
        <v>2019</v>
      </c>
      <c r="B17" s="523"/>
      <c r="C17" s="716"/>
      <c r="D17" s="716"/>
      <c r="E17" s="716"/>
      <c r="F17" s="716"/>
      <c r="G17" s="716"/>
      <c r="H17" s="716"/>
      <c r="I17" s="716"/>
      <c r="J17" s="716"/>
      <c r="K17" s="716"/>
      <c r="L17" s="716"/>
      <c r="M17" s="520"/>
      <c r="N17" s="982"/>
      <c r="O17" s="843"/>
      <c r="P17" s="843"/>
      <c r="Q17" s="843"/>
      <c r="R17" s="843"/>
      <c r="S17" s="843"/>
      <c r="T17" s="843"/>
      <c r="U17" s="843"/>
      <c r="V17" s="843"/>
    </row>
    <row r="18" spans="1:22" ht="16.5" hidden="1" customHeight="1">
      <c r="A18" s="852">
        <v>2020</v>
      </c>
      <c r="B18" s="523"/>
      <c r="C18" s="716"/>
      <c r="D18" s="716"/>
      <c r="E18" s="716"/>
      <c r="F18" s="716"/>
      <c r="G18" s="716"/>
      <c r="H18" s="716"/>
      <c r="I18" s="716"/>
      <c r="J18" s="716"/>
      <c r="K18" s="716"/>
      <c r="L18" s="716"/>
      <c r="M18" s="520"/>
      <c r="N18" s="982"/>
      <c r="O18" s="843"/>
      <c r="P18" s="843"/>
      <c r="Q18" s="843"/>
      <c r="R18" s="843"/>
      <c r="S18" s="843"/>
      <c r="T18" s="843"/>
      <c r="U18" s="843"/>
      <c r="V18" s="843"/>
    </row>
    <row r="19" spans="1:22" ht="20.25" customHeight="1">
      <c r="A19" s="852">
        <v>2021</v>
      </c>
      <c r="B19" s="523"/>
      <c r="C19" s="716">
        <v>31978</v>
      </c>
      <c r="D19" s="716">
        <v>11171</v>
      </c>
      <c r="E19" s="716">
        <v>6485</v>
      </c>
      <c r="F19" s="716">
        <v>3022</v>
      </c>
      <c r="G19" s="716">
        <v>105831</v>
      </c>
      <c r="H19" s="716">
        <v>27275</v>
      </c>
      <c r="I19" s="716">
        <v>3642</v>
      </c>
      <c r="J19" s="716">
        <v>6274</v>
      </c>
      <c r="K19" s="716">
        <v>0</v>
      </c>
      <c r="L19" s="716">
        <v>0</v>
      </c>
      <c r="M19" s="520">
        <v>195678</v>
      </c>
      <c r="N19" s="982"/>
      <c r="O19" s="843"/>
      <c r="P19" s="843"/>
      <c r="Q19" s="843"/>
      <c r="R19" s="843"/>
      <c r="S19" s="843"/>
      <c r="T19" s="843"/>
      <c r="U19" s="843"/>
      <c r="V19" s="843"/>
    </row>
    <row r="20" spans="1:22" ht="20.25" customHeight="1">
      <c r="A20" s="852">
        <v>2022</v>
      </c>
      <c r="B20" s="523"/>
      <c r="C20" s="716">
        <v>62994</v>
      </c>
      <c r="D20" s="716">
        <v>2600</v>
      </c>
      <c r="E20" s="716">
        <v>2328</v>
      </c>
      <c r="F20" s="716">
        <v>1727</v>
      </c>
      <c r="G20" s="716">
        <v>77046</v>
      </c>
      <c r="H20" s="716">
        <v>12278</v>
      </c>
      <c r="I20" s="716">
        <v>1582</v>
      </c>
      <c r="J20" s="716">
        <v>1913</v>
      </c>
      <c r="K20" s="716">
        <v>7321</v>
      </c>
      <c r="L20" s="716">
        <v>0</v>
      </c>
      <c r="M20" s="520">
        <v>169789</v>
      </c>
      <c r="N20" s="982"/>
      <c r="O20" s="843"/>
      <c r="P20" s="843"/>
      <c r="Q20" s="843"/>
      <c r="R20" s="843"/>
      <c r="S20" s="843"/>
      <c r="T20" s="843"/>
      <c r="U20" s="843"/>
      <c r="V20" s="843"/>
    </row>
    <row r="21" spans="1:22" ht="20.25" customHeight="1">
      <c r="A21" s="852">
        <v>2023</v>
      </c>
      <c r="B21" s="523"/>
      <c r="C21" s="716">
        <v>72832</v>
      </c>
      <c r="D21" s="716">
        <v>3977</v>
      </c>
      <c r="E21" s="716">
        <v>3621</v>
      </c>
      <c r="F21" s="716">
        <v>482</v>
      </c>
      <c r="G21" s="716">
        <v>97308</v>
      </c>
      <c r="H21" s="716">
        <v>12823</v>
      </c>
      <c r="I21" s="716">
        <v>1674</v>
      </c>
      <c r="J21" s="716">
        <v>1913</v>
      </c>
      <c r="K21" s="716">
        <v>15609</v>
      </c>
      <c r="L21" s="716">
        <v>0</v>
      </c>
      <c r="M21" s="520">
        <v>210239</v>
      </c>
      <c r="N21" s="982"/>
      <c r="O21" s="843"/>
      <c r="P21" s="843"/>
      <c r="Q21" s="843"/>
      <c r="R21" s="843"/>
      <c r="S21" s="843"/>
      <c r="T21" s="843"/>
      <c r="U21" s="843"/>
      <c r="V21" s="843"/>
    </row>
    <row r="22" spans="1:22" ht="20.25" customHeight="1">
      <c r="A22" s="983">
        <v>2024</v>
      </c>
      <c r="B22" s="757"/>
      <c r="C22" s="773">
        <f t="shared" ref="C22:L22" si="0">SUM(C24:C27)</f>
        <v>62089</v>
      </c>
      <c r="D22" s="773">
        <f t="shared" si="0"/>
        <v>2296</v>
      </c>
      <c r="E22" s="773">
        <f t="shared" si="0"/>
        <v>5149</v>
      </c>
      <c r="F22" s="773">
        <f t="shared" si="0"/>
        <v>1057</v>
      </c>
      <c r="G22" s="773">
        <f t="shared" si="0"/>
        <v>211400</v>
      </c>
      <c r="H22" s="773">
        <f t="shared" si="0"/>
        <v>8757</v>
      </c>
      <c r="I22" s="773">
        <f t="shared" si="0"/>
        <v>11495</v>
      </c>
      <c r="J22" s="773">
        <f t="shared" si="0"/>
        <v>6308</v>
      </c>
      <c r="K22" s="773">
        <f t="shared" si="0"/>
        <v>11248</v>
      </c>
      <c r="L22" s="773">
        <f t="shared" si="0"/>
        <v>0</v>
      </c>
      <c r="M22" s="984">
        <f t="shared" ref="M22" si="1">SUM(C22:L22)</f>
        <v>319799</v>
      </c>
      <c r="N22" s="982"/>
      <c r="O22" s="843"/>
      <c r="P22" s="843"/>
      <c r="Q22" s="843"/>
      <c r="R22" s="843"/>
      <c r="S22" s="843"/>
      <c r="T22" s="843"/>
      <c r="U22" s="843"/>
      <c r="V22" s="843"/>
    </row>
    <row r="23" spans="1:22" ht="21" customHeight="1">
      <c r="A23" s="852">
        <v>2023</v>
      </c>
      <c r="B23" s="523" t="s">
        <v>238</v>
      </c>
      <c r="C23" s="716">
        <v>12872</v>
      </c>
      <c r="D23" s="716">
        <v>687</v>
      </c>
      <c r="E23" s="716">
        <v>617</v>
      </c>
      <c r="F23" s="716">
        <v>48</v>
      </c>
      <c r="G23" s="716">
        <v>31347</v>
      </c>
      <c r="H23" s="716">
        <v>2216</v>
      </c>
      <c r="I23" s="716">
        <v>249</v>
      </c>
      <c r="J23" s="716">
        <v>0</v>
      </c>
      <c r="K23" s="716">
        <v>2177</v>
      </c>
      <c r="L23" s="716">
        <v>0</v>
      </c>
      <c r="M23" s="520">
        <v>50213</v>
      </c>
      <c r="N23" s="982"/>
      <c r="O23" s="843"/>
      <c r="P23" s="843"/>
      <c r="Q23" s="843"/>
      <c r="R23" s="843"/>
      <c r="S23" s="843"/>
      <c r="T23" s="843"/>
      <c r="U23" s="843"/>
      <c r="V23" s="843"/>
    </row>
    <row r="24" spans="1:22" ht="21" customHeight="1">
      <c r="A24" s="852">
        <v>2024</v>
      </c>
      <c r="B24" s="523" t="s">
        <v>239</v>
      </c>
      <c r="C24" s="716">
        <v>25280</v>
      </c>
      <c r="D24" s="716">
        <v>910</v>
      </c>
      <c r="E24" s="716">
        <v>553</v>
      </c>
      <c r="F24" s="716">
        <v>145</v>
      </c>
      <c r="G24" s="716">
        <v>52127</v>
      </c>
      <c r="H24" s="716">
        <v>2611</v>
      </c>
      <c r="I24" s="716">
        <v>343</v>
      </c>
      <c r="J24" s="716">
        <v>0</v>
      </c>
      <c r="K24" s="716">
        <v>2998</v>
      </c>
      <c r="L24" s="716">
        <v>0</v>
      </c>
      <c r="M24" s="520">
        <v>84967</v>
      </c>
      <c r="N24" s="1252"/>
      <c r="O24" s="927"/>
      <c r="P24" s="843"/>
      <c r="Q24" s="843"/>
      <c r="R24" s="843"/>
      <c r="S24" s="843"/>
      <c r="T24" s="843"/>
      <c r="U24" s="843"/>
      <c r="V24" s="843"/>
    </row>
    <row r="25" spans="1:22" ht="15" customHeight="1">
      <c r="A25" s="852"/>
      <c r="B25" s="523" t="s">
        <v>240</v>
      </c>
      <c r="C25" s="716">
        <v>8285</v>
      </c>
      <c r="D25" s="716">
        <v>346</v>
      </c>
      <c r="E25" s="716">
        <v>588</v>
      </c>
      <c r="F25" s="716">
        <v>440</v>
      </c>
      <c r="G25" s="716">
        <v>46930</v>
      </c>
      <c r="H25" s="716">
        <v>2132</v>
      </c>
      <c r="I25" s="716">
        <v>9637</v>
      </c>
      <c r="J25" s="716">
        <v>0</v>
      </c>
      <c r="K25" s="716">
        <v>3995</v>
      </c>
      <c r="L25" s="716">
        <v>0</v>
      </c>
      <c r="M25" s="520">
        <v>72353</v>
      </c>
      <c r="N25" s="1252"/>
      <c r="O25" s="927"/>
      <c r="P25" s="843"/>
      <c r="Q25" s="843"/>
      <c r="R25" s="843"/>
      <c r="S25" s="843"/>
      <c r="T25" s="843"/>
      <c r="U25" s="843"/>
      <c r="V25" s="843"/>
    </row>
    <row r="26" spans="1:22" ht="15" customHeight="1">
      <c r="A26" s="852"/>
      <c r="B26" s="523" t="s">
        <v>237</v>
      </c>
      <c r="C26" s="716">
        <v>16348</v>
      </c>
      <c r="D26" s="716">
        <v>140</v>
      </c>
      <c r="E26" s="716">
        <v>3429</v>
      </c>
      <c r="F26" s="716">
        <v>94</v>
      </c>
      <c r="G26" s="716">
        <v>86401</v>
      </c>
      <c r="H26" s="716">
        <v>2127</v>
      </c>
      <c r="I26" s="716">
        <v>1085</v>
      </c>
      <c r="J26" s="716">
        <v>6308</v>
      </c>
      <c r="K26" s="716">
        <v>1711</v>
      </c>
      <c r="L26" s="716">
        <v>0</v>
      </c>
      <c r="M26" s="520">
        <v>117643</v>
      </c>
      <c r="N26" s="1252"/>
      <c r="O26" s="927"/>
      <c r="P26" s="843"/>
      <c r="Q26" s="843"/>
      <c r="R26" s="843"/>
      <c r="S26" s="843"/>
      <c r="T26" s="843"/>
      <c r="U26" s="843"/>
      <c r="V26" s="843"/>
    </row>
    <row r="27" spans="1:22" ht="15" customHeight="1">
      <c r="A27" s="852"/>
      <c r="B27" s="523" t="s">
        <v>238</v>
      </c>
      <c r="C27" s="716">
        <v>12176</v>
      </c>
      <c r="D27" s="716">
        <v>900</v>
      </c>
      <c r="E27" s="716">
        <v>579</v>
      </c>
      <c r="F27" s="716">
        <v>378</v>
      </c>
      <c r="G27" s="716">
        <v>25942</v>
      </c>
      <c r="H27" s="716">
        <v>1887</v>
      </c>
      <c r="I27" s="716">
        <v>430</v>
      </c>
      <c r="J27" s="716">
        <v>0</v>
      </c>
      <c r="K27" s="716">
        <v>2544</v>
      </c>
      <c r="L27" s="716">
        <v>0</v>
      </c>
      <c r="M27" s="520">
        <v>44836</v>
      </c>
      <c r="N27" s="1252"/>
      <c r="O27" s="927"/>
      <c r="P27" s="843"/>
      <c r="Q27" s="843"/>
      <c r="R27" s="843"/>
      <c r="S27" s="843"/>
      <c r="T27" s="843"/>
      <c r="U27" s="843"/>
      <c r="V27" s="843"/>
    </row>
    <row r="28" spans="1:22" ht="21" customHeight="1">
      <c r="A28" s="852">
        <v>2025</v>
      </c>
      <c r="B28" s="523" t="s">
        <v>239</v>
      </c>
      <c r="C28" s="716">
        <f t="shared" ref="C28:M28" si="2">SUM(C34:C36)</f>
        <v>369447</v>
      </c>
      <c r="D28" s="716">
        <f t="shared" si="2"/>
        <v>1046</v>
      </c>
      <c r="E28" s="716">
        <f t="shared" si="2"/>
        <v>764</v>
      </c>
      <c r="F28" s="716">
        <f t="shared" si="2"/>
        <v>265</v>
      </c>
      <c r="G28" s="716">
        <f t="shared" si="2"/>
        <v>41509</v>
      </c>
      <c r="H28" s="716">
        <f t="shared" si="2"/>
        <v>3306</v>
      </c>
      <c r="I28" s="716">
        <f t="shared" si="2"/>
        <v>457</v>
      </c>
      <c r="J28" s="716">
        <f t="shared" si="2"/>
        <v>0</v>
      </c>
      <c r="K28" s="716">
        <f t="shared" si="2"/>
        <v>1476</v>
      </c>
      <c r="L28" s="716">
        <f t="shared" si="2"/>
        <v>0</v>
      </c>
      <c r="M28" s="520">
        <f t="shared" si="2"/>
        <v>418270</v>
      </c>
      <c r="N28" s="1252"/>
      <c r="O28" s="927"/>
      <c r="P28" s="843"/>
      <c r="Q28" s="843"/>
      <c r="R28" s="843"/>
      <c r="S28" s="843"/>
      <c r="T28" s="843"/>
      <c r="U28" s="843"/>
      <c r="V28" s="843"/>
    </row>
    <row r="29" spans="1:22" ht="15" customHeight="1">
      <c r="A29" s="852"/>
      <c r="B29" s="523" t="s">
        <v>240</v>
      </c>
      <c r="C29" s="716">
        <f t="shared" ref="C29:M29" si="3">SUM(C37:C39)</f>
        <v>4300</v>
      </c>
      <c r="D29" s="716">
        <f t="shared" si="3"/>
        <v>411</v>
      </c>
      <c r="E29" s="716">
        <f t="shared" si="3"/>
        <v>1099</v>
      </c>
      <c r="F29" s="716">
        <f t="shared" si="3"/>
        <v>208</v>
      </c>
      <c r="G29" s="716">
        <f t="shared" si="3"/>
        <v>24597</v>
      </c>
      <c r="H29" s="716">
        <f t="shared" si="3"/>
        <v>4396</v>
      </c>
      <c r="I29" s="716">
        <f t="shared" si="3"/>
        <v>12758</v>
      </c>
      <c r="J29" s="716">
        <f t="shared" si="3"/>
        <v>0</v>
      </c>
      <c r="K29" s="716">
        <f t="shared" si="3"/>
        <v>3021</v>
      </c>
      <c r="L29" s="716">
        <f t="shared" si="3"/>
        <v>0</v>
      </c>
      <c r="M29" s="520">
        <f t="shared" si="3"/>
        <v>50790</v>
      </c>
      <c r="N29" s="1252"/>
      <c r="O29" s="927"/>
      <c r="P29" s="843"/>
      <c r="Q29" s="843"/>
      <c r="R29" s="843"/>
      <c r="S29" s="843"/>
      <c r="T29" s="843"/>
      <c r="U29" s="843"/>
      <c r="V29" s="843"/>
    </row>
    <row r="30" spans="1:22" ht="15" customHeight="1">
      <c r="A30" s="983"/>
      <c r="B30" s="757" t="s">
        <v>237</v>
      </c>
      <c r="C30" s="773">
        <f t="shared" ref="C30:M30" si="4">SUM(C40:C42)</f>
        <v>6607</v>
      </c>
      <c r="D30" s="773">
        <f t="shared" si="4"/>
        <v>456</v>
      </c>
      <c r="E30" s="773">
        <f t="shared" si="4"/>
        <v>1885</v>
      </c>
      <c r="F30" s="773">
        <f t="shared" si="4"/>
        <v>949</v>
      </c>
      <c r="G30" s="773">
        <f t="shared" si="4"/>
        <v>32686</v>
      </c>
      <c r="H30" s="773">
        <f t="shared" si="4"/>
        <v>5806</v>
      </c>
      <c r="I30" s="773">
        <f t="shared" si="4"/>
        <v>487</v>
      </c>
      <c r="J30" s="773">
        <f t="shared" si="4"/>
        <v>0</v>
      </c>
      <c r="K30" s="773">
        <f t="shared" si="4"/>
        <v>3224</v>
      </c>
      <c r="L30" s="773">
        <f t="shared" si="4"/>
        <v>0</v>
      </c>
      <c r="M30" s="984">
        <f t="shared" si="4"/>
        <v>52100</v>
      </c>
      <c r="N30" s="1252"/>
      <c r="O30" s="927"/>
      <c r="P30" s="843"/>
      <c r="Q30" s="843"/>
      <c r="R30" s="843"/>
      <c r="S30" s="843"/>
      <c r="T30" s="843"/>
      <c r="U30" s="843"/>
      <c r="V30" s="843"/>
    </row>
    <row r="31" spans="1:22" s="843" customFormat="1" ht="21" customHeight="1">
      <c r="A31" s="852">
        <v>2024</v>
      </c>
      <c r="B31" s="853" t="s">
        <v>412</v>
      </c>
      <c r="C31" s="716">
        <v>4735</v>
      </c>
      <c r="D31" s="716">
        <v>30</v>
      </c>
      <c r="E31" s="716">
        <v>197</v>
      </c>
      <c r="F31" s="716">
        <v>12</v>
      </c>
      <c r="G31" s="520">
        <v>3718</v>
      </c>
      <c r="H31" s="716">
        <v>565</v>
      </c>
      <c r="I31" s="716">
        <v>83</v>
      </c>
      <c r="J31" s="716">
        <v>0</v>
      </c>
      <c r="K31" s="716">
        <v>601</v>
      </c>
      <c r="L31" s="716">
        <v>0</v>
      </c>
      <c r="M31" s="716">
        <v>9941</v>
      </c>
      <c r="N31" s="927"/>
      <c r="O31" s="927"/>
    </row>
    <row r="32" spans="1:22" s="843" customFormat="1" ht="16.5" customHeight="1">
      <c r="A32" s="852"/>
      <c r="B32" s="853" t="s">
        <v>413</v>
      </c>
      <c r="C32" s="716">
        <v>3286</v>
      </c>
      <c r="D32" s="716">
        <v>437</v>
      </c>
      <c r="E32" s="716">
        <v>122</v>
      </c>
      <c r="F32" s="716">
        <v>146</v>
      </c>
      <c r="G32" s="716">
        <v>19265</v>
      </c>
      <c r="H32" s="716">
        <v>621</v>
      </c>
      <c r="I32" s="716">
        <v>243</v>
      </c>
      <c r="J32" s="716">
        <v>0</v>
      </c>
      <c r="K32" s="716">
        <v>1223</v>
      </c>
      <c r="L32" s="716">
        <v>0</v>
      </c>
      <c r="M32" s="716">
        <f t="shared" ref="M32" si="5">SUM(C32:L32)</f>
        <v>25343</v>
      </c>
      <c r="N32" s="927"/>
      <c r="O32" s="927"/>
    </row>
    <row r="33" spans="1:15" s="843" customFormat="1" ht="16.5" customHeight="1">
      <c r="A33" s="852"/>
      <c r="B33" s="853" t="s">
        <v>414</v>
      </c>
      <c r="C33" s="716">
        <v>4155</v>
      </c>
      <c r="D33" s="716">
        <v>433</v>
      </c>
      <c r="E33" s="716">
        <v>260</v>
      </c>
      <c r="F33" s="716">
        <v>220</v>
      </c>
      <c r="G33" s="716">
        <v>2959</v>
      </c>
      <c r="H33" s="716">
        <v>701</v>
      </c>
      <c r="I33" s="716">
        <v>104</v>
      </c>
      <c r="J33" s="716">
        <v>0</v>
      </c>
      <c r="K33" s="716">
        <v>720</v>
      </c>
      <c r="L33" s="716">
        <v>0</v>
      </c>
      <c r="M33" s="716">
        <f t="shared" ref="M33" si="6">SUM(C33:L33)</f>
        <v>9552</v>
      </c>
      <c r="N33" s="927"/>
      <c r="O33" s="927"/>
    </row>
    <row r="34" spans="1:15" s="843" customFormat="1" ht="21" customHeight="1">
      <c r="A34" s="852">
        <v>2025</v>
      </c>
      <c r="B34" s="853" t="s">
        <v>415</v>
      </c>
      <c r="C34" s="716">
        <v>1762</v>
      </c>
      <c r="D34" s="716">
        <v>117</v>
      </c>
      <c r="E34" s="716">
        <v>200</v>
      </c>
      <c r="F34" s="716">
        <v>85</v>
      </c>
      <c r="G34" s="520">
        <v>2017</v>
      </c>
      <c r="H34" s="716">
        <v>866</v>
      </c>
      <c r="I34" s="716">
        <v>131</v>
      </c>
      <c r="J34" s="716">
        <v>0</v>
      </c>
      <c r="K34" s="716">
        <v>296</v>
      </c>
      <c r="L34" s="716">
        <v>0</v>
      </c>
      <c r="M34" s="716">
        <f t="shared" ref="M34" si="7">SUM(C34:L34)</f>
        <v>5474</v>
      </c>
      <c r="N34" s="927"/>
      <c r="O34" s="927"/>
    </row>
    <row r="35" spans="1:15" s="843" customFormat="1" ht="17.25" customHeight="1">
      <c r="A35" s="852"/>
      <c r="B35" s="853" t="s">
        <v>416</v>
      </c>
      <c r="C35" s="716">
        <v>364918</v>
      </c>
      <c r="D35" s="716">
        <v>583</v>
      </c>
      <c r="E35" s="716">
        <v>497</v>
      </c>
      <c r="F35" s="716">
        <v>66</v>
      </c>
      <c r="G35" s="520">
        <v>14406</v>
      </c>
      <c r="H35" s="716">
        <v>772</v>
      </c>
      <c r="I35" s="716">
        <v>255</v>
      </c>
      <c r="J35" s="716">
        <v>0</v>
      </c>
      <c r="K35" s="716">
        <v>1025</v>
      </c>
      <c r="L35" s="716">
        <v>0</v>
      </c>
      <c r="M35" s="716">
        <f t="shared" ref="M35" si="8">SUM(C35:L35)</f>
        <v>382522</v>
      </c>
      <c r="N35" s="927"/>
      <c r="O35" s="927"/>
    </row>
    <row r="36" spans="1:15" s="843" customFormat="1" ht="17.25" customHeight="1">
      <c r="A36" s="852"/>
      <c r="B36" s="853" t="s">
        <v>417</v>
      </c>
      <c r="C36" s="716">
        <v>2767</v>
      </c>
      <c r="D36" s="716">
        <v>346</v>
      </c>
      <c r="E36" s="716">
        <v>67</v>
      </c>
      <c r="F36" s="716">
        <v>114</v>
      </c>
      <c r="G36" s="520">
        <v>25086</v>
      </c>
      <c r="H36" s="716">
        <v>1668</v>
      </c>
      <c r="I36" s="716">
        <v>71</v>
      </c>
      <c r="J36" s="716">
        <v>0</v>
      </c>
      <c r="K36" s="716">
        <v>155</v>
      </c>
      <c r="L36" s="716">
        <v>0</v>
      </c>
      <c r="M36" s="716">
        <f t="shared" ref="M36" si="9">SUM(C36:L36)</f>
        <v>30274</v>
      </c>
      <c r="N36" s="927"/>
      <c r="O36" s="927"/>
    </row>
    <row r="37" spans="1:15" s="843" customFormat="1" ht="17.25" customHeight="1">
      <c r="A37" s="852"/>
      <c r="B37" s="853" t="s">
        <v>418</v>
      </c>
      <c r="C37" s="716">
        <v>1523</v>
      </c>
      <c r="D37" s="716">
        <v>189</v>
      </c>
      <c r="E37" s="716">
        <v>99</v>
      </c>
      <c r="F37" s="716">
        <v>72</v>
      </c>
      <c r="G37" s="520">
        <v>4042</v>
      </c>
      <c r="H37" s="716">
        <v>1303</v>
      </c>
      <c r="I37" s="716">
        <v>168</v>
      </c>
      <c r="J37" s="716">
        <v>0</v>
      </c>
      <c r="K37" s="716">
        <v>947</v>
      </c>
      <c r="L37" s="716">
        <v>0</v>
      </c>
      <c r="M37" s="716">
        <f t="shared" ref="M37" si="10">SUM(C37:L37)</f>
        <v>8343</v>
      </c>
      <c r="N37" s="927"/>
      <c r="O37" s="927"/>
    </row>
    <row r="38" spans="1:15" s="843" customFormat="1" ht="17.25" customHeight="1">
      <c r="A38" s="852"/>
      <c r="B38" s="853" t="s">
        <v>419</v>
      </c>
      <c r="C38" s="716">
        <v>1732</v>
      </c>
      <c r="D38" s="716">
        <v>117</v>
      </c>
      <c r="E38" s="716">
        <v>285</v>
      </c>
      <c r="F38" s="716">
        <v>123</v>
      </c>
      <c r="G38" s="520">
        <v>6225</v>
      </c>
      <c r="H38" s="716">
        <v>1767</v>
      </c>
      <c r="I38" s="716">
        <v>12385</v>
      </c>
      <c r="J38" s="716">
        <v>0</v>
      </c>
      <c r="K38" s="716">
        <v>1584</v>
      </c>
      <c r="L38" s="716">
        <v>0</v>
      </c>
      <c r="M38" s="716">
        <f t="shared" ref="M38" si="11">SUM(C38:L38)</f>
        <v>24218</v>
      </c>
      <c r="N38" s="927"/>
      <c r="O38" s="927"/>
    </row>
    <row r="39" spans="1:15" s="843" customFormat="1" ht="17.25" customHeight="1">
      <c r="A39" s="852"/>
      <c r="B39" s="853" t="s">
        <v>420</v>
      </c>
      <c r="C39" s="716">
        <v>1045</v>
      </c>
      <c r="D39" s="716">
        <v>105</v>
      </c>
      <c r="E39" s="716">
        <v>715</v>
      </c>
      <c r="F39" s="716">
        <v>13</v>
      </c>
      <c r="G39" s="520">
        <v>14330</v>
      </c>
      <c r="H39" s="716">
        <v>1326</v>
      </c>
      <c r="I39" s="716">
        <v>205</v>
      </c>
      <c r="J39" s="716">
        <v>0</v>
      </c>
      <c r="K39" s="716">
        <v>490</v>
      </c>
      <c r="L39" s="716">
        <v>0</v>
      </c>
      <c r="M39" s="716">
        <f t="shared" ref="M39" si="12">SUM(C39:L39)</f>
        <v>18229</v>
      </c>
      <c r="N39" s="927"/>
      <c r="O39" s="927"/>
    </row>
    <row r="40" spans="1:15" s="843" customFormat="1" ht="17.25" customHeight="1">
      <c r="A40" s="852"/>
      <c r="B40" s="853" t="s">
        <v>421</v>
      </c>
      <c r="C40" s="716">
        <v>1635</v>
      </c>
      <c r="D40" s="716">
        <v>132</v>
      </c>
      <c r="E40" s="716">
        <v>553</v>
      </c>
      <c r="F40" s="716">
        <v>134</v>
      </c>
      <c r="G40" s="520">
        <v>21804</v>
      </c>
      <c r="H40" s="716">
        <v>2152</v>
      </c>
      <c r="I40" s="716">
        <v>198</v>
      </c>
      <c r="J40" s="716">
        <v>0</v>
      </c>
      <c r="K40" s="716">
        <v>2243</v>
      </c>
      <c r="L40" s="716">
        <v>0</v>
      </c>
      <c r="M40" s="716">
        <f t="shared" ref="M40" si="13">SUM(C40:L40)</f>
        <v>28851</v>
      </c>
      <c r="N40" s="927"/>
      <c r="O40" s="927"/>
    </row>
    <row r="41" spans="1:15" s="843" customFormat="1" ht="17.25" customHeight="1">
      <c r="A41" s="852"/>
      <c r="B41" s="853" t="s">
        <v>422</v>
      </c>
      <c r="C41" s="716">
        <v>2267</v>
      </c>
      <c r="D41" s="716">
        <v>144</v>
      </c>
      <c r="E41" s="716">
        <v>48</v>
      </c>
      <c r="F41" s="716">
        <v>124</v>
      </c>
      <c r="G41" s="520">
        <v>3996</v>
      </c>
      <c r="H41" s="716">
        <v>1796</v>
      </c>
      <c r="I41" s="716">
        <v>78</v>
      </c>
      <c r="J41" s="716">
        <v>0</v>
      </c>
      <c r="K41" s="716">
        <v>250</v>
      </c>
      <c r="L41" s="716">
        <v>0</v>
      </c>
      <c r="M41" s="716">
        <f t="shared" ref="M41" si="14">SUM(C41:L41)</f>
        <v>8703</v>
      </c>
      <c r="N41" s="927"/>
      <c r="O41" s="927"/>
    </row>
    <row r="42" spans="1:15" s="843" customFormat="1" ht="17.25" customHeight="1">
      <c r="A42" s="852"/>
      <c r="B42" s="853" t="s">
        <v>423</v>
      </c>
      <c r="C42" s="716">
        <v>2705</v>
      </c>
      <c r="D42" s="716">
        <v>180</v>
      </c>
      <c r="E42" s="716">
        <v>1284</v>
      </c>
      <c r="F42" s="716">
        <v>691</v>
      </c>
      <c r="G42" s="520">
        <v>6886</v>
      </c>
      <c r="H42" s="716">
        <v>1858</v>
      </c>
      <c r="I42" s="716">
        <v>211</v>
      </c>
      <c r="J42" s="716">
        <v>0</v>
      </c>
      <c r="K42" s="716">
        <v>731</v>
      </c>
      <c r="L42" s="716">
        <v>0</v>
      </c>
      <c r="M42" s="716">
        <f t="shared" ref="M42" si="15">SUM(C42:L42)</f>
        <v>14546</v>
      </c>
      <c r="N42" s="927"/>
      <c r="O42" s="927"/>
    </row>
    <row r="43" spans="1:15" s="843" customFormat="1" ht="17.25" customHeight="1">
      <c r="A43" s="852"/>
      <c r="B43" s="853" t="s">
        <v>412</v>
      </c>
      <c r="C43" s="716">
        <v>5135</v>
      </c>
      <c r="D43" s="716">
        <v>206</v>
      </c>
      <c r="E43" s="716">
        <v>155</v>
      </c>
      <c r="F43" s="716">
        <v>639</v>
      </c>
      <c r="G43" s="716">
        <v>27947</v>
      </c>
      <c r="H43" s="716">
        <v>1817</v>
      </c>
      <c r="I43" s="716">
        <v>79</v>
      </c>
      <c r="J43" s="716">
        <v>0</v>
      </c>
      <c r="K43" s="716">
        <v>138</v>
      </c>
      <c r="L43" s="716">
        <v>0</v>
      </c>
      <c r="M43" s="716">
        <f t="shared" ref="M43" si="16">SUM(C43:L43)</f>
        <v>36116</v>
      </c>
      <c r="N43" s="927"/>
      <c r="O43" s="927"/>
    </row>
    <row r="44" spans="1:15" ht="20.25" customHeight="1">
      <c r="A44" s="524" t="s">
        <v>1618</v>
      </c>
      <c r="B44" s="462"/>
      <c r="C44" s="462"/>
      <c r="D44" s="462"/>
      <c r="E44" s="462"/>
      <c r="F44" s="462"/>
      <c r="G44" s="462"/>
      <c r="H44" s="462"/>
      <c r="I44" s="462"/>
      <c r="J44" s="462"/>
      <c r="K44" s="462"/>
      <c r="L44" s="462"/>
      <c r="M44" s="525" t="s">
        <v>1619</v>
      </c>
    </row>
    <row r="45" spans="1:15" hidden="1">
      <c r="A45" s="526" t="s">
        <v>1651</v>
      </c>
      <c r="M45" s="931" t="s">
        <v>1652</v>
      </c>
    </row>
    <row r="46" spans="1:15" hidden="1">
      <c r="A46" s="526" t="s">
        <v>1653</v>
      </c>
      <c r="M46" s="527" t="s">
        <v>1654</v>
      </c>
    </row>
    <row r="47" spans="1:15">
      <c r="A47" s="526" t="s">
        <v>1620</v>
      </c>
      <c r="M47" s="527" t="s">
        <v>1621</v>
      </c>
    </row>
    <row r="48" spans="1:15">
      <c r="A48" s="444"/>
      <c r="B48" s="444"/>
      <c r="C48" s="444"/>
      <c r="D48" s="444"/>
      <c r="E48" s="444"/>
      <c r="F48" s="444"/>
      <c r="G48" s="444"/>
      <c r="H48" s="444"/>
      <c r="I48" s="444"/>
      <c r="J48" s="444"/>
      <c r="K48" s="444"/>
      <c r="L48" s="444"/>
      <c r="M48" s="444"/>
    </row>
    <row r="49" spans="1:13">
      <c r="A49" s="444" t="s">
        <v>1655</v>
      </c>
      <c r="B49" s="444"/>
      <c r="C49" s="444"/>
      <c r="D49" s="444"/>
      <c r="E49" s="444"/>
      <c r="F49" s="444"/>
      <c r="G49" s="444"/>
      <c r="H49" s="444"/>
      <c r="I49" s="444"/>
      <c r="J49" s="444"/>
      <c r="K49" s="444"/>
      <c r="L49" s="444"/>
      <c r="M49" s="444"/>
    </row>
    <row r="62" spans="1:13">
      <c r="A62" s="528"/>
      <c r="B62" s="528"/>
    </row>
    <row r="63" spans="1:13">
      <c r="A63" s="528"/>
      <c r="B63" s="528"/>
    </row>
    <row r="64" spans="1:13">
      <c r="A64" s="528"/>
      <c r="B64" s="528"/>
    </row>
    <row r="65" spans="1:2">
      <c r="A65" s="528"/>
      <c r="B65" s="528"/>
    </row>
    <row r="66" spans="1:2">
      <c r="A66" s="528"/>
      <c r="B66" s="528"/>
    </row>
    <row r="67" spans="1:2">
      <c r="A67" s="528"/>
      <c r="B67" s="528"/>
    </row>
  </sheetData>
  <printOptions horizontalCentered="1" verticalCentered="1"/>
  <pageMargins left="0" right="0" top="0" bottom="0"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tabSelected="1" zoomScale="80" zoomScaleNormal="80" workbookViewId="0">
      <pane ySplit="12" topLeftCell="A17" activePane="bottomLeft" state="frozen"/>
      <selection activeCell="N29" sqref="N29"/>
      <selection pane="bottomLeft" activeCell="N29" sqref="N29"/>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74" customFormat="1" ht="18">
      <c r="A1" s="16" t="s">
        <v>453</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 customHeight="1">
      <c r="A4" s="876"/>
      <c r="D4" s="5"/>
      <c r="E4" s="5"/>
    </row>
    <row r="5" spans="1:14" s="26" customFormat="1" ht="16.5" customHeight="1">
      <c r="A5" s="18" t="s">
        <v>369</v>
      </c>
      <c r="C5" s="877"/>
      <c r="D5" s="878"/>
      <c r="E5" s="878"/>
      <c r="F5" s="33"/>
      <c r="G5" s="879"/>
      <c r="H5" s="879"/>
      <c r="I5" s="879"/>
      <c r="J5" s="21"/>
      <c r="K5" s="21" t="s">
        <v>370</v>
      </c>
    </row>
    <row r="6" spans="1:14" s="39" customFormat="1" ht="17.45" customHeight="1">
      <c r="A6" s="880"/>
      <c r="B6" s="881"/>
      <c r="C6" s="882"/>
      <c r="D6" s="883" t="s">
        <v>454</v>
      </c>
      <c r="E6" s="883"/>
      <c r="F6" s="884"/>
      <c r="G6" s="885" t="s">
        <v>455</v>
      </c>
      <c r="H6" s="94"/>
      <c r="I6" s="72"/>
      <c r="J6" s="72" t="s">
        <v>9</v>
      </c>
      <c r="K6" s="72"/>
    </row>
    <row r="7" spans="1:14" s="39" customFormat="1" ht="17.45" customHeight="1">
      <c r="A7" s="24"/>
      <c r="B7" s="74"/>
      <c r="C7" s="79" t="s">
        <v>426</v>
      </c>
      <c r="D7" s="123" t="s">
        <v>456</v>
      </c>
      <c r="E7" s="123"/>
      <c r="F7" s="886" t="s">
        <v>457</v>
      </c>
      <c r="G7" s="887"/>
      <c r="H7" s="95" t="s">
        <v>9</v>
      </c>
      <c r="I7" s="79" t="s">
        <v>9</v>
      </c>
      <c r="J7" s="79" t="s">
        <v>458</v>
      </c>
      <c r="K7" s="79" t="s">
        <v>459</v>
      </c>
    </row>
    <row r="8" spans="1:14" s="39" customFormat="1" ht="17.45" customHeight="1">
      <c r="A8" s="24" t="s">
        <v>379</v>
      </c>
      <c r="B8" s="74"/>
      <c r="C8" s="79" t="s">
        <v>433</v>
      </c>
      <c r="D8" s="1886" t="s">
        <v>460</v>
      </c>
      <c r="E8" s="1887"/>
      <c r="F8" s="78" t="s">
        <v>461</v>
      </c>
      <c r="G8" s="888" t="s">
        <v>391</v>
      </c>
      <c r="H8" s="95" t="s">
        <v>462</v>
      </c>
      <c r="I8" s="95" t="s">
        <v>458</v>
      </c>
      <c r="J8" s="918" t="s">
        <v>463</v>
      </c>
      <c r="K8" s="95" t="s">
        <v>464</v>
      </c>
    </row>
    <row r="9" spans="1:14" s="39" customFormat="1" ht="17.45" customHeight="1">
      <c r="A9" s="97" t="s">
        <v>387</v>
      </c>
      <c r="B9" s="74"/>
      <c r="C9" s="64" t="s">
        <v>6</v>
      </c>
      <c r="D9" s="1888" t="s">
        <v>465</v>
      </c>
      <c r="E9" s="1889"/>
      <c r="F9" s="64" t="s">
        <v>466</v>
      </c>
      <c r="G9" s="96" t="s">
        <v>467</v>
      </c>
      <c r="H9" s="63" t="s">
        <v>468</v>
      </c>
      <c r="I9" s="64" t="s">
        <v>469</v>
      </c>
      <c r="J9" s="64" t="s">
        <v>470</v>
      </c>
      <c r="K9" s="64" t="s">
        <v>471</v>
      </c>
    </row>
    <row r="10" spans="1:14" s="34" customFormat="1" ht="17.45" customHeight="1">
      <c r="A10" s="62"/>
      <c r="B10" s="74"/>
      <c r="C10" s="63" t="s">
        <v>472</v>
      </c>
      <c r="D10" s="64" t="s">
        <v>473</v>
      </c>
      <c r="E10" s="64" t="s">
        <v>389</v>
      </c>
      <c r="F10" s="63" t="s">
        <v>474</v>
      </c>
      <c r="G10" s="64" t="s">
        <v>475</v>
      </c>
      <c r="H10" s="889"/>
      <c r="I10" s="889"/>
      <c r="J10" s="919" t="s">
        <v>476</v>
      </c>
      <c r="K10" s="889"/>
    </row>
    <row r="11" spans="1:14" s="34" customFormat="1" ht="17.45" customHeight="1">
      <c r="A11" s="62"/>
      <c r="B11" s="74"/>
      <c r="C11" s="63"/>
      <c r="D11" s="64" t="s">
        <v>147</v>
      </c>
      <c r="E11" s="64" t="s">
        <v>477</v>
      </c>
      <c r="F11" s="63"/>
      <c r="G11" s="64"/>
      <c r="H11" s="889" t="s">
        <v>247</v>
      </c>
      <c r="I11" s="889" t="s">
        <v>250</v>
      </c>
      <c r="J11" s="919" t="s">
        <v>254</v>
      </c>
      <c r="K11" s="889" t="s">
        <v>478</v>
      </c>
    </row>
    <row r="12" spans="1:14" s="34" customFormat="1" ht="17.45" customHeight="1">
      <c r="A12" s="65"/>
      <c r="B12" s="98"/>
      <c r="C12" s="890">
        <v>1</v>
      </c>
      <c r="D12" s="890">
        <v>2</v>
      </c>
      <c r="E12" s="890">
        <v>3</v>
      </c>
      <c r="F12" s="890">
        <v>4</v>
      </c>
      <c r="G12" s="890">
        <v>5</v>
      </c>
      <c r="H12" s="891" t="s">
        <v>479</v>
      </c>
      <c r="I12" s="891" t="s">
        <v>480</v>
      </c>
      <c r="J12" s="891" t="s">
        <v>481</v>
      </c>
      <c r="K12" s="891" t="s">
        <v>482</v>
      </c>
    </row>
    <row r="13" spans="1:14" s="848" customFormat="1" ht="20.25" customHeight="1">
      <c r="A13" s="892">
        <v>2015</v>
      </c>
      <c r="B13" s="893"/>
      <c r="C13" s="677">
        <f>'2'!L13</f>
        <v>525.16340813830004</v>
      </c>
      <c r="D13" s="677">
        <f>'19'!E13</f>
        <v>2082.6586296790001</v>
      </c>
      <c r="E13" s="677">
        <f>'19'!F13</f>
        <v>536.90554462932596</v>
      </c>
      <c r="F13" s="676">
        <f>'1'!M13+'19'!G13+'19'!H13+'19'!I13+'19'!J13</f>
        <v>6568.0611245149748</v>
      </c>
      <c r="G13" s="655">
        <f>'1'!L13+'19'!C13+'19'!D13</f>
        <v>2182.2929144029999</v>
      </c>
      <c r="H13" s="655">
        <f>ROUND(C13,1)+ROUND(D13,1)</f>
        <v>2607.8999999999996</v>
      </c>
      <c r="I13" s="656">
        <f>ROUND(E13,1)+ROUND(F13,1)+ROUND(H13,1)</f>
        <v>9712.9</v>
      </c>
      <c r="J13" s="669">
        <f t="shared" ref="J13:J20" si="0">G13+I13</f>
        <v>11895.192914403</v>
      </c>
      <c r="K13" s="669">
        <f>'1'!J13+'1'!K13</f>
        <v>1917.6999999999998</v>
      </c>
      <c r="L13" s="969"/>
      <c r="M13" s="969"/>
      <c r="N13" s="969"/>
    </row>
    <row r="14" spans="1:14" s="899" customFormat="1" ht="14.25" customHeight="1">
      <c r="A14" s="894">
        <v>2016</v>
      </c>
      <c r="B14" s="895"/>
      <c r="C14" s="896">
        <f>'2'!L14</f>
        <v>535.29926641691372</v>
      </c>
      <c r="D14" s="896">
        <f>'19'!E14</f>
        <v>2112.6628274092805</v>
      </c>
      <c r="E14" s="896">
        <f>'19'!F14</f>
        <v>597.10949538165301</v>
      </c>
      <c r="F14" s="897">
        <f>'1'!M14+'19'!G14+'19'!H14+'19'!I14+'19'!J14</f>
        <v>6688.4051206581935</v>
      </c>
      <c r="G14" s="898">
        <f>'1'!L14+'19'!C14+'19'!D14</f>
        <v>2088.3101956676201</v>
      </c>
      <c r="H14" s="898">
        <f t="shared" ref="H14:H37" si="1">ROUND(C14,1)+ROUND(D14,1)</f>
        <v>2648</v>
      </c>
      <c r="I14" s="805">
        <f t="shared" ref="I14:I37" si="2">ROUND(E14,1)+ROUND(F14,1)+ROUND(H14,1)</f>
        <v>9933.5</v>
      </c>
      <c r="J14" s="805">
        <f t="shared" si="0"/>
        <v>12021.81019566762</v>
      </c>
      <c r="K14" s="805">
        <f>'1'!J14+'1'!K14</f>
        <v>1757.4</v>
      </c>
      <c r="L14" s="969"/>
      <c r="M14" s="969"/>
      <c r="N14" s="969"/>
    </row>
    <row r="15" spans="1:14" s="899" customFormat="1" ht="14.25" customHeight="1">
      <c r="A15" s="894">
        <v>2017</v>
      </c>
      <c r="B15" s="895"/>
      <c r="C15" s="896">
        <f>'2'!L15</f>
        <v>526.82989131050897</v>
      </c>
      <c r="D15" s="896">
        <f>'19'!E15</f>
        <v>2109.1848787094</v>
      </c>
      <c r="E15" s="896">
        <f>'19'!F15</f>
        <v>651.58369440714034</v>
      </c>
      <c r="F15" s="897">
        <f>'1'!M15+'19'!G15+'19'!H15+'19'!I15+'19'!J15</f>
        <v>6961.0257617133302</v>
      </c>
      <c r="G15" s="898">
        <f>'1'!L15+'19'!C15+'19'!D15</f>
        <v>2272.7141215131801</v>
      </c>
      <c r="H15" s="898">
        <f t="shared" si="1"/>
        <v>2636</v>
      </c>
      <c r="I15" s="805">
        <f t="shared" si="2"/>
        <v>10248.6</v>
      </c>
      <c r="J15" s="805">
        <f t="shared" si="0"/>
        <v>12521.31412151318</v>
      </c>
      <c r="K15" s="805">
        <f>'1'!J15+'1'!K15</f>
        <v>1881.5</v>
      </c>
      <c r="L15" s="969"/>
      <c r="M15" s="969"/>
      <c r="N15" s="969"/>
    </row>
    <row r="16" spans="1:14" s="321" customFormat="1" ht="14.25" customHeight="1">
      <c r="A16" s="747">
        <v>2018</v>
      </c>
      <c r="B16" s="900"/>
      <c r="C16" s="901">
        <f>'2'!L16</f>
        <v>528.08598133328803</v>
      </c>
      <c r="D16" s="901">
        <f>'19'!E16</f>
        <v>2084.554275351491</v>
      </c>
      <c r="E16" s="901">
        <f>'19'!F16</f>
        <v>692.10404184690083</v>
      </c>
      <c r="F16" s="902">
        <f>'1'!M16+'19'!G16+'19'!H16+'19'!I16+'19'!J16</f>
        <v>7167.7693854919471</v>
      </c>
      <c r="G16" s="903">
        <f>'1'!L16+'19'!C16+'19'!D16</f>
        <v>2149.52207316268</v>
      </c>
      <c r="H16" s="903">
        <f t="shared" si="1"/>
        <v>2612.6999999999998</v>
      </c>
      <c r="I16" s="904">
        <f t="shared" si="2"/>
        <v>10472.6</v>
      </c>
      <c r="J16" s="905">
        <f t="shared" si="0"/>
        <v>12622.12207316268</v>
      </c>
      <c r="K16" s="669">
        <f>'1'!J16+'1'!K16</f>
        <v>1710.4</v>
      </c>
      <c r="L16" s="969"/>
      <c r="M16" s="969"/>
      <c r="N16" s="969"/>
    </row>
    <row r="17" spans="1:26" s="321" customFormat="1" ht="14.25" customHeight="1">
      <c r="A17" s="747">
        <v>2019</v>
      </c>
      <c r="B17" s="900"/>
      <c r="C17" s="901">
        <f>'2'!L17</f>
        <v>535.08184891560677</v>
      </c>
      <c r="D17" s="901">
        <f>'19'!E17</f>
        <v>2002.2312100160302</v>
      </c>
      <c r="E17" s="901">
        <f>'19'!F17</f>
        <v>769.75721012214944</v>
      </c>
      <c r="F17" s="902">
        <f>'1'!M17+'19'!G17+'19'!H17+'19'!I17+'19'!J17</f>
        <v>8283.2153498164516</v>
      </c>
      <c r="G17" s="903">
        <f>'1'!L17+'19'!C17+'19'!D17</f>
        <v>2081.5787659695316</v>
      </c>
      <c r="H17" s="903">
        <f t="shared" si="1"/>
        <v>2537.3000000000002</v>
      </c>
      <c r="I17" s="904">
        <f t="shared" si="2"/>
        <v>11590.3</v>
      </c>
      <c r="J17" s="905">
        <f t="shared" si="0"/>
        <v>13671.87876596953</v>
      </c>
      <c r="K17" s="669">
        <f>'1'!J17+'1'!K17</f>
        <v>2290.1999999999998</v>
      </c>
      <c r="L17" s="969"/>
      <c r="M17" s="969"/>
      <c r="N17" s="969"/>
    </row>
    <row r="18" spans="1:26" s="321" customFormat="1" ht="14.25" customHeight="1">
      <c r="A18" s="747">
        <v>2020</v>
      </c>
      <c r="B18" s="900"/>
      <c r="C18" s="901">
        <f>'2'!L18</f>
        <v>592.95959356039339</v>
      </c>
      <c r="D18" s="901">
        <f>'19'!E18</f>
        <v>2221.5303436846725</v>
      </c>
      <c r="E18" s="901">
        <f>'19'!F18</f>
        <v>864.30687706458662</v>
      </c>
      <c r="F18" s="902">
        <f>'1'!M18+'19'!G18+'19'!H18+'19'!I18+'19'!J18</f>
        <v>8746.1174392461453</v>
      </c>
      <c r="G18" s="903">
        <f>'1'!L18+'19'!C18+'19'!D18</f>
        <v>1726.3825547340555</v>
      </c>
      <c r="H18" s="903">
        <f t="shared" si="1"/>
        <v>2814.5</v>
      </c>
      <c r="I18" s="904">
        <f t="shared" si="2"/>
        <v>12424.9</v>
      </c>
      <c r="J18" s="905">
        <f t="shared" si="0"/>
        <v>14151.282554734054</v>
      </c>
      <c r="K18" s="669">
        <f>'1'!J18+'1'!K18</f>
        <v>2153.6</v>
      </c>
      <c r="L18" s="969"/>
      <c r="M18" s="969"/>
      <c r="N18" s="969"/>
    </row>
    <row r="19" spans="1:26" s="321" customFormat="1" ht="14.25" customHeight="1">
      <c r="A19" s="747">
        <v>2021</v>
      </c>
      <c r="B19" s="900"/>
      <c r="C19" s="901">
        <f>'2'!L19</f>
        <v>558.04158298132779</v>
      </c>
      <c r="D19" s="901">
        <f>'19'!E19</f>
        <v>2593.4309212471908</v>
      </c>
      <c r="E19" s="901">
        <f>'19'!F19</f>
        <v>1117.2719011458805</v>
      </c>
      <c r="F19" s="902">
        <f>'1'!M19+'19'!G19+'19'!H19+'19'!I19+'19'!J19-0.03</f>
        <v>8765.9237458968782</v>
      </c>
      <c r="G19" s="903">
        <f>'1'!L19+'19'!C19+'19'!D19+0.05</f>
        <v>1849.5742102943557</v>
      </c>
      <c r="H19" s="903">
        <f t="shared" si="1"/>
        <v>3151.4</v>
      </c>
      <c r="I19" s="904">
        <f t="shared" si="2"/>
        <v>13034.599999999999</v>
      </c>
      <c r="J19" s="905">
        <f t="shared" si="0"/>
        <v>14884.174210294354</v>
      </c>
      <c r="K19" s="669">
        <f>'1'!J19+'1'!K19</f>
        <v>3039.1</v>
      </c>
      <c r="L19" s="969"/>
      <c r="M19" s="969"/>
      <c r="N19" s="969"/>
    </row>
    <row r="20" spans="1:26" s="321" customFormat="1" ht="14.25" customHeight="1">
      <c r="A20" s="747">
        <v>2022</v>
      </c>
      <c r="B20" s="900"/>
      <c r="C20" s="901">
        <f>'2'!L20</f>
        <v>506.54644282845959</v>
      </c>
      <c r="D20" s="901">
        <f>'19'!E20</f>
        <v>2409.9319426433749</v>
      </c>
      <c r="E20" s="901">
        <f>'19'!F20</f>
        <v>684.24289660123202</v>
      </c>
      <c r="F20" s="902">
        <f>'1'!M20+'19'!G20+'19'!H20+'19'!I20+'19'!J20+0.03</f>
        <v>9727.2544086063117</v>
      </c>
      <c r="G20" s="903">
        <f>'1'!L20+'19'!C20+'19'!D20</f>
        <v>1807.4827559605842</v>
      </c>
      <c r="H20" s="903">
        <f t="shared" si="1"/>
        <v>2916.4</v>
      </c>
      <c r="I20" s="904">
        <f t="shared" si="2"/>
        <v>13327.9</v>
      </c>
      <c r="J20" s="905">
        <f t="shared" si="0"/>
        <v>15135.382755960583</v>
      </c>
      <c r="K20" s="669">
        <f>'1'!J20+'1'!K20</f>
        <v>3908.8</v>
      </c>
      <c r="L20" s="969"/>
      <c r="M20" s="969"/>
      <c r="N20" s="969"/>
    </row>
    <row r="21" spans="1:26" s="321" customFormat="1" ht="14.25" customHeight="1">
      <c r="A21" s="747">
        <v>2023</v>
      </c>
      <c r="B21" s="900"/>
      <c r="C21" s="901">
        <v>531.89309880297992</v>
      </c>
      <c r="D21" s="901">
        <v>2235.9304739516965</v>
      </c>
      <c r="E21" s="901">
        <v>645.21403364002094</v>
      </c>
      <c r="F21" s="902">
        <v>10550.961666092322</v>
      </c>
      <c r="G21" s="903">
        <v>2306.2220881020494</v>
      </c>
      <c r="H21" s="903">
        <v>2767.8</v>
      </c>
      <c r="I21" s="904">
        <v>13964</v>
      </c>
      <c r="J21" s="905">
        <v>16270.222088102049</v>
      </c>
      <c r="K21" s="669">
        <v>5136.3</v>
      </c>
      <c r="L21" s="969"/>
      <c r="M21" s="969"/>
      <c r="N21" s="969"/>
    </row>
    <row r="22" spans="1:26" s="321" customFormat="1" ht="14.25" customHeight="1">
      <c r="A22" s="907">
        <v>2024</v>
      </c>
      <c r="B22" s="908"/>
      <c r="C22" s="909">
        <f t="shared" ref="C22:K22" si="3">C27</f>
        <v>533.99727991581972</v>
      </c>
      <c r="D22" s="909">
        <f t="shared" si="3"/>
        <v>2273.8414924234926</v>
      </c>
      <c r="E22" s="909">
        <f t="shared" si="3"/>
        <v>574.51409144035335</v>
      </c>
      <c r="F22" s="910">
        <f t="shared" si="3"/>
        <v>10523.457097844701</v>
      </c>
      <c r="G22" s="911">
        <f t="shared" si="3"/>
        <v>2314.6419381543014</v>
      </c>
      <c r="H22" s="911">
        <f t="shared" si="1"/>
        <v>2807.8</v>
      </c>
      <c r="I22" s="912">
        <f t="shared" si="2"/>
        <v>13905.8</v>
      </c>
      <c r="J22" s="913">
        <f t="shared" si="3"/>
        <v>16220.441938154301</v>
      </c>
      <c r="K22" s="806">
        <f t="shared" si="3"/>
        <v>5445.7</v>
      </c>
      <c r="L22" s="969"/>
      <c r="M22" s="969"/>
      <c r="N22" s="969"/>
    </row>
    <row r="23" spans="1:26" s="321" customFormat="1" ht="21" customHeight="1">
      <c r="A23" s="747">
        <v>2023</v>
      </c>
      <c r="B23" s="900" t="s">
        <v>238</v>
      </c>
      <c r="C23" s="901">
        <v>531.89309880297992</v>
      </c>
      <c r="D23" s="901">
        <v>2235.9304739516965</v>
      </c>
      <c r="E23" s="901">
        <v>645.21403364002094</v>
      </c>
      <c r="F23" s="902">
        <v>10550.961666092322</v>
      </c>
      <c r="G23" s="903">
        <v>2306.2220881020494</v>
      </c>
      <c r="H23" s="903">
        <v>2767.8</v>
      </c>
      <c r="I23" s="904">
        <v>13964</v>
      </c>
      <c r="J23" s="905">
        <v>16270.222088102049</v>
      </c>
      <c r="K23" s="669">
        <v>5136.3</v>
      </c>
      <c r="L23" s="969"/>
      <c r="M23" s="969"/>
      <c r="N23" s="969"/>
    </row>
    <row r="24" spans="1:26" s="321" customFormat="1" ht="21" customHeight="1">
      <c r="A24" s="747">
        <v>2024</v>
      </c>
      <c r="B24" s="900" t="s">
        <v>239</v>
      </c>
      <c r="C24" s="901">
        <v>511.47851393985911</v>
      </c>
      <c r="D24" s="901">
        <v>2217.4157325273936</v>
      </c>
      <c r="E24" s="901">
        <v>633.97172804336242</v>
      </c>
      <c r="F24" s="902">
        <v>10420.116101993721</v>
      </c>
      <c r="G24" s="903">
        <v>1824.2153375099083</v>
      </c>
      <c r="H24" s="903">
        <v>2728.9</v>
      </c>
      <c r="I24" s="904">
        <v>13783</v>
      </c>
      <c r="J24" s="905">
        <v>15607.215337509908</v>
      </c>
      <c r="K24" s="669">
        <v>5080.6000000000004</v>
      </c>
      <c r="L24" s="969"/>
      <c r="M24" s="969"/>
      <c r="N24" s="969"/>
    </row>
    <row r="25" spans="1:26" s="321" customFormat="1" ht="15" customHeight="1">
      <c r="A25" s="747"/>
      <c r="B25" s="900" t="s">
        <v>240</v>
      </c>
      <c r="C25" s="901">
        <v>538.33725404694235</v>
      </c>
      <c r="D25" s="901">
        <v>2177.3013817390265</v>
      </c>
      <c r="E25" s="901">
        <v>742.18667090382473</v>
      </c>
      <c r="F25" s="902">
        <v>10508.461361684818</v>
      </c>
      <c r="G25" s="903">
        <v>2049.8479463311141</v>
      </c>
      <c r="H25" s="903">
        <v>2715.6000000000004</v>
      </c>
      <c r="I25" s="904">
        <v>13966.300000000001</v>
      </c>
      <c r="J25" s="905">
        <v>16016.147946331115</v>
      </c>
      <c r="K25" s="669">
        <v>5651.1</v>
      </c>
      <c r="L25" s="969"/>
      <c r="M25" s="969"/>
      <c r="N25" s="969"/>
    </row>
    <row r="26" spans="1:26" s="321" customFormat="1" ht="15" customHeight="1">
      <c r="A26" s="747"/>
      <c r="B26" s="900" t="s">
        <v>237</v>
      </c>
      <c r="C26" s="901">
        <v>544.35395613812079</v>
      </c>
      <c r="D26" s="901">
        <v>2226.6150613454824</v>
      </c>
      <c r="E26" s="901">
        <v>699.93760696272386</v>
      </c>
      <c r="F26" s="902">
        <v>10769.650860387454</v>
      </c>
      <c r="G26" s="903">
        <v>2385.6400137872311</v>
      </c>
      <c r="H26" s="903">
        <v>2771</v>
      </c>
      <c r="I26" s="904">
        <v>14240.6</v>
      </c>
      <c r="J26" s="905">
        <v>16626.240013787232</v>
      </c>
      <c r="K26" s="669">
        <v>6113.8</v>
      </c>
      <c r="L26" s="969"/>
      <c r="M26" s="969"/>
      <c r="N26" s="969"/>
    </row>
    <row r="27" spans="1:26" s="321" customFormat="1" ht="15" customHeight="1">
      <c r="A27" s="747"/>
      <c r="B27" s="900" t="s">
        <v>238</v>
      </c>
      <c r="C27" s="901">
        <v>533.99727991581972</v>
      </c>
      <c r="D27" s="901">
        <v>2273.8414924234926</v>
      </c>
      <c r="E27" s="901">
        <v>574.51409144035335</v>
      </c>
      <c r="F27" s="902">
        <v>10523.457097844701</v>
      </c>
      <c r="G27" s="903">
        <v>2314.6419381543014</v>
      </c>
      <c r="H27" s="903">
        <v>2807.8</v>
      </c>
      <c r="I27" s="904">
        <v>13905.8</v>
      </c>
      <c r="J27" s="905">
        <v>16220.441938154301</v>
      </c>
      <c r="K27" s="669">
        <v>5445.7</v>
      </c>
      <c r="L27" s="969"/>
      <c r="M27" s="969"/>
      <c r="N27" s="969"/>
    </row>
    <row r="28" spans="1:26" s="321" customFormat="1" ht="21" customHeight="1">
      <c r="A28" s="747">
        <v>2025</v>
      </c>
      <c r="B28" s="900" t="s">
        <v>239</v>
      </c>
      <c r="C28" s="901">
        <f t="shared" ref="C28:K28" si="4">C36</f>
        <v>591.8456279565213</v>
      </c>
      <c r="D28" s="901">
        <f t="shared" si="4"/>
        <v>2357.7699401109357</v>
      </c>
      <c r="E28" s="901">
        <f t="shared" si="4"/>
        <v>643.12044753968735</v>
      </c>
      <c r="F28" s="902">
        <f t="shared" si="4"/>
        <v>10467.421274251357</v>
      </c>
      <c r="G28" s="903">
        <f t="shared" si="4"/>
        <v>2459.3850299773385</v>
      </c>
      <c r="H28" s="903">
        <f t="shared" si="1"/>
        <v>2949.6000000000004</v>
      </c>
      <c r="I28" s="904">
        <f t="shared" si="2"/>
        <v>14060.1</v>
      </c>
      <c r="J28" s="905">
        <f t="shared" si="4"/>
        <v>16519.485029977339</v>
      </c>
      <c r="K28" s="669">
        <f t="shared" si="4"/>
        <v>6056.8</v>
      </c>
      <c r="L28" s="969"/>
      <c r="M28" s="969"/>
      <c r="N28" s="969"/>
    </row>
    <row r="29" spans="1:26" s="321" customFormat="1" ht="15" customHeight="1">
      <c r="A29" s="747"/>
      <c r="B29" s="900" t="s">
        <v>240</v>
      </c>
      <c r="C29" s="901">
        <f>C39</f>
        <v>578.68701810757284</v>
      </c>
      <c r="D29" s="901">
        <f>D39</f>
        <v>2338.3777050926492</v>
      </c>
      <c r="E29" s="901">
        <f>E39</f>
        <v>536.82612549011856</v>
      </c>
      <c r="F29" s="902">
        <f>F39</f>
        <v>10629.1</v>
      </c>
      <c r="G29" s="903">
        <f>G39</f>
        <v>2383.6000000000004</v>
      </c>
      <c r="H29" s="903">
        <f t="shared" ref="H29" si="5">ROUND(C29,1)+ROUND(D29,1)</f>
        <v>2917.1000000000004</v>
      </c>
      <c r="I29" s="904">
        <f t="shared" ref="I29" si="6">ROUND(E29,1)+ROUND(F29,1)+ROUND(H29,1)</f>
        <v>14083</v>
      </c>
      <c r="J29" s="905">
        <f>J39</f>
        <v>16466.599999999999</v>
      </c>
      <c r="K29" s="669">
        <f>K39</f>
        <v>5724</v>
      </c>
      <c r="L29" s="969"/>
      <c r="M29" s="969"/>
      <c r="N29" s="969"/>
    </row>
    <row r="30" spans="1:26" s="321" customFormat="1" ht="15" customHeight="1">
      <c r="A30" s="907"/>
      <c r="B30" s="908" t="s">
        <v>237</v>
      </c>
      <c r="C30" s="909">
        <f>C42</f>
        <v>458.6983063702101</v>
      </c>
      <c r="D30" s="909">
        <f>D42</f>
        <v>2339.3025918100006</v>
      </c>
      <c r="E30" s="909">
        <f>E42</f>
        <v>530.71449316675614</v>
      </c>
      <c r="F30" s="910">
        <f>F42</f>
        <v>10708.400000000001</v>
      </c>
      <c r="G30" s="911">
        <f>G42</f>
        <v>2200</v>
      </c>
      <c r="H30" s="911">
        <f t="shared" ref="H30" si="7">ROUND(C30,1)+ROUND(D30,1)</f>
        <v>2798</v>
      </c>
      <c r="I30" s="912">
        <f t="shared" ref="I30" si="8">ROUND(E30,1)+ROUND(F30,1)+ROUND(H30,1)</f>
        <v>14037.1</v>
      </c>
      <c r="J30" s="913">
        <f>J42</f>
        <v>16237.1</v>
      </c>
      <c r="K30" s="806">
        <f>K42</f>
        <v>5124.7</v>
      </c>
      <c r="L30" s="969"/>
      <c r="M30" s="969"/>
      <c r="N30" s="969"/>
    </row>
    <row r="31" spans="1:26" s="848" customFormat="1" ht="21" customHeight="1">
      <c r="A31" s="892">
        <v>2024</v>
      </c>
      <c r="B31" s="406" t="s">
        <v>412</v>
      </c>
      <c r="C31" s="677">
        <v>549.72463244767278</v>
      </c>
      <c r="D31" s="677">
        <v>2200.514264792293</v>
      </c>
      <c r="E31" s="677">
        <v>631.7619605423406</v>
      </c>
      <c r="F31" s="676">
        <v>10671.823016253296</v>
      </c>
      <c r="G31" s="655">
        <v>2405.3941553373534</v>
      </c>
      <c r="H31" s="655">
        <v>2750.2</v>
      </c>
      <c r="I31" s="656">
        <v>14053.8</v>
      </c>
      <c r="J31" s="669">
        <v>16459.194155337354</v>
      </c>
      <c r="K31" s="669">
        <v>6027.5</v>
      </c>
      <c r="L31" s="969"/>
      <c r="M31" s="969"/>
      <c r="N31" s="969"/>
      <c r="O31" s="306"/>
      <c r="P31" s="306"/>
      <c r="Q31" s="306"/>
      <c r="R31" s="306"/>
      <c r="S31" s="306"/>
      <c r="T31" s="306"/>
      <c r="U31" s="306"/>
      <c r="V31" s="306"/>
      <c r="W31" s="306"/>
      <c r="X31" s="306"/>
      <c r="Y31" s="306"/>
      <c r="Z31" s="306"/>
    </row>
    <row r="32" spans="1:26" s="848" customFormat="1">
      <c r="A32" s="892"/>
      <c r="B32" s="406" t="s">
        <v>413</v>
      </c>
      <c r="C32" s="677">
        <f>'2'!L32</f>
        <v>544.0178763751926</v>
      </c>
      <c r="D32" s="677">
        <f>'19'!E32</f>
        <v>2232.9198103382655</v>
      </c>
      <c r="E32" s="677">
        <f>'19'!F32</f>
        <v>599.05634530077737</v>
      </c>
      <c r="F32" s="676">
        <f>'1'!M32+'19'!G32+'19'!H32+'19'!I32+'19'!J32</f>
        <v>10668.322896680796</v>
      </c>
      <c r="G32" s="655">
        <f>'1'!L32+'19'!C32+'19'!D32</f>
        <v>2219.5377731702565</v>
      </c>
      <c r="H32" s="655">
        <f t="shared" si="1"/>
        <v>2776.9</v>
      </c>
      <c r="I32" s="656">
        <f t="shared" si="2"/>
        <v>14044.3</v>
      </c>
      <c r="J32" s="669">
        <f t="shared" ref="J32:J34" si="9">G32+I32</f>
        <v>16263.837773170257</v>
      </c>
      <c r="K32" s="669">
        <f>'1'!J32+'1'!K32</f>
        <v>6027.7</v>
      </c>
      <c r="L32" s="969"/>
      <c r="M32" s="969"/>
      <c r="N32" s="969"/>
      <c r="O32" s="306"/>
      <c r="P32" s="306"/>
      <c r="Q32" s="306"/>
      <c r="R32" s="306"/>
      <c r="S32" s="306"/>
      <c r="T32" s="306"/>
      <c r="U32" s="306"/>
      <c r="V32" s="306"/>
      <c r="W32" s="306"/>
      <c r="X32" s="306"/>
      <c r="Y32" s="306"/>
      <c r="Z32" s="306"/>
    </row>
    <row r="33" spans="1:26" s="848" customFormat="1">
      <c r="A33" s="892"/>
      <c r="B33" s="406" t="s">
        <v>414</v>
      </c>
      <c r="C33" s="677">
        <f>'2'!L33</f>
        <v>533.99727991581972</v>
      </c>
      <c r="D33" s="677">
        <f>'19'!E33</f>
        <v>2273.8414924234926</v>
      </c>
      <c r="E33" s="677">
        <f>'19'!F33</f>
        <v>574.51409144035335</v>
      </c>
      <c r="F33" s="676">
        <f>'1'!M33+'19'!G33+'19'!H33+'19'!I33+'19'!J33+0.06</f>
        <v>10523.457097844701</v>
      </c>
      <c r="G33" s="655">
        <f>'1'!L33+'19'!C33+'19'!D33</f>
        <v>2314.6419381543014</v>
      </c>
      <c r="H33" s="655">
        <f t="shared" si="1"/>
        <v>2807.8</v>
      </c>
      <c r="I33" s="656">
        <f t="shared" si="2"/>
        <v>13905.8</v>
      </c>
      <c r="J33" s="669">
        <f t="shared" si="9"/>
        <v>16220.441938154301</v>
      </c>
      <c r="K33" s="669">
        <f>'1'!J33+'1'!K33</f>
        <v>5445.7</v>
      </c>
      <c r="L33" s="969"/>
      <c r="M33" s="969"/>
      <c r="N33" s="969"/>
      <c r="O33" s="306"/>
      <c r="P33" s="306"/>
      <c r="Q33" s="306"/>
      <c r="R33" s="306"/>
      <c r="S33" s="306"/>
      <c r="T33" s="306"/>
      <c r="U33" s="306"/>
      <c r="V33" s="306"/>
      <c r="W33" s="306"/>
      <c r="X33" s="306"/>
      <c r="Y33" s="306"/>
      <c r="Z33" s="306"/>
    </row>
    <row r="34" spans="1:26" s="848" customFormat="1" ht="21" customHeight="1">
      <c r="A34" s="892">
        <v>2025</v>
      </c>
      <c r="B34" s="406" t="s">
        <v>415</v>
      </c>
      <c r="C34" s="677">
        <f>'2'!L34</f>
        <v>537.88769073181891</v>
      </c>
      <c r="D34" s="677">
        <f>'19'!E34</f>
        <v>2245.7077751962493</v>
      </c>
      <c r="E34" s="677">
        <f>'19'!F34</f>
        <v>592.62316962276248</v>
      </c>
      <c r="F34" s="676">
        <f>'1'!M34+'19'!G34+'19'!H34+'19'!I34+'19'!J34</f>
        <v>10407.620027057337</v>
      </c>
      <c r="G34" s="655">
        <f>'1'!L34+'19'!C34+'19'!D34</f>
        <v>2213.5049347143326</v>
      </c>
      <c r="H34" s="655">
        <f t="shared" si="1"/>
        <v>2783.6</v>
      </c>
      <c r="I34" s="656">
        <f t="shared" si="2"/>
        <v>13783.800000000001</v>
      </c>
      <c r="J34" s="669">
        <f t="shared" si="9"/>
        <v>15997.304934714333</v>
      </c>
      <c r="K34" s="669">
        <f>'1'!J34+'1'!K34</f>
        <v>6019.8</v>
      </c>
      <c r="L34" s="969"/>
      <c r="M34" s="969"/>
      <c r="N34" s="969"/>
      <c r="O34" s="306"/>
      <c r="P34" s="306"/>
      <c r="Q34" s="306"/>
      <c r="R34" s="306"/>
      <c r="S34" s="306"/>
      <c r="T34" s="306"/>
      <c r="U34" s="306"/>
      <c r="V34" s="306"/>
      <c r="W34" s="306"/>
      <c r="X34" s="306"/>
      <c r="Y34" s="306"/>
      <c r="Z34" s="306"/>
    </row>
    <row r="35" spans="1:26" s="848" customFormat="1" ht="15" customHeight="1">
      <c r="A35" s="892"/>
      <c r="B35" s="406" t="s">
        <v>416</v>
      </c>
      <c r="C35" s="677">
        <f>'2'!L35</f>
        <v>560.43964239796151</v>
      </c>
      <c r="D35" s="677">
        <f>'19'!E35</f>
        <v>2309.2769172961134</v>
      </c>
      <c r="E35" s="677">
        <f>'19'!F35</f>
        <v>558.61099074419383</v>
      </c>
      <c r="F35" s="676">
        <f>'1'!M35+'19'!G35+'19'!H35+'19'!I35+'19'!J35</f>
        <v>10478.084772940963</v>
      </c>
      <c r="G35" s="655">
        <f>'1'!L35+'19'!C35+'19'!D35</f>
        <v>2274.0122600949271</v>
      </c>
      <c r="H35" s="655">
        <f t="shared" si="1"/>
        <v>2869.7000000000003</v>
      </c>
      <c r="I35" s="656">
        <f t="shared" si="2"/>
        <v>13906.400000000001</v>
      </c>
      <c r="J35" s="669">
        <f t="shared" ref="J35" si="10">G35+I35</f>
        <v>16180.412260094929</v>
      </c>
      <c r="K35" s="669">
        <f>'1'!J35+'1'!K35</f>
        <v>6025.8</v>
      </c>
      <c r="L35" s="969"/>
      <c r="M35" s="969"/>
      <c r="N35" s="969"/>
      <c r="O35" s="306"/>
      <c r="P35" s="306"/>
      <c r="Q35" s="306"/>
      <c r="R35" s="306"/>
      <c r="S35" s="306"/>
      <c r="T35" s="306"/>
      <c r="U35" s="306"/>
      <c r="V35" s="306"/>
      <c r="W35" s="306"/>
      <c r="X35" s="306"/>
      <c r="Y35" s="306"/>
      <c r="Z35" s="306"/>
    </row>
    <row r="36" spans="1:26" s="848" customFormat="1" ht="15" customHeight="1">
      <c r="A36" s="892"/>
      <c r="B36" s="406" t="s">
        <v>417</v>
      </c>
      <c r="C36" s="677">
        <f>'2'!L36</f>
        <v>591.8456279565213</v>
      </c>
      <c r="D36" s="677">
        <f>'19'!E36</f>
        <v>2357.7699401109357</v>
      </c>
      <c r="E36" s="677">
        <f>'19'!F36</f>
        <v>643.12044753968735</v>
      </c>
      <c r="F36" s="676">
        <f>'1'!M36+'19'!G36+'19'!H36+'19'!I36+'19'!J36</f>
        <v>10467.421274251357</v>
      </c>
      <c r="G36" s="655">
        <f>'1'!L36+'19'!C36+'19'!D36</f>
        <v>2459.3850299773385</v>
      </c>
      <c r="H36" s="655">
        <f t="shared" si="1"/>
        <v>2949.6000000000004</v>
      </c>
      <c r="I36" s="656">
        <f t="shared" si="2"/>
        <v>14060.1</v>
      </c>
      <c r="J36" s="669">
        <f t="shared" ref="J36" si="11">G36+I36</f>
        <v>16519.485029977339</v>
      </c>
      <c r="K36" s="669">
        <f>'1'!J36+'1'!K36</f>
        <v>6056.8</v>
      </c>
      <c r="L36" s="969"/>
      <c r="M36" s="969"/>
      <c r="N36" s="969"/>
      <c r="O36" s="306"/>
      <c r="P36" s="306"/>
      <c r="Q36" s="306"/>
      <c r="R36" s="306"/>
      <c r="S36" s="306"/>
      <c r="T36" s="306"/>
      <c r="U36" s="306"/>
      <c r="V36" s="306"/>
      <c r="W36" s="306"/>
      <c r="X36" s="306"/>
      <c r="Y36" s="306"/>
      <c r="Z36" s="306"/>
    </row>
    <row r="37" spans="1:26" s="848" customFormat="1" ht="15" customHeight="1">
      <c r="A37" s="892"/>
      <c r="B37" s="406" t="s">
        <v>418</v>
      </c>
      <c r="C37" s="677">
        <f>'2'!L37</f>
        <v>573.03970039730859</v>
      </c>
      <c r="D37" s="677">
        <f>'19'!E37</f>
        <v>2384.283984703085</v>
      </c>
      <c r="E37" s="677">
        <f>'19'!F37</f>
        <v>596.17611216599403</v>
      </c>
      <c r="F37" s="676">
        <f>'1'!M37+'19'!G37+'19'!H37+'19'!I37+'19'!J37-0.05</f>
        <v>10573.238791930149</v>
      </c>
      <c r="G37" s="655">
        <f>'1'!L37+'19'!C37+'19'!D37</f>
        <v>2657.0906601430879</v>
      </c>
      <c r="H37" s="655">
        <f t="shared" si="1"/>
        <v>2957.3</v>
      </c>
      <c r="I37" s="656">
        <f t="shared" si="2"/>
        <v>14126.7</v>
      </c>
      <c r="J37" s="669">
        <f t="shared" ref="J37" si="12">G37+I37</f>
        <v>16783.790660143088</v>
      </c>
      <c r="K37" s="669">
        <f>'1'!J37+'1'!K37</f>
        <v>5876.9</v>
      </c>
      <c r="L37" s="969"/>
      <c r="M37" s="969"/>
      <c r="N37" s="969"/>
      <c r="O37" s="306"/>
      <c r="P37" s="306"/>
      <c r="Q37" s="306"/>
      <c r="R37" s="306"/>
      <c r="S37" s="306"/>
      <c r="T37" s="306"/>
      <c r="U37" s="306"/>
      <c r="V37" s="306"/>
      <c r="W37" s="306"/>
      <c r="X37" s="306"/>
      <c r="Y37" s="306"/>
      <c r="Z37" s="306"/>
    </row>
    <row r="38" spans="1:26" s="848" customFormat="1" ht="15" customHeight="1">
      <c r="A38" s="892"/>
      <c r="B38" s="406" t="s">
        <v>419</v>
      </c>
      <c r="C38" s="677">
        <f>'2'!L38</f>
        <v>578.0371737402163</v>
      </c>
      <c r="D38" s="677">
        <f>'19'!E38</f>
        <v>2388.4005708393656</v>
      </c>
      <c r="E38" s="677">
        <f>'19'!F38</f>
        <v>556.142810061864</v>
      </c>
      <c r="F38" s="676">
        <f>'1'!M38+ROUND('19'!G38,1)+ROUND('19'!H38,1)+ROUND('19'!I38,1)+ROUND('19'!J38,1)</f>
        <v>10603.5</v>
      </c>
      <c r="G38" s="655">
        <f>'1'!L38+ROUND('19'!C38,1)+ROUND('19'!D38,1)</f>
        <v>2493.3000000000002</v>
      </c>
      <c r="H38" s="655">
        <f t="shared" ref="H38" si="13">ROUND(C38,1)+ROUND(D38,1)</f>
        <v>2966.4</v>
      </c>
      <c r="I38" s="656">
        <f t="shared" ref="I38" si="14">ROUND(E38,1)+ROUND(F38,1)+ROUND(H38,1)</f>
        <v>14126</v>
      </c>
      <c r="J38" s="669">
        <f t="shared" ref="J38" si="15">G38+I38</f>
        <v>16619.3</v>
      </c>
      <c r="K38" s="669">
        <f>'1'!J38+'1'!K38</f>
        <v>5932.3</v>
      </c>
      <c r="L38" s="969"/>
      <c r="M38" s="969"/>
      <c r="N38" s="969"/>
      <c r="O38" s="306"/>
      <c r="P38" s="306"/>
      <c r="Q38" s="306"/>
      <c r="R38" s="306"/>
      <c r="S38" s="306"/>
      <c r="T38" s="306"/>
      <c r="U38" s="306"/>
      <c r="V38" s="306"/>
      <c r="W38" s="306"/>
      <c r="X38" s="306"/>
      <c r="Y38" s="306"/>
      <c r="Z38" s="306"/>
    </row>
    <row r="39" spans="1:26" s="848" customFormat="1" ht="15" customHeight="1">
      <c r="A39" s="892"/>
      <c r="B39" s="406" t="s">
        <v>420</v>
      </c>
      <c r="C39" s="677">
        <f>'2'!L39</f>
        <v>578.68701810757284</v>
      </c>
      <c r="D39" s="677">
        <f>'19'!E39</f>
        <v>2338.3777050926492</v>
      </c>
      <c r="E39" s="677">
        <f>'19'!F39</f>
        <v>536.82612549011856</v>
      </c>
      <c r="F39" s="676">
        <f>'1'!M39+ROUND('19'!G39,1)+ROUND('19'!H39,1)+ROUND('19'!I39,1)+ROUND('19'!J39,1)</f>
        <v>10629.1</v>
      </c>
      <c r="G39" s="655">
        <f>'1'!L39+ROUND('19'!C39,1)+ROUND('19'!D39,1)</f>
        <v>2383.6000000000004</v>
      </c>
      <c r="H39" s="655">
        <f t="shared" ref="H39" si="16">ROUND(C39,1)+ROUND(D39,1)</f>
        <v>2917.1000000000004</v>
      </c>
      <c r="I39" s="656">
        <f t="shared" ref="I39" si="17">ROUND(E39,1)+ROUND(F39,1)+ROUND(H39,1)</f>
        <v>14083</v>
      </c>
      <c r="J39" s="669">
        <f t="shared" ref="J39" si="18">G39+I39</f>
        <v>16466.599999999999</v>
      </c>
      <c r="K39" s="669">
        <f>'1'!J39+'1'!K39</f>
        <v>5724</v>
      </c>
      <c r="L39" s="969"/>
      <c r="M39" s="969"/>
      <c r="N39" s="969"/>
      <c r="O39" s="306"/>
      <c r="P39" s="306"/>
      <c r="Q39" s="306"/>
      <c r="R39" s="306"/>
      <c r="S39" s="306"/>
      <c r="T39" s="306"/>
      <c r="U39" s="306"/>
      <c r="V39" s="306"/>
      <c r="W39" s="306"/>
      <c r="X39" s="306"/>
      <c r="Y39" s="306"/>
      <c r="Z39" s="306"/>
    </row>
    <row r="40" spans="1:26" s="848" customFormat="1" ht="15" customHeight="1">
      <c r="A40" s="892"/>
      <c r="B40" s="406" t="s">
        <v>421</v>
      </c>
      <c r="C40" s="677">
        <f>'2'!L40</f>
        <v>507.89861663293169</v>
      </c>
      <c r="D40" s="677">
        <f>'19'!E40</f>
        <v>2330.2716722721725</v>
      </c>
      <c r="E40" s="677">
        <f>'19'!F40</f>
        <v>540.44030158395435</v>
      </c>
      <c r="F40" s="676">
        <f>'1'!M40+ROUND('19'!G40,1)+ROUND('19'!H40,1)+ROUND('19'!I40,1)+ROUND('19'!J40,1)</f>
        <v>10509.199999999999</v>
      </c>
      <c r="G40" s="655">
        <f>'1'!L40+ROUND('19'!C40,1)+ROUND('19'!D40,1)</f>
        <v>2304</v>
      </c>
      <c r="H40" s="655">
        <f t="shared" ref="H40" si="19">ROUND(C40,1)+ROUND(D40,1)</f>
        <v>2838.2000000000003</v>
      </c>
      <c r="I40" s="656">
        <f t="shared" ref="I40" si="20">ROUND(E40,1)+ROUND(F40,1)+ROUND(H40,1)</f>
        <v>13887.8</v>
      </c>
      <c r="J40" s="669">
        <f t="shared" ref="J40" si="21">G40+I40</f>
        <v>16191.8</v>
      </c>
      <c r="K40" s="669">
        <f>'1'!J40+'1'!K40</f>
        <v>5481.9</v>
      </c>
      <c r="L40" s="969"/>
      <c r="M40" s="969"/>
      <c r="N40" s="969"/>
      <c r="O40" s="306"/>
      <c r="P40" s="306"/>
      <c r="Q40" s="306"/>
      <c r="R40" s="306"/>
      <c r="S40" s="306"/>
      <c r="T40" s="306"/>
      <c r="U40" s="306"/>
      <c r="V40" s="306"/>
      <c r="W40" s="306"/>
      <c r="X40" s="306"/>
      <c r="Y40" s="306"/>
      <c r="Z40" s="306"/>
    </row>
    <row r="41" spans="1:26" s="848" customFormat="1" ht="15" customHeight="1">
      <c r="A41" s="892"/>
      <c r="B41" s="406" t="s">
        <v>422</v>
      </c>
      <c r="C41" s="677">
        <f>'2'!L41</f>
        <v>508.12869123378641</v>
      </c>
      <c r="D41" s="677">
        <f>'19'!E41</f>
        <v>2395.35266829489</v>
      </c>
      <c r="E41" s="677">
        <f>'19'!F41</f>
        <v>552.94673867724248</v>
      </c>
      <c r="F41" s="676">
        <f>'1'!M41+ROUND('19'!G41,1)+ROUND('19'!H41,1)+ROUND('19'!I41,1)+ROUND('19'!J41,1)</f>
        <v>10571.699999999999</v>
      </c>
      <c r="G41" s="655">
        <f>'1'!L41+ROUND('19'!C41,1)+ROUND('19'!D41,1)</f>
        <v>2311.9</v>
      </c>
      <c r="H41" s="655">
        <f t="shared" ref="H41" si="22">ROUND(C41,1)+ROUND(D41,1)</f>
        <v>2903.5</v>
      </c>
      <c r="I41" s="656">
        <f t="shared" ref="I41" si="23">ROUND(E41,1)+ROUND(F41,1)+ROUND(H41,1)</f>
        <v>14028.1</v>
      </c>
      <c r="J41" s="669">
        <f t="shared" ref="J41" si="24">G41+I41</f>
        <v>16340</v>
      </c>
      <c r="K41" s="669">
        <f>'1'!J41+'1'!K41</f>
        <v>5229.2</v>
      </c>
      <c r="L41" s="969"/>
      <c r="M41" s="969"/>
      <c r="N41" s="969"/>
      <c r="O41" s="306"/>
      <c r="P41" s="306"/>
      <c r="Q41" s="306"/>
      <c r="R41" s="306"/>
      <c r="S41" s="306"/>
      <c r="T41" s="306"/>
      <c r="U41" s="306"/>
      <c r="V41" s="306"/>
      <c r="W41" s="306"/>
      <c r="X41" s="306"/>
      <c r="Y41" s="306"/>
      <c r="Z41" s="306"/>
    </row>
    <row r="42" spans="1:26" s="848" customFormat="1" ht="15" customHeight="1">
      <c r="A42" s="892"/>
      <c r="B42" s="406" t="s">
        <v>423</v>
      </c>
      <c r="C42" s="677">
        <f>'2'!L42</f>
        <v>458.6983063702101</v>
      </c>
      <c r="D42" s="677">
        <f>'19'!E42</f>
        <v>2339.3025918100006</v>
      </c>
      <c r="E42" s="677">
        <f>'19'!F42</f>
        <v>530.71449316675614</v>
      </c>
      <c r="F42" s="676">
        <f>'1'!M42+ROUND('19'!G42,1)+ROUND('19'!H42,1)+ROUND('19'!I42,1)+ROUND('19'!J42,1)</f>
        <v>10708.400000000001</v>
      </c>
      <c r="G42" s="655">
        <f>'1'!L42+ROUND('19'!C42,1)+ROUND('19'!D42,1)</f>
        <v>2200</v>
      </c>
      <c r="H42" s="655">
        <f t="shared" ref="H42" si="25">ROUND(C42,1)+ROUND(D42,1)</f>
        <v>2798</v>
      </c>
      <c r="I42" s="656">
        <f t="shared" ref="I42" si="26">ROUND(E42,1)+ROUND(F42,1)+ROUND(H42,1)</f>
        <v>14037.1</v>
      </c>
      <c r="J42" s="669">
        <f t="shared" ref="J42" si="27">G42+I42</f>
        <v>16237.1</v>
      </c>
      <c r="K42" s="669">
        <f>'1'!J42+'1'!K42</f>
        <v>5124.7</v>
      </c>
      <c r="L42" s="969"/>
      <c r="M42" s="969"/>
      <c r="N42" s="969"/>
      <c r="O42" s="306"/>
      <c r="P42" s="306"/>
      <c r="Q42" s="306"/>
      <c r="R42" s="306"/>
      <c r="S42" s="306"/>
      <c r="T42" s="306"/>
      <c r="U42" s="306"/>
      <c r="V42" s="306"/>
      <c r="W42" s="306"/>
      <c r="X42" s="306"/>
      <c r="Y42" s="306"/>
      <c r="Z42" s="306"/>
    </row>
    <row r="43" spans="1:26" s="848" customFormat="1" ht="15" customHeight="1">
      <c r="A43" s="892"/>
      <c r="B43" s="406" t="s">
        <v>412</v>
      </c>
      <c r="C43" s="677">
        <f>'2'!L43</f>
        <v>496.83679083206908</v>
      </c>
      <c r="D43" s="677">
        <f>'19'!E43</f>
        <v>2346.7624123737573</v>
      </c>
      <c r="E43" s="677">
        <f>'19'!F43</f>
        <v>566.4925224225185</v>
      </c>
      <c r="F43" s="676">
        <f>'1'!M43+ROUND('19'!G43,1)+ROUND('19'!H43,1)+ROUND('19'!I43,1)+ROUND('19'!J43,1)</f>
        <v>10697.8</v>
      </c>
      <c r="G43" s="655">
        <f>'1'!L43+ROUND('19'!C43,1)+ROUND('19'!D43,1)</f>
        <v>1909.3</v>
      </c>
      <c r="H43" s="655">
        <f t="shared" ref="H43" si="28">ROUND(C43,1)+ROUND(D43,1)</f>
        <v>2843.6000000000004</v>
      </c>
      <c r="I43" s="656">
        <f t="shared" ref="I43" si="29">ROUND(E43,1)+ROUND(F43,1)+ROUND(H43,1)</f>
        <v>14107.9</v>
      </c>
      <c r="J43" s="669">
        <f t="shared" ref="J43" si="30">G43+I43</f>
        <v>16017.199999999999</v>
      </c>
      <c r="K43" s="669">
        <f>'1'!J43+'1'!K43</f>
        <v>5046.2</v>
      </c>
      <c r="L43" s="969"/>
      <c r="M43" s="969"/>
      <c r="N43" s="969"/>
      <c r="O43" s="306"/>
      <c r="P43" s="306"/>
      <c r="Q43" s="306"/>
      <c r="R43" s="306"/>
      <c r="S43" s="306"/>
      <c r="T43" s="306"/>
      <c r="U43" s="306"/>
      <c r="V43" s="306"/>
      <c r="W43" s="306"/>
      <c r="X43" s="306"/>
      <c r="Y43" s="306"/>
      <c r="Z43" s="306"/>
    </row>
    <row r="44" spans="1:26" s="916" customFormat="1" ht="19.5" customHeight="1">
      <c r="A44" s="221" t="s">
        <v>483</v>
      </c>
      <c r="B44" s="221"/>
      <c r="C44" s="221"/>
      <c r="D44" s="221"/>
      <c r="E44" s="221"/>
      <c r="F44" s="221"/>
      <c r="G44" s="220"/>
      <c r="H44" s="914"/>
      <c r="I44" s="221"/>
      <c r="J44" s="915"/>
      <c r="K44" s="915" t="s">
        <v>484</v>
      </c>
    </row>
    <row r="45" spans="1:26" s="916" customFormat="1" ht="13.7" customHeight="1">
      <c r="A45" s="916" t="s">
        <v>485</v>
      </c>
      <c r="G45" s="25"/>
      <c r="J45" s="917"/>
      <c r="K45" s="917" t="s">
        <v>486</v>
      </c>
    </row>
    <row r="46" spans="1:26" s="916" customFormat="1" ht="13.7" customHeight="1">
      <c r="A46" s="916" t="s">
        <v>487</v>
      </c>
      <c r="G46" s="25"/>
      <c r="J46" s="917"/>
      <c r="K46" s="917" t="s">
        <v>488</v>
      </c>
    </row>
    <row r="47" spans="1:26">
      <c r="C47" s="581"/>
      <c r="D47" s="581"/>
      <c r="E47" s="581"/>
      <c r="F47" s="581"/>
      <c r="G47" s="581"/>
      <c r="H47" s="581"/>
      <c r="I47" s="581"/>
      <c r="J47" s="581"/>
      <c r="K47" s="581"/>
    </row>
    <row r="48" spans="1:26">
      <c r="A48" s="317" t="s">
        <v>489</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tabSelected="1" zoomScale="80" zoomScaleNormal="80" workbookViewId="0">
      <pane ySplit="12" topLeftCell="A19" activePane="bottomLeft" state="frozen"/>
      <selection activeCell="N29" sqref="N29"/>
      <selection pane="bottomLeft" activeCell="N29" sqref="N29"/>
    </sheetView>
  </sheetViews>
  <sheetFormatPr defaultColWidth="9.140625" defaultRowHeight="12.75"/>
  <cols>
    <col min="1" max="2" width="10" style="445" customWidth="1"/>
    <col min="3" max="3" width="20.7109375" style="1251" customWidth="1"/>
    <col min="4" max="10" width="20.7109375" style="445" customWidth="1"/>
    <col min="11" max="16384" width="9.140625" style="445"/>
  </cols>
  <sheetData>
    <row r="1" spans="1:15" ht="19.5" customHeight="1">
      <c r="A1" s="1248" t="s">
        <v>1719</v>
      </c>
      <c r="B1" s="808"/>
      <c r="C1" s="382"/>
      <c r="D1" s="444"/>
      <c r="E1" s="444"/>
      <c r="F1" s="444"/>
      <c r="G1" s="444"/>
      <c r="H1" s="444"/>
      <c r="I1" s="444"/>
      <c r="J1" s="444"/>
    </row>
    <row r="2" spans="1:15" ht="18">
      <c r="A2" s="1248" t="s">
        <v>1656</v>
      </c>
      <c r="B2" s="808"/>
      <c r="C2" s="382"/>
      <c r="D2" s="444"/>
      <c r="E2" s="444"/>
      <c r="F2" s="444"/>
      <c r="G2" s="444"/>
      <c r="H2" s="444"/>
      <c r="I2" s="444"/>
      <c r="J2" s="444"/>
    </row>
    <row r="3" spans="1:15" ht="16.5">
      <c r="A3" s="1249" t="s">
        <v>1657</v>
      </c>
      <c r="B3" s="464"/>
      <c r="C3" s="382"/>
      <c r="D3" s="444"/>
      <c r="E3" s="444"/>
      <c r="F3" s="444"/>
      <c r="G3" s="444"/>
      <c r="H3" s="444"/>
      <c r="I3" s="444"/>
      <c r="J3" s="444"/>
    </row>
    <row r="4" spans="1:15" ht="16.5" hidden="1">
      <c r="A4" s="1249"/>
      <c r="B4" s="464"/>
      <c r="C4" s="382"/>
      <c r="D4" s="444"/>
      <c r="E4" s="444"/>
      <c r="F4" s="444"/>
      <c r="G4" s="444"/>
      <c r="H4" s="444"/>
      <c r="I4" s="444"/>
      <c r="J4" s="444"/>
    </row>
    <row r="5" spans="1:15" ht="16.5" hidden="1">
      <c r="A5" s="1249"/>
      <c r="B5" s="464"/>
      <c r="C5" s="382"/>
      <c r="D5" s="444"/>
      <c r="E5" s="444"/>
      <c r="F5" s="444"/>
      <c r="G5" s="444"/>
      <c r="H5" s="444"/>
      <c r="I5" s="444"/>
      <c r="J5" s="444"/>
    </row>
    <row r="6" spans="1:15" ht="16.5" hidden="1">
      <c r="A6" s="1249"/>
      <c r="B6" s="464"/>
      <c r="C6" s="1250"/>
      <c r="D6" s="444"/>
      <c r="E6" s="444"/>
      <c r="F6" s="444"/>
      <c r="G6" s="444"/>
      <c r="H6" s="444"/>
      <c r="I6" s="444"/>
      <c r="J6" s="444"/>
    </row>
    <row r="7" spans="1:15" ht="16.5">
      <c r="A7" s="1249" t="s">
        <v>1658</v>
      </c>
      <c r="B7" s="464"/>
      <c r="C7" s="382"/>
      <c r="D7" s="444"/>
      <c r="E7" s="444"/>
      <c r="F7" s="444"/>
      <c r="G7" s="444"/>
      <c r="H7" s="444"/>
      <c r="I7" s="444"/>
      <c r="J7" s="444"/>
    </row>
    <row r="8" spans="1:15" s="448" customFormat="1" ht="14.85" customHeight="1">
      <c r="A8" s="502" t="s">
        <v>1659</v>
      </c>
      <c r="B8" s="446"/>
      <c r="J8" s="529" t="s">
        <v>1660</v>
      </c>
    </row>
    <row r="9" spans="1:15" ht="15">
      <c r="A9" s="504"/>
      <c r="B9" s="505"/>
      <c r="C9" s="467" t="s">
        <v>1661</v>
      </c>
      <c r="D9" s="506"/>
      <c r="E9" s="506"/>
      <c r="F9" s="467" t="s">
        <v>1627</v>
      </c>
      <c r="G9" s="467" t="s">
        <v>1627</v>
      </c>
      <c r="H9" s="932"/>
      <c r="I9" s="933"/>
      <c r="J9" s="506"/>
    </row>
    <row r="10" spans="1:15" ht="15">
      <c r="A10" s="509" t="s">
        <v>379</v>
      </c>
      <c r="B10" s="510"/>
      <c r="C10" s="856" t="s">
        <v>1662</v>
      </c>
      <c r="D10" s="511" t="s">
        <v>1629</v>
      </c>
      <c r="E10" s="511" t="s">
        <v>1630</v>
      </c>
      <c r="F10" s="511" t="s">
        <v>1631</v>
      </c>
      <c r="G10" s="511" t="s">
        <v>1632</v>
      </c>
      <c r="H10" s="511" t="s">
        <v>1633</v>
      </c>
      <c r="I10" s="511" t="s">
        <v>1353</v>
      </c>
      <c r="J10" s="511" t="s">
        <v>1634</v>
      </c>
    </row>
    <row r="11" spans="1:15" ht="15">
      <c r="A11" s="471" t="s">
        <v>387</v>
      </c>
      <c r="B11" s="510"/>
      <c r="C11" s="474" t="s">
        <v>1663</v>
      </c>
      <c r="D11" s="474" t="s">
        <v>1638</v>
      </c>
      <c r="E11" s="474" t="s">
        <v>1639</v>
      </c>
      <c r="F11" s="474" t="s">
        <v>1640</v>
      </c>
      <c r="G11" s="474" t="s">
        <v>1640</v>
      </c>
      <c r="H11" s="474" t="s">
        <v>1641</v>
      </c>
      <c r="I11" s="474" t="s">
        <v>1642</v>
      </c>
      <c r="J11" s="474" t="s">
        <v>1643</v>
      </c>
    </row>
    <row r="12" spans="1:15" ht="15">
      <c r="A12" s="530"/>
      <c r="B12" s="531"/>
      <c r="C12" s="515" t="s">
        <v>1601</v>
      </c>
      <c r="D12" s="514"/>
      <c r="E12" s="514"/>
      <c r="F12" s="514" t="s">
        <v>1647</v>
      </c>
      <c r="G12" s="514" t="s">
        <v>1648</v>
      </c>
      <c r="H12" s="514"/>
      <c r="I12" s="514" t="s">
        <v>1649</v>
      </c>
      <c r="J12" s="514" t="s">
        <v>1650</v>
      </c>
    </row>
    <row r="13" spans="1:15" ht="21.2" hidden="1" customHeight="1">
      <c r="A13" s="405">
        <v>2015</v>
      </c>
      <c r="B13" s="628"/>
      <c r="C13" s="488"/>
      <c r="D13" s="488"/>
      <c r="E13" s="488"/>
      <c r="F13" s="488"/>
      <c r="G13" s="488"/>
      <c r="H13" s="488"/>
      <c r="I13" s="488"/>
      <c r="J13" s="488"/>
    </row>
    <row r="14" spans="1:15" ht="16.5" hidden="1" customHeight="1">
      <c r="A14" s="405">
        <v>2016</v>
      </c>
      <c r="B14" s="628"/>
      <c r="C14" s="488"/>
      <c r="D14" s="488"/>
      <c r="E14" s="488"/>
      <c r="F14" s="488"/>
      <c r="G14" s="488"/>
      <c r="H14" s="488"/>
      <c r="I14" s="488"/>
      <c r="J14" s="488"/>
    </row>
    <row r="15" spans="1:15" ht="16.5" hidden="1" customHeight="1">
      <c r="A15" s="405">
        <v>2017</v>
      </c>
      <c r="B15" s="628"/>
      <c r="C15" s="488"/>
      <c r="D15" s="488"/>
      <c r="E15" s="488"/>
      <c r="F15" s="488"/>
      <c r="G15" s="488"/>
      <c r="H15" s="488"/>
      <c r="I15" s="488"/>
      <c r="J15" s="488"/>
      <c r="K15" s="734"/>
    </row>
    <row r="16" spans="1:15" ht="16.5" hidden="1" customHeight="1">
      <c r="A16" s="405">
        <v>2018</v>
      </c>
      <c r="B16" s="629"/>
      <c r="C16" s="488"/>
      <c r="D16" s="488"/>
      <c r="E16" s="488"/>
      <c r="F16" s="488"/>
      <c r="G16" s="488"/>
      <c r="H16" s="488"/>
      <c r="I16" s="488"/>
      <c r="J16" s="488"/>
      <c r="K16" s="982"/>
      <c r="L16" s="843"/>
      <c r="M16" s="843"/>
      <c r="N16" s="843"/>
      <c r="O16" s="843"/>
    </row>
    <row r="17" spans="1:15" ht="16.5" hidden="1" customHeight="1">
      <c r="A17" s="405">
        <v>2019</v>
      </c>
      <c r="B17" s="629"/>
      <c r="C17" s="488"/>
      <c r="D17" s="488"/>
      <c r="E17" s="488"/>
      <c r="F17" s="488"/>
      <c r="G17" s="488"/>
      <c r="H17" s="488"/>
      <c r="I17" s="488"/>
      <c r="J17" s="488"/>
      <c r="K17" s="982"/>
      <c r="L17" s="843"/>
      <c r="M17" s="843"/>
      <c r="N17" s="843"/>
      <c r="O17" s="843"/>
    </row>
    <row r="18" spans="1:15" ht="16.5" hidden="1" customHeight="1">
      <c r="A18" s="405">
        <v>2020</v>
      </c>
      <c r="B18" s="629"/>
      <c r="C18" s="488">
        <v>0</v>
      </c>
      <c r="D18" s="488">
        <v>0</v>
      </c>
      <c r="E18" s="488">
        <v>0</v>
      </c>
      <c r="F18" s="488">
        <v>0</v>
      </c>
      <c r="G18" s="488">
        <v>0</v>
      </c>
      <c r="H18" s="488"/>
      <c r="I18" s="488">
        <v>0</v>
      </c>
      <c r="J18" s="488">
        <v>0</v>
      </c>
      <c r="K18" s="982"/>
      <c r="L18" s="843"/>
      <c r="M18" s="843"/>
      <c r="N18" s="843"/>
      <c r="O18" s="843"/>
    </row>
    <row r="19" spans="1:15" ht="20.25" customHeight="1">
      <c r="A19" s="405">
        <v>2021</v>
      </c>
      <c r="B19" s="629"/>
      <c r="C19" s="488">
        <v>1797.252</v>
      </c>
      <c r="D19" s="488">
        <v>3675.3449999999998</v>
      </c>
      <c r="E19" s="488">
        <v>3042.22</v>
      </c>
      <c r="F19" s="488">
        <v>3035.8139999999999</v>
      </c>
      <c r="G19" s="488">
        <v>3010.6410000000001</v>
      </c>
      <c r="H19" s="488">
        <v>6402.47</v>
      </c>
      <c r="I19" s="488">
        <v>2957.8629999999998</v>
      </c>
      <c r="J19" s="488">
        <v>3190.1970000000001</v>
      </c>
      <c r="K19" s="982"/>
      <c r="L19" s="843"/>
      <c r="M19" s="843"/>
      <c r="N19" s="843"/>
      <c r="O19" s="843"/>
    </row>
    <row r="20" spans="1:15" ht="20.25" customHeight="1">
      <c r="A20" s="405">
        <v>2022</v>
      </c>
      <c r="B20" s="629"/>
      <c r="C20" s="488">
        <v>1895.2670000000001</v>
      </c>
      <c r="D20" s="488">
        <v>5007.6570000000002</v>
      </c>
      <c r="E20" s="488">
        <v>2871.2240000000002</v>
      </c>
      <c r="F20" s="488">
        <v>3332.9789999999998</v>
      </c>
      <c r="G20" s="488">
        <v>3003.8890000000001</v>
      </c>
      <c r="H20" s="488">
        <v>6691.2030000000004</v>
      </c>
      <c r="I20" s="488">
        <v>2437.0790000000002</v>
      </c>
      <c r="J20" s="488">
        <v>3008.2849999999999</v>
      </c>
      <c r="K20" s="982"/>
      <c r="L20" s="843"/>
      <c r="M20" s="843"/>
      <c r="N20" s="843"/>
      <c r="O20" s="843"/>
    </row>
    <row r="21" spans="1:15" ht="20.25" customHeight="1">
      <c r="A21" s="405">
        <v>2023</v>
      </c>
      <c r="B21" s="629"/>
      <c r="C21" s="488">
        <v>1971.492</v>
      </c>
      <c r="D21" s="488">
        <v>5260.3370000000004</v>
      </c>
      <c r="E21" s="488">
        <v>2998.5340000000001</v>
      </c>
      <c r="F21" s="488">
        <v>3503.6179999999999</v>
      </c>
      <c r="G21" s="488">
        <v>2547.556</v>
      </c>
      <c r="H21" s="488">
        <v>6976.1080000000002</v>
      </c>
      <c r="I21" s="488">
        <v>2480.5329999999999</v>
      </c>
      <c r="J21" s="488">
        <v>2696.643</v>
      </c>
      <c r="K21" s="982"/>
      <c r="L21" s="843"/>
      <c r="M21" s="843"/>
      <c r="N21" s="843"/>
      <c r="O21" s="843"/>
    </row>
    <row r="22" spans="1:15" ht="20.25" customHeight="1">
      <c r="A22" s="713">
        <v>2024</v>
      </c>
      <c r="B22" s="758"/>
      <c r="C22" s="755">
        <f t="shared" ref="C22:J22" si="0">C27</f>
        <v>1985.913</v>
      </c>
      <c r="D22" s="755">
        <f t="shared" si="0"/>
        <v>5972.4350000000004</v>
      </c>
      <c r="E22" s="755">
        <f t="shared" si="0"/>
        <v>3015.518</v>
      </c>
      <c r="F22" s="755">
        <f t="shared" si="0"/>
        <v>2835.8519999999999</v>
      </c>
      <c r="G22" s="755">
        <f t="shared" si="0"/>
        <v>2175.6129999999998</v>
      </c>
      <c r="H22" s="755">
        <f t="shared" si="0"/>
        <v>6855.3639999999996</v>
      </c>
      <c r="I22" s="755">
        <f t="shared" si="0"/>
        <v>2451.9299999999998</v>
      </c>
      <c r="J22" s="755">
        <f t="shared" si="0"/>
        <v>2216.6849999999999</v>
      </c>
      <c r="K22" s="982"/>
      <c r="L22" s="843"/>
      <c r="M22" s="843"/>
      <c r="N22" s="843"/>
      <c r="O22" s="843"/>
    </row>
    <row r="23" spans="1:15" ht="21" customHeight="1">
      <c r="A23" s="405">
        <v>2023</v>
      </c>
      <c r="B23" s="629" t="s">
        <v>238</v>
      </c>
      <c r="C23" s="488">
        <v>1971.492</v>
      </c>
      <c r="D23" s="488">
        <v>5260.3370000000004</v>
      </c>
      <c r="E23" s="488">
        <v>2998.5340000000001</v>
      </c>
      <c r="F23" s="488">
        <v>3503.6179999999999</v>
      </c>
      <c r="G23" s="488">
        <v>2547.556</v>
      </c>
      <c r="H23" s="488">
        <v>6976.1080000000002</v>
      </c>
      <c r="I23" s="488">
        <v>2480.5329999999999</v>
      </c>
      <c r="J23" s="488">
        <v>2696.643</v>
      </c>
      <c r="K23" s="982"/>
      <c r="L23" s="843"/>
      <c r="M23" s="843"/>
      <c r="N23" s="843"/>
      <c r="O23" s="843"/>
    </row>
    <row r="24" spans="1:15" ht="21" customHeight="1">
      <c r="A24" s="405">
        <v>2024</v>
      </c>
      <c r="B24" s="629" t="s">
        <v>239</v>
      </c>
      <c r="C24" s="488">
        <v>2042.671</v>
      </c>
      <c r="D24" s="488">
        <v>5604.9</v>
      </c>
      <c r="E24" s="488">
        <v>3210.9290000000001</v>
      </c>
      <c r="F24" s="488">
        <v>3458.7570000000001</v>
      </c>
      <c r="G24" s="488">
        <v>2533.5410000000002</v>
      </c>
      <c r="H24" s="488">
        <v>7136.6670000000004</v>
      </c>
      <c r="I24" s="488">
        <v>2658.3229999999999</v>
      </c>
      <c r="J24" s="488">
        <v>2598.5039999999999</v>
      </c>
      <c r="K24" s="982"/>
      <c r="L24" s="843"/>
      <c r="M24" s="843"/>
      <c r="N24" s="843"/>
      <c r="O24" s="843"/>
    </row>
    <row r="25" spans="1:15" ht="15" customHeight="1">
      <c r="A25" s="405"/>
      <c r="B25" s="629" t="s">
        <v>240</v>
      </c>
      <c r="C25" s="488">
        <v>2025.4929999999999</v>
      </c>
      <c r="D25" s="488">
        <v>5421.1329999999998</v>
      </c>
      <c r="E25" s="488">
        <v>3128.3989999999999</v>
      </c>
      <c r="F25" s="488">
        <v>3338.5070000000001</v>
      </c>
      <c r="G25" s="488">
        <v>2448.0549999999998</v>
      </c>
      <c r="H25" s="488">
        <v>7197.5339999999997</v>
      </c>
      <c r="I25" s="488">
        <v>2574.9580000000001</v>
      </c>
      <c r="J25" s="488">
        <v>2433.0590000000002</v>
      </c>
      <c r="K25" s="982"/>
      <c r="L25" s="843"/>
      <c r="M25" s="843"/>
      <c r="N25" s="843"/>
      <c r="O25" s="843"/>
    </row>
    <row r="26" spans="1:15" ht="15" customHeight="1">
      <c r="A26" s="405"/>
      <c r="B26" s="629" t="s">
        <v>237</v>
      </c>
      <c r="C26" s="488">
        <v>2012.771</v>
      </c>
      <c r="D26" s="488">
        <v>5779.4790000000003</v>
      </c>
      <c r="E26" s="488">
        <v>3141.8020000000001</v>
      </c>
      <c r="F26" s="488">
        <v>3194.5970000000002</v>
      </c>
      <c r="G26" s="488">
        <v>2309.4160000000002</v>
      </c>
      <c r="H26" s="488">
        <v>7011.683</v>
      </c>
      <c r="I26" s="488">
        <v>2526.703</v>
      </c>
      <c r="J26" s="488">
        <v>2260.7159999999999</v>
      </c>
      <c r="K26" s="982"/>
      <c r="L26" s="843"/>
      <c r="M26" s="843"/>
      <c r="N26" s="843"/>
      <c r="O26" s="843"/>
    </row>
    <row r="27" spans="1:15" ht="15" customHeight="1">
      <c r="A27" s="405"/>
      <c r="B27" s="629" t="s">
        <v>238</v>
      </c>
      <c r="C27" s="488">
        <v>1985.913</v>
      </c>
      <c r="D27" s="488">
        <v>5972.4350000000004</v>
      </c>
      <c r="E27" s="488">
        <v>3015.518</v>
      </c>
      <c r="F27" s="488">
        <v>2835.8519999999999</v>
      </c>
      <c r="G27" s="488">
        <v>2175.6129999999998</v>
      </c>
      <c r="H27" s="488">
        <v>6855.3639999999996</v>
      </c>
      <c r="I27" s="488">
        <v>2451.9299999999998</v>
      </c>
      <c r="J27" s="488">
        <v>2216.6849999999999</v>
      </c>
      <c r="K27" s="982"/>
      <c r="L27" s="843"/>
      <c r="M27" s="843"/>
      <c r="N27" s="843"/>
      <c r="O27" s="843"/>
    </row>
    <row r="28" spans="1:15" ht="21" customHeight="1">
      <c r="A28" s="405">
        <v>2025</v>
      </c>
      <c r="B28" s="629" t="s">
        <v>239</v>
      </c>
      <c r="C28" s="488">
        <f t="shared" ref="C28:J28" si="1">C36</f>
        <v>1951.365</v>
      </c>
      <c r="D28" s="488">
        <f t="shared" si="1"/>
        <v>5145.482</v>
      </c>
      <c r="E28" s="488">
        <f t="shared" si="1"/>
        <v>3021.1729999999998</v>
      </c>
      <c r="F28" s="488">
        <f t="shared" si="1"/>
        <v>2821.971</v>
      </c>
      <c r="G28" s="488">
        <f t="shared" si="1"/>
        <v>2150.759</v>
      </c>
      <c r="H28" s="488">
        <f t="shared" si="1"/>
        <v>7029.665</v>
      </c>
      <c r="I28" s="488">
        <f t="shared" si="1"/>
        <v>2453.7660000000001</v>
      </c>
      <c r="J28" s="488">
        <f t="shared" si="1"/>
        <v>2477.0300000000002</v>
      </c>
      <c r="K28" s="982"/>
      <c r="L28" s="843"/>
      <c r="M28" s="843"/>
      <c r="N28" s="843"/>
      <c r="O28" s="843"/>
    </row>
    <row r="29" spans="1:15" ht="15" customHeight="1">
      <c r="A29" s="405"/>
      <c r="B29" s="629" t="s">
        <v>240</v>
      </c>
      <c r="C29" s="488">
        <f t="shared" ref="C29:J29" si="2">C39</f>
        <v>1943.81</v>
      </c>
      <c r="D29" s="488">
        <f t="shared" si="2"/>
        <v>4525.268</v>
      </c>
      <c r="E29" s="488">
        <f t="shared" si="2"/>
        <v>2748.5010000000002</v>
      </c>
      <c r="F29" s="488">
        <f t="shared" si="2"/>
        <v>3325.0050000000001</v>
      </c>
      <c r="G29" s="488">
        <f t="shared" si="2"/>
        <v>1965.4059999999999</v>
      </c>
      <c r="H29" s="488">
        <f t="shared" si="2"/>
        <v>7269.8980000000001</v>
      </c>
      <c r="I29" s="488">
        <f t="shared" si="2"/>
        <v>2457.0169999999998</v>
      </c>
      <c r="J29" s="488">
        <f t="shared" si="2"/>
        <v>2436.6590000000001</v>
      </c>
      <c r="K29" s="982"/>
      <c r="L29" s="843"/>
      <c r="M29" s="843"/>
      <c r="N29" s="843"/>
      <c r="O29" s="843"/>
    </row>
    <row r="30" spans="1:15" ht="15" customHeight="1">
      <c r="A30" s="713"/>
      <c r="B30" s="758" t="s">
        <v>237</v>
      </c>
      <c r="C30" s="755">
        <f t="shared" ref="C30:J30" si="3">C42</f>
        <v>1948.173</v>
      </c>
      <c r="D30" s="755">
        <f t="shared" si="3"/>
        <v>4153.1390000000001</v>
      </c>
      <c r="E30" s="755">
        <f t="shared" si="3"/>
        <v>2790.8090000000002</v>
      </c>
      <c r="F30" s="755">
        <f t="shared" si="3"/>
        <v>2989.1379999999999</v>
      </c>
      <c r="G30" s="755">
        <f t="shared" si="3"/>
        <v>1888.461</v>
      </c>
      <c r="H30" s="755">
        <f t="shared" si="3"/>
        <v>7529.0749999999998</v>
      </c>
      <c r="I30" s="755">
        <f t="shared" si="3"/>
        <v>2424.538</v>
      </c>
      <c r="J30" s="755">
        <f t="shared" si="3"/>
        <v>2383.63</v>
      </c>
      <c r="K30" s="982"/>
      <c r="L30" s="843"/>
      <c r="M30" s="843"/>
      <c r="N30" s="843"/>
      <c r="O30" s="843"/>
    </row>
    <row r="31" spans="1:15" s="843" customFormat="1" ht="21" customHeight="1">
      <c r="A31" s="405">
        <v>2024</v>
      </c>
      <c r="B31" s="629" t="s">
        <v>412</v>
      </c>
      <c r="C31" s="488">
        <v>2018.904</v>
      </c>
      <c r="D31" s="488">
        <v>6110.26</v>
      </c>
      <c r="E31" s="488">
        <v>3062.6390000000001</v>
      </c>
      <c r="F31" s="488">
        <v>3091.837</v>
      </c>
      <c r="G31" s="488">
        <v>2309.4160000000002</v>
      </c>
      <c r="H31" s="488">
        <v>6934.5429999999997</v>
      </c>
      <c r="I31" s="488">
        <v>2479.7449999999999</v>
      </c>
      <c r="J31" s="488">
        <v>2216.6849999999999</v>
      </c>
      <c r="K31" s="1194"/>
    </row>
    <row r="32" spans="1:15" s="843" customFormat="1" ht="17.25" customHeight="1">
      <c r="A32" s="405"/>
      <c r="B32" s="629" t="s">
        <v>413</v>
      </c>
      <c r="C32" s="488">
        <v>2031.9780000000001</v>
      </c>
      <c r="D32" s="488">
        <v>6362.94</v>
      </c>
      <c r="E32" s="488">
        <v>3024.9430000000002</v>
      </c>
      <c r="F32" s="488">
        <v>2905.0549999999998</v>
      </c>
      <c r="G32" s="488">
        <v>2175.6129999999998</v>
      </c>
      <c r="H32" s="488">
        <v>6931.2330000000002</v>
      </c>
      <c r="I32" s="488">
        <v>2468.8629999999998</v>
      </c>
      <c r="J32" s="488">
        <v>2150.3989999999999</v>
      </c>
      <c r="K32" s="1098"/>
    </row>
    <row r="33" spans="1:11" s="843" customFormat="1" ht="17.25" customHeight="1">
      <c r="A33" s="405"/>
      <c r="B33" s="629" t="s">
        <v>414</v>
      </c>
      <c r="C33" s="488">
        <v>1985.913</v>
      </c>
      <c r="D33" s="488">
        <v>5972.4350000000004</v>
      </c>
      <c r="E33" s="488">
        <v>3015.518</v>
      </c>
      <c r="F33" s="488">
        <v>2835.8519999999999</v>
      </c>
      <c r="G33" s="488">
        <v>2175.6129999999998</v>
      </c>
      <c r="H33" s="488">
        <v>6855.3639999999996</v>
      </c>
      <c r="I33" s="488">
        <v>2451.9299999999998</v>
      </c>
      <c r="J33" s="488">
        <v>2216.6849999999999</v>
      </c>
      <c r="K33" s="1098"/>
    </row>
    <row r="34" spans="1:11" s="843" customFormat="1" ht="21" customHeight="1">
      <c r="A34" s="405">
        <v>2025</v>
      </c>
      <c r="B34" s="629" t="s">
        <v>415</v>
      </c>
      <c r="C34" s="488">
        <v>1879.4829999999999</v>
      </c>
      <c r="D34" s="488">
        <v>4869.8320000000003</v>
      </c>
      <c r="E34" s="488">
        <v>2911.8530000000001</v>
      </c>
      <c r="F34" s="488">
        <v>2679.8560000000002</v>
      </c>
      <c r="G34" s="488">
        <v>2127.4369999999999</v>
      </c>
      <c r="H34" s="488">
        <v>6768.3869999999997</v>
      </c>
      <c r="I34" s="488">
        <v>2465.1869999999999</v>
      </c>
      <c r="J34" s="488">
        <v>2123.8850000000002</v>
      </c>
      <c r="K34" s="1194"/>
    </row>
    <row r="35" spans="1:11" s="843" customFormat="1" ht="17.25" customHeight="1">
      <c r="A35" s="405"/>
      <c r="B35" s="629" t="s">
        <v>416</v>
      </c>
      <c r="C35" s="488">
        <v>1960.2260000000001</v>
      </c>
      <c r="D35" s="488">
        <v>5191.424</v>
      </c>
      <c r="E35" s="488">
        <v>3038.136</v>
      </c>
      <c r="F35" s="488">
        <v>2714.1950000000002</v>
      </c>
      <c r="G35" s="488">
        <v>2135.721</v>
      </c>
      <c r="H35" s="488">
        <v>7073.5630000000001</v>
      </c>
      <c r="I35" s="488">
        <v>2459.9050000000002</v>
      </c>
      <c r="J35" s="488">
        <v>2344.4580000000001</v>
      </c>
      <c r="K35" s="1194"/>
    </row>
    <row r="36" spans="1:11" s="843" customFormat="1" ht="17.25" customHeight="1">
      <c r="A36" s="405"/>
      <c r="B36" s="629" t="s">
        <v>417</v>
      </c>
      <c r="C36" s="488">
        <v>1951.365</v>
      </c>
      <c r="D36" s="488">
        <v>5145.482</v>
      </c>
      <c r="E36" s="488">
        <v>3021.1729999999998</v>
      </c>
      <c r="F36" s="488">
        <v>2821.971</v>
      </c>
      <c r="G36" s="488">
        <v>2150.759</v>
      </c>
      <c r="H36" s="488">
        <v>7029.665</v>
      </c>
      <c r="I36" s="488">
        <v>2453.7660000000001</v>
      </c>
      <c r="J36" s="488">
        <v>2477.0300000000002</v>
      </c>
      <c r="K36" s="1194"/>
    </row>
    <row r="37" spans="1:11" s="843" customFormat="1" ht="17.25" customHeight="1">
      <c r="A37" s="405"/>
      <c r="B37" s="629" t="s">
        <v>418</v>
      </c>
      <c r="C37" s="488">
        <v>1912.1959999999999</v>
      </c>
      <c r="D37" s="488">
        <v>4548.2389999999996</v>
      </c>
      <c r="E37" s="488">
        <v>2823.2660000000001</v>
      </c>
      <c r="F37" s="488">
        <v>3019.5</v>
      </c>
      <c r="G37" s="488">
        <v>2071.37</v>
      </c>
      <c r="H37" s="488">
        <v>7078.2879999999996</v>
      </c>
      <c r="I37" s="488">
        <v>2467.7260000000001</v>
      </c>
      <c r="J37" s="488">
        <v>2420.7620000000002</v>
      </c>
      <c r="K37" s="1194"/>
    </row>
    <row r="38" spans="1:11" s="843" customFormat="1" ht="17.25" customHeight="1">
      <c r="A38" s="405"/>
      <c r="B38" s="629" t="s">
        <v>419</v>
      </c>
      <c r="C38" s="488">
        <v>1920.9079999999999</v>
      </c>
      <c r="D38" s="488">
        <v>4364.4719999999998</v>
      </c>
      <c r="E38" s="488">
        <v>2800.7530000000002</v>
      </c>
      <c r="F38" s="488">
        <v>3131.3229999999999</v>
      </c>
      <c r="G38" s="488">
        <v>2082.7539999999999</v>
      </c>
      <c r="H38" s="488">
        <v>7204.4880000000003</v>
      </c>
      <c r="I38" s="488">
        <v>2475.5160000000001</v>
      </c>
      <c r="J38" s="488">
        <v>2404.866</v>
      </c>
      <c r="K38" s="1194"/>
    </row>
    <row r="39" spans="1:11" s="843" customFormat="1" ht="17.25" customHeight="1">
      <c r="A39" s="405"/>
      <c r="B39" s="629" t="s">
        <v>420</v>
      </c>
      <c r="C39" s="488">
        <v>1943.81</v>
      </c>
      <c r="D39" s="488">
        <v>4525.268</v>
      </c>
      <c r="E39" s="488">
        <v>2748.5010000000002</v>
      </c>
      <c r="F39" s="488">
        <v>3325.0050000000001</v>
      </c>
      <c r="G39" s="488">
        <v>1965.4059999999999</v>
      </c>
      <c r="H39" s="488">
        <v>7269.8980000000001</v>
      </c>
      <c r="I39" s="488">
        <v>2457.0169999999998</v>
      </c>
      <c r="J39" s="488">
        <v>2436.6590000000001</v>
      </c>
      <c r="K39" s="1194"/>
    </row>
    <row r="40" spans="1:11" s="843" customFormat="1" ht="17.25" customHeight="1">
      <c r="A40" s="405"/>
      <c r="B40" s="629" t="s">
        <v>421</v>
      </c>
      <c r="C40" s="488">
        <v>1955.6320000000001</v>
      </c>
      <c r="D40" s="488">
        <v>4355.2830000000004</v>
      </c>
      <c r="E40" s="488">
        <v>2772.375</v>
      </c>
      <c r="F40" s="488">
        <v>3177.0160000000001</v>
      </c>
      <c r="G40" s="488">
        <v>1956.432</v>
      </c>
      <c r="H40" s="488">
        <v>7413.2740000000003</v>
      </c>
      <c r="I40" s="488">
        <v>2496.0619999999999</v>
      </c>
      <c r="J40" s="488">
        <v>2431.92</v>
      </c>
      <c r="K40" s="1194"/>
    </row>
    <row r="41" spans="1:11" s="843" customFormat="1" ht="17.25" customHeight="1">
      <c r="A41" s="405"/>
      <c r="B41" s="629" t="s">
        <v>422</v>
      </c>
      <c r="C41" s="488">
        <v>1929.183</v>
      </c>
      <c r="D41" s="488">
        <v>4088.8209999999999</v>
      </c>
      <c r="E41" s="488">
        <v>2828.92</v>
      </c>
      <c r="F41" s="488">
        <v>3134.5459999999998</v>
      </c>
      <c r="G41" s="488">
        <v>1964.7170000000001</v>
      </c>
      <c r="H41" s="488">
        <v>7422.067</v>
      </c>
      <c r="I41" s="488">
        <v>2428.7040000000002</v>
      </c>
      <c r="J41" s="488">
        <v>2365.634</v>
      </c>
      <c r="K41" s="1194"/>
    </row>
    <row r="42" spans="1:11" s="843" customFormat="1" ht="17.25" customHeight="1">
      <c r="A42" s="405"/>
      <c r="B42" s="629" t="s">
        <v>423</v>
      </c>
      <c r="C42" s="488">
        <v>1948.173</v>
      </c>
      <c r="D42" s="488">
        <v>4153.1390000000001</v>
      </c>
      <c r="E42" s="488">
        <v>2790.8090000000002</v>
      </c>
      <c r="F42" s="488">
        <v>2989.1379999999999</v>
      </c>
      <c r="G42" s="488">
        <v>1888.461</v>
      </c>
      <c r="H42" s="488">
        <v>7529.0749999999998</v>
      </c>
      <c r="I42" s="488">
        <v>2424.538</v>
      </c>
      <c r="J42" s="488">
        <v>2383.63</v>
      </c>
      <c r="K42" s="1194"/>
    </row>
    <row r="43" spans="1:11" s="843" customFormat="1" ht="17.25" customHeight="1">
      <c r="A43" s="405"/>
      <c r="B43" s="629" t="s">
        <v>412</v>
      </c>
      <c r="C43" s="488">
        <v>2062.8989999999999</v>
      </c>
      <c r="D43" s="488">
        <v>5076.57</v>
      </c>
      <c r="E43" s="488">
        <v>2771.9609999999998</v>
      </c>
      <c r="F43" s="488">
        <v>3110.7449999999999</v>
      </c>
      <c r="G43" s="488">
        <v>1979.12</v>
      </c>
      <c r="H43" s="488">
        <v>7747.7640000000001</v>
      </c>
      <c r="I43" s="488">
        <v>2434.8110000000001</v>
      </c>
      <c r="J43" s="488">
        <v>2460.4740000000002</v>
      </c>
      <c r="K43" s="1194"/>
    </row>
    <row r="44" spans="1:11" ht="21" customHeight="1">
      <c r="A44" s="524" t="s">
        <v>1620</v>
      </c>
      <c r="B44" s="462"/>
      <c r="C44" s="462"/>
      <c r="D44" s="462"/>
      <c r="E44" s="462"/>
      <c r="F44" s="462"/>
      <c r="G44" s="462"/>
      <c r="H44" s="462"/>
      <c r="I44" s="462"/>
      <c r="J44" s="525" t="s">
        <v>1621</v>
      </c>
    </row>
    <row r="46" spans="1:11" ht="14.25">
      <c r="A46" s="501" t="s">
        <v>1664</v>
      </c>
      <c r="B46" s="444"/>
      <c r="C46" s="1250"/>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1"/>
  <sheetViews>
    <sheetView tabSelected="1" zoomScale="70" zoomScaleNormal="70" workbookViewId="0">
      <pane ySplit="9" topLeftCell="A17" activePane="bottomLeft" state="frozen"/>
      <selection activeCell="N29" sqref="N29"/>
      <selection pane="bottomLeft" activeCell="N29" sqref="N29"/>
    </sheetView>
  </sheetViews>
  <sheetFormatPr defaultColWidth="9.140625" defaultRowHeight="12.75"/>
  <cols>
    <col min="1" max="1" width="12.42578125" style="445" customWidth="1"/>
    <col min="2" max="2" width="12" style="445" customWidth="1"/>
    <col min="3" max="6" width="20.7109375" style="445" customWidth="1"/>
    <col min="7" max="9" width="17.7109375" style="445" hidden="1" customWidth="1"/>
    <col min="10" max="10" width="18.7109375" style="445" hidden="1" customWidth="1"/>
    <col min="11" max="16384" width="9.140625" style="445"/>
  </cols>
  <sheetData>
    <row r="1" spans="1:10" ht="19.5" customHeight="1">
      <c r="A1" s="808" t="s">
        <v>1717</v>
      </c>
      <c r="B1" s="808"/>
      <c r="C1" s="808"/>
      <c r="D1" s="808"/>
      <c r="E1" s="808"/>
      <c r="F1" s="808"/>
      <c r="G1" s="808"/>
      <c r="H1" s="808"/>
      <c r="I1" s="808"/>
      <c r="J1" s="808"/>
    </row>
    <row r="2" spans="1:10" ht="19.5" customHeight="1">
      <c r="A2" s="808" t="s">
        <v>1665</v>
      </c>
      <c r="B2" s="808"/>
      <c r="C2" s="808"/>
      <c r="D2" s="808"/>
      <c r="E2" s="808"/>
      <c r="F2" s="808"/>
      <c r="G2" s="808"/>
      <c r="H2" s="808"/>
      <c r="I2" s="808"/>
      <c r="J2" s="382"/>
    </row>
    <row r="3" spans="1:10" ht="36" customHeight="1">
      <c r="A3" s="1233" t="s">
        <v>1666</v>
      </c>
      <c r="B3" s="1234"/>
      <c r="C3" s="1234"/>
      <c r="D3" s="1234"/>
      <c r="E3" s="1234"/>
      <c r="F3" s="1234"/>
      <c r="G3" s="1234"/>
      <c r="H3" s="1234"/>
      <c r="I3" s="1234"/>
      <c r="J3" s="1234"/>
    </row>
    <row r="4" spans="1:10" s="1236" customFormat="1" ht="14.85" customHeight="1">
      <c r="A4" s="809"/>
      <c r="B4" s="809"/>
      <c r="C4" s="1235"/>
      <c r="D4" s="1235"/>
      <c r="E4" s="1235"/>
      <c r="F4" s="1235"/>
      <c r="G4" s="1235"/>
      <c r="H4" s="1235"/>
      <c r="I4" s="1235"/>
      <c r="J4" s="1235"/>
    </row>
    <row r="5" spans="1:10" s="532" customFormat="1" ht="20.25" customHeight="1">
      <c r="A5" s="1237"/>
      <c r="B5" s="1238"/>
      <c r="C5" s="1239" t="s">
        <v>1667</v>
      </c>
      <c r="D5" s="1240"/>
      <c r="E5" s="1240"/>
      <c r="F5" s="1241"/>
      <c r="G5" s="1242" t="s">
        <v>1668</v>
      </c>
      <c r="H5" s="1240"/>
      <c r="I5" s="1241"/>
      <c r="J5" s="450" t="s">
        <v>1669</v>
      </c>
    </row>
    <row r="6" spans="1:10" s="532" customFormat="1" ht="20.25" customHeight="1">
      <c r="A6" s="533" t="s">
        <v>1587</v>
      </c>
      <c r="B6" s="534"/>
      <c r="C6" s="535" t="s">
        <v>1670</v>
      </c>
      <c r="D6" s="536"/>
      <c r="E6" s="536"/>
      <c r="F6" s="537"/>
      <c r="G6" s="535" t="s">
        <v>1671</v>
      </c>
      <c r="H6" s="536"/>
      <c r="I6" s="536"/>
      <c r="J6" s="1243" t="s">
        <v>1672</v>
      </c>
    </row>
    <row r="7" spans="1:10" s="532" customFormat="1" ht="20.25" customHeight="1">
      <c r="A7" s="533" t="s">
        <v>1595</v>
      </c>
      <c r="B7" s="534"/>
      <c r="C7" s="1244" t="s">
        <v>983</v>
      </c>
      <c r="D7" s="1244" t="s">
        <v>1673</v>
      </c>
      <c r="E7" s="1244" t="s">
        <v>1674</v>
      </c>
      <c r="F7" s="1244" t="s">
        <v>382</v>
      </c>
      <c r="G7" s="1244" t="s">
        <v>983</v>
      </c>
      <c r="H7" s="1244" t="s">
        <v>1673</v>
      </c>
      <c r="I7" s="1245" t="s">
        <v>1674</v>
      </c>
      <c r="J7" s="1243" t="s">
        <v>1718</v>
      </c>
    </row>
    <row r="8" spans="1:10" s="532" customFormat="1" ht="20.25" customHeight="1">
      <c r="A8" s="538"/>
      <c r="B8" s="539"/>
      <c r="C8" s="2036" t="s">
        <v>1015</v>
      </c>
      <c r="D8" s="2036" t="s">
        <v>989</v>
      </c>
      <c r="E8" s="2036" t="s">
        <v>1061</v>
      </c>
      <c r="F8" s="2036" t="s">
        <v>393</v>
      </c>
      <c r="G8" s="2036" t="s">
        <v>1015</v>
      </c>
      <c r="H8" s="2036" t="s">
        <v>989</v>
      </c>
      <c r="I8" s="2036" t="s">
        <v>1061</v>
      </c>
      <c r="J8" s="1244" t="s">
        <v>1675</v>
      </c>
    </row>
    <row r="9" spans="1:10" s="532" customFormat="1" ht="20.25" customHeight="1">
      <c r="A9" s="934"/>
      <c r="B9" s="540"/>
      <c r="C9" s="2037"/>
      <c r="D9" s="2037"/>
      <c r="E9" s="2037"/>
      <c r="F9" s="2037"/>
      <c r="G9" s="2037"/>
      <c r="H9" s="2037"/>
      <c r="I9" s="2037"/>
      <c r="J9" s="1246" t="s">
        <v>792</v>
      </c>
    </row>
    <row r="10" spans="1:10" s="468" customFormat="1" ht="24" customHeight="1">
      <c r="A10" s="405">
        <v>2015</v>
      </c>
      <c r="B10" s="495"/>
      <c r="C10" s="493">
        <v>146411</v>
      </c>
      <c r="D10" s="493">
        <v>59530</v>
      </c>
      <c r="E10" s="493">
        <v>14009</v>
      </c>
      <c r="F10" s="493">
        <v>219949</v>
      </c>
      <c r="G10" s="494" t="s">
        <v>593</v>
      </c>
      <c r="H10" s="494" t="s">
        <v>593</v>
      </c>
      <c r="I10" s="494" t="s">
        <v>593</v>
      </c>
      <c r="J10" s="487" t="s">
        <v>593</v>
      </c>
    </row>
    <row r="11" spans="1:10" s="468" customFormat="1" ht="16.5" customHeight="1">
      <c r="A11" s="405">
        <v>2016</v>
      </c>
      <c r="B11" s="495"/>
      <c r="C11" s="493">
        <v>173464.86199999999</v>
      </c>
      <c r="D11" s="493">
        <v>45516.493999999999</v>
      </c>
      <c r="E11" s="493">
        <v>29926.627</v>
      </c>
      <c r="F11" s="493">
        <v>248907.98300000001</v>
      </c>
      <c r="G11" s="494" t="s">
        <v>593</v>
      </c>
      <c r="H11" s="494" t="s">
        <v>1676</v>
      </c>
      <c r="I11" s="494" t="s">
        <v>593</v>
      </c>
      <c r="J11" s="487" t="s">
        <v>593</v>
      </c>
    </row>
    <row r="12" spans="1:10" s="468" customFormat="1" ht="16.5" customHeight="1">
      <c r="A12" s="405">
        <v>2017</v>
      </c>
      <c r="B12" s="495"/>
      <c r="C12" s="493">
        <v>288357</v>
      </c>
      <c r="D12" s="493">
        <v>94549</v>
      </c>
      <c r="E12" s="493">
        <v>39771</v>
      </c>
      <c r="F12" s="493">
        <f>SUM(C12:E12)</f>
        <v>422677</v>
      </c>
      <c r="G12" s="494" t="s">
        <v>593</v>
      </c>
      <c r="H12" s="494" t="s">
        <v>1676</v>
      </c>
      <c r="I12" s="494" t="s">
        <v>593</v>
      </c>
      <c r="J12" s="487" t="s">
        <v>593</v>
      </c>
    </row>
    <row r="13" spans="1:10" s="468" customFormat="1" ht="16.5" customHeight="1">
      <c r="A13" s="405">
        <v>2018</v>
      </c>
      <c r="B13" s="495"/>
      <c r="C13" s="493">
        <v>357427.24830000004</v>
      </c>
      <c r="D13" s="493">
        <v>185370.85699999999</v>
      </c>
      <c r="E13" s="493">
        <v>104867.47100000001</v>
      </c>
      <c r="F13" s="493">
        <v>647665.57630000007</v>
      </c>
      <c r="G13" s="494" t="s">
        <v>593</v>
      </c>
      <c r="H13" s="494" t="s">
        <v>593</v>
      </c>
      <c r="I13" s="494" t="s">
        <v>593</v>
      </c>
      <c r="J13" s="487" t="s">
        <v>593</v>
      </c>
    </row>
    <row r="14" spans="1:10" s="468" customFormat="1" ht="16.5" customHeight="1">
      <c r="A14" s="405">
        <v>2019</v>
      </c>
      <c r="B14" s="495"/>
      <c r="C14" s="493">
        <v>345309</v>
      </c>
      <c r="D14" s="493">
        <v>151875</v>
      </c>
      <c r="E14" s="493">
        <v>75628</v>
      </c>
      <c r="F14" s="493">
        <v>572812</v>
      </c>
      <c r="G14" s="494" t="s">
        <v>593</v>
      </c>
      <c r="H14" s="494" t="s">
        <v>593</v>
      </c>
      <c r="I14" s="494" t="s">
        <v>593</v>
      </c>
      <c r="J14" s="487" t="s">
        <v>593</v>
      </c>
    </row>
    <row r="15" spans="1:10" s="468" customFormat="1" ht="16.5" customHeight="1">
      <c r="A15" s="405">
        <v>2020</v>
      </c>
      <c r="B15" s="495"/>
      <c r="C15" s="493">
        <v>318289.51189999998</v>
      </c>
      <c r="D15" s="493">
        <v>80420.298999999999</v>
      </c>
      <c r="E15" s="493">
        <v>26889.485000000001</v>
      </c>
      <c r="F15" s="493">
        <v>425599.29589999997</v>
      </c>
      <c r="G15" s="494" t="s">
        <v>593</v>
      </c>
      <c r="H15" s="494" t="s">
        <v>593</v>
      </c>
      <c r="I15" s="494" t="s">
        <v>593</v>
      </c>
      <c r="J15" s="487" t="s">
        <v>593</v>
      </c>
    </row>
    <row r="16" spans="1:10" s="468" customFormat="1" ht="16.5" customHeight="1">
      <c r="A16" s="405">
        <v>2021</v>
      </c>
      <c r="B16" s="495"/>
      <c r="C16" s="493">
        <v>293389.19</v>
      </c>
      <c r="D16" s="493">
        <v>72011.910999999993</v>
      </c>
      <c r="E16" s="493">
        <v>26014.940999999999</v>
      </c>
      <c r="F16" s="493">
        <v>391416.04200000002</v>
      </c>
      <c r="G16" s="494" t="s">
        <v>593</v>
      </c>
      <c r="H16" s="494" t="s">
        <v>593</v>
      </c>
      <c r="I16" s="494" t="s">
        <v>593</v>
      </c>
      <c r="J16" s="487" t="s">
        <v>593</v>
      </c>
    </row>
    <row r="17" spans="1:10" s="468" customFormat="1" ht="16.5" customHeight="1">
      <c r="A17" s="405">
        <v>2022</v>
      </c>
      <c r="B17" s="495"/>
      <c r="C17" s="493">
        <v>228118</v>
      </c>
      <c r="D17" s="493">
        <v>65640</v>
      </c>
      <c r="E17" s="493">
        <v>45820</v>
      </c>
      <c r="F17" s="493">
        <v>339578</v>
      </c>
      <c r="G17" s="494" t="s">
        <v>593</v>
      </c>
      <c r="H17" s="494" t="s">
        <v>593</v>
      </c>
      <c r="I17" s="494" t="s">
        <v>593</v>
      </c>
      <c r="J17" s="487" t="s">
        <v>593</v>
      </c>
    </row>
    <row r="18" spans="1:10" s="468" customFormat="1" ht="16.5" customHeight="1">
      <c r="A18" s="405">
        <v>2023</v>
      </c>
      <c r="B18" s="495"/>
      <c r="C18" s="493">
        <f>SUM(C26:C29)</f>
        <v>256854</v>
      </c>
      <c r="D18" s="493">
        <f t="shared" ref="D18:E18" si="0">SUM(D26:D29)</f>
        <v>95908</v>
      </c>
      <c r="E18" s="493">
        <f t="shared" si="0"/>
        <v>67715</v>
      </c>
      <c r="F18" s="493">
        <f>SUM(C18:E18)</f>
        <v>420477</v>
      </c>
      <c r="G18" s="494" t="s">
        <v>593</v>
      </c>
      <c r="H18" s="494" t="s">
        <v>593</v>
      </c>
      <c r="I18" s="494" t="s">
        <v>593</v>
      </c>
      <c r="J18" s="487" t="s">
        <v>593</v>
      </c>
    </row>
    <row r="19" spans="1:10" s="468" customFormat="1" ht="16.5" customHeight="1">
      <c r="A19" s="713">
        <v>2024</v>
      </c>
      <c r="B19" s="714"/>
      <c r="C19" s="753">
        <f>SUM(C30:C33)</f>
        <v>393888</v>
      </c>
      <c r="D19" s="753">
        <f t="shared" ref="D19:E19" si="1">SUM(D30:D33)</f>
        <v>186678</v>
      </c>
      <c r="E19" s="753">
        <f t="shared" si="1"/>
        <v>59032</v>
      </c>
      <c r="F19" s="753">
        <f>SUM(C19:E19)</f>
        <v>639598</v>
      </c>
      <c r="G19" s="715" t="s">
        <v>593</v>
      </c>
      <c r="H19" s="715" t="s">
        <v>593</v>
      </c>
      <c r="I19" s="715" t="s">
        <v>593</v>
      </c>
      <c r="J19" s="752" t="s">
        <v>593</v>
      </c>
    </row>
    <row r="20" spans="1:10" s="468" customFormat="1" ht="20.25" customHeight="1">
      <c r="A20" s="405">
        <v>2021</v>
      </c>
      <c r="B20" s="497" t="s">
        <v>237</v>
      </c>
      <c r="C20" s="493">
        <v>72286.345000000001</v>
      </c>
      <c r="D20" s="493">
        <v>17663.858</v>
      </c>
      <c r="E20" s="493">
        <v>9827.4</v>
      </c>
      <c r="F20" s="493">
        <f t="shared" ref="F20:F25" si="2">SUM(C20:E20)</f>
        <v>99777.603000000003</v>
      </c>
      <c r="G20" s="494" t="s">
        <v>593</v>
      </c>
      <c r="H20" s="494" t="s">
        <v>593</v>
      </c>
      <c r="I20" s="494" t="s">
        <v>593</v>
      </c>
      <c r="J20" s="487" t="s">
        <v>593</v>
      </c>
    </row>
    <row r="21" spans="1:10" s="468" customFormat="1" ht="15.75" customHeight="1">
      <c r="A21" s="405"/>
      <c r="B21" s="497" t="s">
        <v>238</v>
      </c>
      <c r="C21" s="493">
        <v>66169.612999999998</v>
      </c>
      <c r="D21" s="493">
        <v>13145.054</v>
      </c>
      <c r="E21" s="493">
        <v>6986.2420000000002</v>
      </c>
      <c r="F21" s="493">
        <f t="shared" si="2"/>
        <v>86300.909</v>
      </c>
      <c r="G21" s="494" t="s">
        <v>593</v>
      </c>
      <c r="H21" s="494" t="s">
        <v>593</v>
      </c>
      <c r="I21" s="494" t="s">
        <v>593</v>
      </c>
      <c r="J21" s="487" t="s">
        <v>593</v>
      </c>
    </row>
    <row r="22" spans="1:10" s="468" customFormat="1" ht="20.25" customHeight="1">
      <c r="A22" s="405">
        <v>2022</v>
      </c>
      <c r="B22" s="497" t="s">
        <v>239</v>
      </c>
      <c r="C22" s="493">
        <v>74479</v>
      </c>
      <c r="D22" s="493">
        <v>19877</v>
      </c>
      <c r="E22" s="493">
        <v>12548</v>
      </c>
      <c r="F22" s="493">
        <f t="shared" si="2"/>
        <v>106904</v>
      </c>
      <c r="G22" s="494" t="s">
        <v>593</v>
      </c>
      <c r="H22" s="494" t="s">
        <v>593</v>
      </c>
      <c r="I22" s="494" t="s">
        <v>593</v>
      </c>
      <c r="J22" s="487" t="s">
        <v>593</v>
      </c>
    </row>
    <row r="23" spans="1:10" s="468" customFormat="1" ht="15.75" customHeight="1">
      <c r="A23" s="405"/>
      <c r="B23" s="497" t="s">
        <v>240</v>
      </c>
      <c r="C23" s="493">
        <v>65078</v>
      </c>
      <c r="D23" s="493">
        <v>19493</v>
      </c>
      <c r="E23" s="493">
        <v>13832</v>
      </c>
      <c r="F23" s="493">
        <f t="shared" si="2"/>
        <v>98403</v>
      </c>
      <c r="G23" s="494" t="s">
        <v>593</v>
      </c>
      <c r="H23" s="494" t="s">
        <v>593</v>
      </c>
      <c r="I23" s="494" t="s">
        <v>593</v>
      </c>
      <c r="J23" s="487" t="s">
        <v>593</v>
      </c>
    </row>
    <row r="24" spans="1:10" s="468" customFormat="1" ht="15.75" customHeight="1">
      <c r="A24" s="405"/>
      <c r="B24" s="497" t="s">
        <v>237</v>
      </c>
      <c r="C24" s="493">
        <v>46513</v>
      </c>
      <c r="D24" s="493">
        <v>12582</v>
      </c>
      <c r="E24" s="493">
        <v>13782</v>
      </c>
      <c r="F24" s="493">
        <f t="shared" si="2"/>
        <v>72877</v>
      </c>
      <c r="G24" s="494" t="s">
        <v>593</v>
      </c>
      <c r="H24" s="494" t="s">
        <v>593</v>
      </c>
      <c r="I24" s="494" t="s">
        <v>593</v>
      </c>
      <c r="J24" s="487" t="s">
        <v>593</v>
      </c>
    </row>
    <row r="25" spans="1:10" s="468" customFormat="1" ht="15.75" customHeight="1">
      <c r="A25" s="405"/>
      <c r="B25" s="497" t="s">
        <v>238</v>
      </c>
      <c r="C25" s="493">
        <v>42048</v>
      </c>
      <c r="D25" s="493">
        <v>13688</v>
      </c>
      <c r="E25" s="493">
        <v>5658</v>
      </c>
      <c r="F25" s="493">
        <f t="shared" si="2"/>
        <v>61394</v>
      </c>
      <c r="G25" s="494" t="s">
        <v>593</v>
      </c>
      <c r="H25" s="494" t="s">
        <v>593</v>
      </c>
      <c r="I25" s="494" t="s">
        <v>593</v>
      </c>
      <c r="J25" s="487" t="s">
        <v>593</v>
      </c>
    </row>
    <row r="26" spans="1:10" s="468" customFormat="1" ht="20.25" customHeight="1">
      <c r="A26" s="405">
        <v>2023</v>
      </c>
      <c r="B26" s="497" t="s">
        <v>239</v>
      </c>
      <c r="C26" s="493">
        <v>65714</v>
      </c>
      <c r="D26" s="493">
        <v>32527</v>
      </c>
      <c r="E26" s="493">
        <v>31837</v>
      </c>
      <c r="F26" s="493">
        <f t="shared" ref="F26:F27" si="3">SUM(C26:E26)</f>
        <v>130078</v>
      </c>
      <c r="G26" s="494" t="s">
        <v>593</v>
      </c>
      <c r="H26" s="494" t="s">
        <v>593</v>
      </c>
      <c r="I26" s="494" t="s">
        <v>593</v>
      </c>
      <c r="J26" s="487" t="s">
        <v>593</v>
      </c>
    </row>
    <row r="27" spans="1:10" s="468" customFormat="1" ht="15.75" customHeight="1">
      <c r="A27" s="405"/>
      <c r="B27" s="497" t="s">
        <v>240</v>
      </c>
      <c r="C27" s="493">
        <v>68791</v>
      </c>
      <c r="D27" s="493">
        <v>27153</v>
      </c>
      <c r="E27" s="493">
        <v>12589</v>
      </c>
      <c r="F27" s="493">
        <f t="shared" si="3"/>
        <v>108533</v>
      </c>
      <c r="G27" s="494" t="s">
        <v>593</v>
      </c>
      <c r="H27" s="494" t="s">
        <v>593</v>
      </c>
      <c r="I27" s="494" t="s">
        <v>593</v>
      </c>
      <c r="J27" s="487" t="s">
        <v>593</v>
      </c>
    </row>
    <row r="28" spans="1:10" s="468" customFormat="1" ht="15.75" customHeight="1">
      <c r="A28" s="405"/>
      <c r="B28" s="497" t="s">
        <v>237</v>
      </c>
      <c r="C28" s="493">
        <v>60989</v>
      </c>
      <c r="D28" s="493">
        <v>10001</v>
      </c>
      <c r="E28" s="493">
        <v>10450</v>
      </c>
      <c r="F28" s="493">
        <f t="shared" ref="F28:F30" si="4">SUM(C28:E28)</f>
        <v>81440</v>
      </c>
      <c r="G28" s="494" t="s">
        <v>593</v>
      </c>
      <c r="H28" s="494" t="s">
        <v>593</v>
      </c>
      <c r="I28" s="494" t="s">
        <v>593</v>
      </c>
      <c r="J28" s="487" t="s">
        <v>593</v>
      </c>
    </row>
    <row r="29" spans="1:10" s="468" customFormat="1" ht="15.75" customHeight="1">
      <c r="A29" s="405"/>
      <c r="B29" s="497" t="s">
        <v>238</v>
      </c>
      <c r="C29" s="493">
        <v>61360</v>
      </c>
      <c r="D29" s="493">
        <v>26227</v>
      </c>
      <c r="E29" s="493">
        <v>12839</v>
      </c>
      <c r="F29" s="493">
        <f t="shared" si="4"/>
        <v>100426</v>
      </c>
      <c r="G29" s="494" t="s">
        <v>593</v>
      </c>
      <c r="H29" s="494" t="s">
        <v>593</v>
      </c>
      <c r="I29" s="494" t="s">
        <v>593</v>
      </c>
      <c r="J29" s="487" t="s">
        <v>593</v>
      </c>
    </row>
    <row r="30" spans="1:10" s="468" customFormat="1" ht="20.25" customHeight="1">
      <c r="A30" s="405">
        <v>2024</v>
      </c>
      <c r="B30" s="497" t="s">
        <v>239</v>
      </c>
      <c r="C30" s="493">
        <v>103610</v>
      </c>
      <c r="D30" s="493">
        <v>38216</v>
      </c>
      <c r="E30" s="493">
        <v>28109</v>
      </c>
      <c r="F30" s="493">
        <f t="shared" si="4"/>
        <v>169935</v>
      </c>
      <c r="G30" s="494" t="s">
        <v>593</v>
      </c>
      <c r="H30" s="494" t="s">
        <v>593</v>
      </c>
      <c r="I30" s="494" t="s">
        <v>593</v>
      </c>
      <c r="J30" s="487" t="s">
        <v>593</v>
      </c>
    </row>
    <row r="31" spans="1:10" s="468" customFormat="1" ht="15.75" customHeight="1">
      <c r="A31" s="405"/>
      <c r="B31" s="497" t="s">
        <v>240</v>
      </c>
      <c r="C31" s="493">
        <v>106307</v>
      </c>
      <c r="D31" s="493">
        <v>29925</v>
      </c>
      <c r="E31" s="493">
        <v>8474</v>
      </c>
      <c r="F31" s="493">
        <f t="shared" ref="F31" si="5">SUM(C31:E31)</f>
        <v>144706</v>
      </c>
      <c r="G31" s="494" t="s">
        <v>593</v>
      </c>
      <c r="H31" s="494" t="s">
        <v>593</v>
      </c>
      <c r="I31" s="494" t="s">
        <v>593</v>
      </c>
      <c r="J31" s="487" t="s">
        <v>593</v>
      </c>
    </row>
    <row r="32" spans="1:10" s="468" customFormat="1" ht="15.75" customHeight="1">
      <c r="A32" s="405"/>
      <c r="B32" s="497" t="s">
        <v>237</v>
      </c>
      <c r="C32" s="493">
        <v>144828</v>
      </c>
      <c r="D32" s="493">
        <v>74782</v>
      </c>
      <c r="E32" s="493">
        <v>15675</v>
      </c>
      <c r="F32" s="493">
        <f t="shared" ref="F32" si="6">SUM(C32:E32)</f>
        <v>235285</v>
      </c>
      <c r="G32" s="494" t="s">
        <v>593</v>
      </c>
      <c r="H32" s="494" t="s">
        <v>593</v>
      </c>
      <c r="I32" s="494" t="s">
        <v>593</v>
      </c>
      <c r="J32" s="487" t="s">
        <v>593</v>
      </c>
    </row>
    <row r="33" spans="1:10" s="468" customFormat="1" ht="15.75" customHeight="1">
      <c r="A33" s="405"/>
      <c r="B33" s="497" t="s">
        <v>238</v>
      </c>
      <c r="C33" s="493">
        <v>39143</v>
      </c>
      <c r="D33" s="493">
        <v>43755</v>
      </c>
      <c r="E33" s="493">
        <v>6774</v>
      </c>
      <c r="F33" s="493">
        <f t="shared" ref="F33" si="7">SUM(C33:E33)</f>
        <v>89672</v>
      </c>
      <c r="G33" s="494" t="s">
        <v>593</v>
      </c>
      <c r="H33" s="494" t="s">
        <v>593</v>
      </c>
      <c r="I33" s="494" t="s">
        <v>593</v>
      </c>
      <c r="J33" s="487" t="s">
        <v>593</v>
      </c>
    </row>
    <row r="34" spans="1:10" s="468" customFormat="1" ht="20.25" customHeight="1">
      <c r="A34" s="405">
        <v>2025</v>
      </c>
      <c r="B34" s="497" t="s">
        <v>239</v>
      </c>
      <c r="C34" s="493">
        <v>89066.448000000004</v>
      </c>
      <c r="D34" s="493">
        <v>742903.54700000002</v>
      </c>
      <c r="E34" s="493">
        <v>4567.59</v>
      </c>
      <c r="F34" s="493">
        <f t="shared" ref="F34:F36" si="8">SUM(C34:E34)</f>
        <v>836537.58499999996</v>
      </c>
      <c r="G34" s="494" t="s">
        <v>593</v>
      </c>
      <c r="H34" s="494" t="s">
        <v>593</v>
      </c>
      <c r="I34" s="494" t="s">
        <v>593</v>
      </c>
      <c r="J34" s="487" t="s">
        <v>593</v>
      </c>
    </row>
    <row r="35" spans="1:10" s="468" customFormat="1" ht="15.75" customHeight="1">
      <c r="A35" s="405"/>
      <c r="B35" s="497" t="s">
        <v>240</v>
      </c>
      <c r="C35" s="493">
        <v>78700</v>
      </c>
      <c r="D35" s="493">
        <v>10772</v>
      </c>
      <c r="E35" s="493">
        <v>12108</v>
      </c>
      <c r="F35" s="493">
        <f t="shared" si="8"/>
        <v>101580</v>
      </c>
      <c r="G35" s="494" t="s">
        <v>593</v>
      </c>
      <c r="H35" s="494" t="s">
        <v>593</v>
      </c>
      <c r="I35" s="494" t="s">
        <v>593</v>
      </c>
      <c r="J35" s="487" t="s">
        <v>593</v>
      </c>
    </row>
    <row r="36" spans="1:10" s="468" customFormat="1" ht="15.75" customHeight="1">
      <c r="A36" s="405"/>
      <c r="B36" s="497" t="s">
        <v>237</v>
      </c>
      <c r="C36" s="493">
        <v>70703</v>
      </c>
      <c r="D36" s="493">
        <v>29453</v>
      </c>
      <c r="E36" s="493">
        <v>4044</v>
      </c>
      <c r="F36" s="493">
        <f t="shared" si="8"/>
        <v>104200</v>
      </c>
      <c r="G36" s="494"/>
      <c r="H36" s="494"/>
      <c r="I36" s="494"/>
      <c r="J36" s="487"/>
    </row>
    <row r="37" spans="1:10" ht="21.2" customHeight="1">
      <c r="A37" s="462" t="s">
        <v>1677</v>
      </c>
      <c r="B37" s="462"/>
      <c r="C37" s="462"/>
      <c r="D37" s="462"/>
      <c r="E37" s="462"/>
      <c r="F37" s="556" t="s">
        <v>1678</v>
      </c>
      <c r="G37" s="462"/>
      <c r="H37" s="462"/>
      <c r="I37" s="462"/>
      <c r="J37" s="556" t="s">
        <v>1678</v>
      </c>
    </row>
    <row r="38" spans="1:10" ht="27.75" customHeight="1">
      <c r="A38" s="2034" t="s">
        <v>1679</v>
      </c>
      <c r="B38" s="2034"/>
      <c r="C38" s="2034"/>
      <c r="D38" s="2035" t="s">
        <v>1680</v>
      </c>
      <c r="E38" s="2035"/>
      <c r="F38" s="2035"/>
      <c r="J38" s="527" t="s">
        <v>1681</v>
      </c>
    </row>
    <row r="39" spans="1:10" ht="13.7" customHeight="1">
      <c r="A39" s="463" t="s">
        <v>1620</v>
      </c>
      <c r="F39" s="527" t="s">
        <v>1621</v>
      </c>
      <c r="J39" s="527" t="s">
        <v>1621</v>
      </c>
    </row>
    <row r="40" spans="1:10" ht="13.7" customHeight="1">
      <c r="A40" s="541"/>
      <c r="J40" s="1247"/>
    </row>
    <row r="41" spans="1:10" ht="14.25">
      <c r="A41" s="501" t="s">
        <v>1682</v>
      </c>
      <c r="B41" s="444"/>
      <c r="C41" s="444"/>
      <c r="D41" s="444"/>
      <c r="E41" s="444"/>
      <c r="F41" s="444"/>
      <c r="G41" s="444"/>
      <c r="H41" s="444"/>
      <c r="I41" s="444"/>
      <c r="J41" s="444"/>
    </row>
  </sheetData>
  <mergeCells count="9">
    <mergeCell ref="A38:C38"/>
    <mergeCell ref="D38:F38"/>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tabSelected="1" zoomScale="80" zoomScaleNormal="80" workbookViewId="0">
      <pane ySplit="7" topLeftCell="A36" activePane="bottomLeft" state="frozen"/>
      <selection activeCell="N29" sqref="N29"/>
      <selection pane="bottomLeft" activeCell="N29" sqref="N29"/>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18" t="s">
        <v>1683</v>
      </c>
      <c r="B1" s="277"/>
      <c r="C1" s="277"/>
      <c r="D1" s="277"/>
      <c r="E1" s="277"/>
      <c r="F1" s="2040" t="s">
        <v>1684</v>
      </c>
    </row>
    <row r="2" spans="1:6" ht="18">
      <c r="A2" s="1218" t="s">
        <v>1685</v>
      </c>
      <c r="B2" s="277"/>
      <c r="C2" s="277"/>
      <c r="D2" s="277"/>
      <c r="E2" s="277"/>
      <c r="F2" s="2040"/>
    </row>
    <row r="3" spans="1:6" ht="18">
      <c r="A3" s="1218" t="s">
        <v>1686</v>
      </c>
      <c r="B3" s="277"/>
      <c r="C3" s="277"/>
      <c r="D3" s="277"/>
      <c r="E3" s="277"/>
      <c r="F3" s="2040"/>
    </row>
    <row r="4" spans="1:6" ht="14.25" customHeight="1">
      <c r="A4" s="149" t="s">
        <v>1687</v>
      </c>
      <c r="E4" s="411" t="s">
        <v>1688</v>
      </c>
      <c r="F4" s="2040"/>
    </row>
    <row r="5" spans="1:6" ht="21.2" customHeight="1">
      <c r="A5" s="2038" t="s">
        <v>379</v>
      </c>
      <c r="B5" s="2038" t="s">
        <v>1689</v>
      </c>
      <c r="C5" s="1219" t="s">
        <v>1690</v>
      </c>
      <c r="D5" s="1220" t="s">
        <v>1691</v>
      </c>
      <c r="E5" s="1221" t="s">
        <v>1692</v>
      </c>
      <c r="F5" s="2040"/>
    </row>
    <row r="6" spans="1:6" s="544" customFormat="1" ht="28.5" customHeight="1">
      <c r="A6" s="2039"/>
      <c r="B6" s="2039"/>
      <c r="C6" s="869" t="s">
        <v>1693</v>
      </c>
      <c r="D6" s="542" t="s">
        <v>1694</v>
      </c>
      <c r="E6" s="543" t="s">
        <v>1695</v>
      </c>
      <c r="F6" s="2040"/>
    </row>
    <row r="7" spans="1:6" s="544" customFormat="1" ht="41.25" customHeight="1">
      <c r="A7" s="1222" t="s">
        <v>387</v>
      </c>
      <c r="B7" s="1222" t="s">
        <v>1696</v>
      </c>
      <c r="C7" s="1223" t="s">
        <v>1697</v>
      </c>
      <c r="D7" s="1224" t="s">
        <v>1698</v>
      </c>
      <c r="E7" s="1222" t="s">
        <v>1699</v>
      </c>
      <c r="F7" s="2040"/>
    </row>
    <row r="8" spans="1:6" ht="24.95" customHeight="1">
      <c r="A8" s="1225" t="s">
        <v>1700</v>
      </c>
      <c r="B8" s="1226" t="s">
        <v>1701</v>
      </c>
      <c r="C8" s="870">
        <v>262030.78</v>
      </c>
      <c r="D8" s="870">
        <v>422544</v>
      </c>
      <c r="E8" s="870">
        <f t="shared" ref="E8:E11" si="0">SUM(C8:D8)</f>
        <v>684574.78</v>
      </c>
      <c r="F8" s="2040"/>
    </row>
    <row r="9" spans="1:6" ht="18.600000000000001" customHeight="1">
      <c r="A9" s="1227"/>
      <c r="B9" s="1228" t="s">
        <v>1702</v>
      </c>
      <c r="C9" s="871">
        <v>848251.2</v>
      </c>
      <c r="D9" s="871">
        <v>1443893</v>
      </c>
      <c r="E9" s="871">
        <f t="shared" si="0"/>
        <v>2292144.2000000002</v>
      </c>
      <c r="F9" s="2040"/>
    </row>
    <row r="10" spans="1:6" ht="18.600000000000001" customHeight="1">
      <c r="A10" s="1227"/>
      <c r="B10" s="1229" t="s">
        <v>1703</v>
      </c>
      <c r="C10" s="871">
        <v>6268254</v>
      </c>
      <c r="D10" s="871">
        <v>1624023</v>
      </c>
      <c r="E10" s="872">
        <f t="shared" si="0"/>
        <v>7892277</v>
      </c>
      <c r="F10" s="2040"/>
    </row>
    <row r="11" spans="1:6" ht="18.600000000000001" customHeight="1">
      <c r="A11" s="1230"/>
      <c r="B11" s="1231" t="s">
        <v>1704</v>
      </c>
      <c r="C11" s="1232">
        <f>SUM(C8:C10)</f>
        <v>7378535.9800000004</v>
      </c>
      <c r="D11" s="1232">
        <f>SUM(D8:D10)</f>
        <v>3490460</v>
      </c>
      <c r="E11" s="1232">
        <f t="shared" si="0"/>
        <v>10868995.98</v>
      </c>
      <c r="F11" s="2040"/>
    </row>
    <row r="12" spans="1:6" ht="24.95" customHeight="1">
      <c r="A12" s="1225" t="s">
        <v>1705</v>
      </c>
      <c r="B12" s="1226" t="s">
        <v>1701</v>
      </c>
      <c r="C12" s="870">
        <v>267652</v>
      </c>
      <c r="D12" s="870">
        <v>433652</v>
      </c>
      <c r="E12" s="870">
        <f t="shared" ref="E12:E15" si="1">SUM(C12:D12)</f>
        <v>701304</v>
      </c>
      <c r="F12" s="2040"/>
    </row>
    <row r="13" spans="1:6" ht="18.600000000000001" customHeight="1">
      <c r="A13" s="1227"/>
      <c r="B13" s="1228" t="s">
        <v>1702</v>
      </c>
      <c r="C13" s="871">
        <v>801789</v>
      </c>
      <c r="D13" s="871">
        <v>1739087</v>
      </c>
      <c r="E13" s="871">
        <f t="shared" si="1"/>
        <v>2540876</v>
      </c>
      <c r="F13" s="2040"/>
    </row>
    <row r="14" spans="1:6" ht="18.600000000000001" customHeight="1">
      <c r="A14" s="1227"/>
      <c r="B14" s="1229" t="s">
        <v>1703</v>
      </c>
      <c r="C14" s="871">
        <v>6245079</v>
      </c>
      <c r="D14" s="871">
        <v>1652984</v>
      </c>
      <c r="E14" s="872">
        <f t="shared" si="1"/>
        <v>7898063</v>
      </c>
      <c r="F14" s="2040"/>
    </row>
    <row r="15" spans="1:6" ht="18.600000000000001" customHeight="1">
      <c r="A15" s="1230"/>
      <c r="B15" s="1231" t="s">
        <v>1704</v>
      </c>
      <c r="C15" s="1232">
        <f>SUM(C12:C14)</f>
        <v>7314520</v>
      </c>
      <c r="D15" s="1232">
        <f>SUM(D12:D14)</f>
        <v>3825723</v>
      </c>
      <c r="E15" s="1232">
        <f t="shared" si="1"/>
        <v>11140243</v>
      </c>
      <c r="F15" s="2040"/>
    </row>
    <row r="16" spans="1:6" ht="24.95" customHeight="1">
      <c r="A16" s="1225" t="s">
        <v>1706</v>
      </c>
      <c r="B16" s="1226" t="s">
        <v>1701</v>
      </c>
      <c r="C16" s="870">
        <v>272037</v>
      </c>
      <c r="D16" s="870">
        <v>448668</v>
      </c>
      <c r="E16" s="870">
        <f t="shared" ref="E16:E19" si="2">SUM(C16:D16)</f>
        <v>720705</v>
      </c>
      <c r="F16" s="2040"/>
    </row>
    <row r="17" spans="1:6" ht="18.600000000000001" customHeight="1">
      <c r="A17" s="1227"/>
      <c r="B17" s="1228" t="s">
        <v>1702</v>
      </c>
      <c r="C17" s="871">
        <v>824749</v>
      </c>
      <c r="D17" s="871">
        <v>1759706</v>
      </c>
      <c r="E17" s="871">
        <f t="shared" si="2"/>
        <v>2584455</v>
      </c>
      <c r="F17" s="2040"/>
    </row>
    <row r="18" spans="1:6" ht="18.600000000000001" customHeight="1">
      <c r="A18" s="1227"/>
      <c r="B18" s="1229" t="s">
        <v>1703</v>
      </c>
      <c r="C18" s="871">
        <v>6532787</v>
      </c>
      <c r="D18" s="871">
        <v>1712974</v>
      </c>
      <c r="E18" s="872">
        <f t="shared" si="2"/>
        <v>8245761</v>
      </c>
      <c r="F18" s="2040"/>
    </row>
    <row r="19" spans="1:6" ht="18.600000000000001" customHeight="1">
      <c r="A19" s="1230"/>
      <c r="B19" s="1231" t="s">
        <v>1704</v>
      </c>
      <c r="C19" s="1232">
        <f>SUM(C16:C18)</f>
        <v>7629573</v>
      </c>
      <c r="D19" s="1232">
        <f>SUM(D16:D18)</f>
        <v>3921348</v>
      </c>
      <c r="E19" s="1232">
        <f t="shared" si="2"/>
        <v>11550921</v>
      </c>
      <c r="F19" s="2040"/>
    </row>
    <row r="20" spans="1:6" ht="24.95" customHeight="1">
      <c r="A20" s="1225" t="s">
        <v>1707</v>
      </c>
      <c r="B20" s="1226" t="s">
        <v>1701</v>
      </c>
      <c r="C20" s="870">
        <v>279943</v>
      </c>
      <c r="D20" s="870">
        <v>433891</v>
      </c>
      <c r="E20" s="870">
        <f t="shared" ref="E20:E23" si="3">SUM(C20:D20)</f>
        <v>713834</v>
      </c>
      <c r="F20" s="2040"/>
    </row>
    <row r="21" spans="1:6" ht="18.600000000000001" customHeight="1">
      <c r="A21" s="1227"/>
      <c r="B21" s="1228" t="s">
        <v>1702</v>
      </c>
      <c r="C21" s="871">
        <v>840459</v>
      </c>
      <c r="D21" s="871">
        <v>1415973</v>
      </c>
      <c r="E21" s="871">
        <f t="shared" si="3"/>
        <v>2256432</v>
      </c>
      <c r="F21" s="2040"/>
    </row>
    <row r="22" spans="1:6" ht="18.600000000000001" customHeight="1">
      <c r="A22" s="1227"/>
      <c r="B22" s="1229" t="s">
        <v>1703</v>
      </c>
      <c r="C22" s="871">
        <v>6449427</v>
      </c>
      <c r="D22" s="871">
        <v>1759064</v>
      </c>
      <c r="E22" s="872">
        <f t="shared" si="3"/>
        <v>8208491</v>
      </c>
      <c r="F22" s="2040"/>
    </row>
    <row r="23" spans="1:6" ht="18.600000000000001" customHeight="1">
      <c r="A23" s="1230"/>
      <c r="B23" s="1231" t="s">
        <v>1704</v>
      </c>
      <c r="C23" s="1232">
        <f>SUM(C20:C22)</f>
        <v>7569829</v>
      </c>
      <c r="D23" s="1232">
        <f>SUM(D20:D22)</f>
        <v>3608928</v>
      </c>
      <c r="E23" s="1232">
        <f t="shared" si="3"/>
        <v>11178757</v>
      </c>
      <c r="F23" s="2040"/>
    </row>
    <row r="24" spans="1:6" ht="24.95" customHeight="1">
      <c r="A24" s="1225" t="s">
        <v>1708</v>
      </c>
      <c r="B24" s="1226" t="s">
        <v>1701</v>
      </c>
      <c r="C24" s="870">
        <v>282484</v>
      </c>
      <c r="D24" s="870">
        <v>447708</v>
      </c>
      <c r="E24" s="870">
        <f t="shared" ref="E24:E27" si="4">SUM(C24:D24)</f>
        <v>730192</v>
      </c>
      <c r="F24" s="2040"/>
    </row>
    <row r="25" spans="1:6" ht="18.600000000000001" customHeight="1">
      <c r="A25" s="1227"/>
      <c r="B25" s="1228" t="s">
        <v>1702</v>
      </c>
      <c r="C25" s="871">
        <v>845818</v>
      </c>
      <c r="D25" s="871">
        <v>1417297</v>
      </c>
      <c r="E25" s="871">
        <f t="shared" si="4"/>
        <v>2263115</v>
      </c>
      <c r="F25" s="2040"/>
    </row>
    <row r="26" spans="1:6" ht="18.600000000000001" customHeight="1">
      <c r="A26" s="1227"/>
      <c r="B26" s="1229" t="s">
        <v>1703</v>
      </c>
      <c r="C26" s="871">
        <v>6448564</v>
      </c>
      <c r="D26" s="871">
        <v>1790249</v>
      </c>
      <c r="E26" s="872">
        <f t="shared" si="4"/>
        <v>8238813</v>
      </c>
      <c r="F26" s="2040"/>
    </row>
    <row r="27" spans="1:6" ht="18.600000000000001" customHeight="1">
      <c r="A27" s="1230"/>
      <c r="B27" s="1231" t="s">
        <v>1704</v>
      </c>
      <c r="C27" s="1232">
        <f>SUM(C24:C26)</f>
        <v>7576866</v>
      </c>
      <c r="D27" s="1232">
        <f>SUM(D24:D26)</f>
        <v>3655254</v>
      </c>
      <c r="E27" s="1232">
        <f t="shared" si="4"/>
        <v>11232120</v>
      </c>
      <c r="F27" s="2040"/>
    </row>
    <row r="28" spans="1:6" ht="24.95" customHeight="1">
      <c r="A28" s="1225" t="s">
        <v>1709</v>
      </c>
      <c r="B28" s="1226" t="s">
        <v>1701</v>
      </c>
      <c r="C28" s="870">
        <v>272907</v>
      </c>
      <c r="D28" s="870">
        <v>450763</v>
      </c>
      <c r="E28" s="870">
        <f t="shared" ref="E28:E31" si="5">SUM(C28:D28)</f>
        <v>723670</v>
      </c>
      <c r="F28" s="2040"/>
    </row>
    <row r="29" spans="1:6" ht="18.600000000000001" customHeight="1">
      <c r="A29" s="1227"/>
      <c r="B29" s="1228" t="s">
        <v>1702</v>
      </c>
      <c r="C29" s="871">
        <v>834226</v>
      </c>
      <c r="D29" s="871">
        <v>1388423</v>
      </c>
      <c r="E29" s="871">
        <f t="shared" si="5"/>
        <v>2222649</v>
      </c>
      <c r="F29" s="2040"/>
    </row>
    <row r="30" spans="1:6" ht="18.600000000000001" customHeight="1">
      <c r="A30" s="1227"/>
      <c r="B30" s="1229" t="s">
        <v>1703</v>
      </c>
      <c r="C30" s="871">
        <v>6449609</v>
      </c>
      <c r="D30" s="871">
        <v>1773186</v>
      </c>
      <c r="E30" s="872">
        <f t="shared" si="5"/>
        <v>8222795</v>
      </c>
      <c r="F30" s="2040"/>
    </row>
    <row r="31" spans="1:6" ht="18.600000000000001" customHeight="1">
      <c r="A31" s="1230"/>
      <c r="B31" s="1231" t="s">
        <v>1704</v>
      </c>
      <c r="C31" s="1232">
        <f>SUM(C28:C30)</f>
        <v>7556742</v>
      </c>
      <c r="D31" s="1232">
        <f>SUM(D28:D30)</f>
        <v>3612372</v>
      </c>
      <c r="E31" s="1232">
        <f t="shared" si="5"/>
        <v>11169114</v>
      </c>
      <c r="F31" s="2040"/>
    </row>
    <row r="32" spans="1:6" ht="24.95" customHeight="1">
      <c r="A32" s="1225" t="s">
        <v>1710</v>
      </c>
      <c r="B32" s="1226" t="s">
        <v>1701</v>
      </c>
      <c r="C32" s="870">
        <v>274348</v>
      </c>
      <c r="D32" s="870">
        <v>509138</v>
      </c>
      <c r="E32" s="870">
        <f t="shared" ref="E32:E35" si="6">SUM(C32:D32)</f>
        <v>783486</v>
      </c>
      <c r="F32" s="2040"/>
    </row>
    <row r="33" spans="1:6" ht="18.600000000000001" customHeight="1">
      <c r="A33" s="1227"/>
      <c r="B33" s="1228" t="s">
        <v>1702</v>
      </c>
      <c r="C33" s="871">
        <v>822355</v>
      </c>
      <c r="D33" s="871">
        <v>1385949</v>
      </c>
      <c r="E33" s="871">
        <f t="shared" si="6"/>
        <v>2208304</v>
      </c>
      <c r="F33" s="2040"/>
    </row>
    <row r="34" spans="1:6" ht="18.600000000000001" customHeight="1">
      <c r="A34" s="1227"/>
      <c r="B34" s="1229" t="s">
        <v>1703</v>
      </c>
      <c r="C34" s="871">
        <v>6500916</v>
      </c>
      <c r="D34" s="871">
        <v>1776558</v>
      </c>
      <c r="E34" s="872">
        <f t="shared" si="6"/>
        <v>8277474</v>
      </c>
      <c r="F34" s="2040"/>
    </row>
    <row r="35" spans="1:6" ht="18.600000000000001" customHeight="1">
      <c r="A35" s="1230"/>
      <c r="B35" s="1231" t="s">
        <v>1704</v>
      </c>
      <c r="C35" s="1232">
        <f>SUM(C32:C34)</f>
        <v>7597619</v>
      </c>
      <c r="D35" s="1232">
        <f>SUM(D32:D34)</f>
        <v>3671645</v>
      </c>
      <c r="E35" s="1232">
        <f t="shared" si="6"/>
        <v>11269264</v>
      </c>
      <c r="F35" s="2040"/>
    </row>
    <row r="36" spans="1:6" ht="24.95" customHeight="1">
      <c r="A36" s="1225" t="s">
        <v>1711</v>
      </c>
      <c r="B36" s="1226" t="s">
        <v>1701</v>
      </c>
      <c r="C36" s="870">
        <v>272217</v>
      </c>
      <c r="D36" s="870">
        <v>507997</v>
      </c>
      <c r="E36" s="870">
        <f t="shared" ref="E36:E39" si="7">SUM(C36:D36)</f>
        <v>780214</v>
      </c>
      <c r="F36" s="2040"/>
    </row>
    <row r="37" spans="1:6" ht="18.600000000000001" customHeight="1">
      <c r="A37" s="1227"/>
      <c r="B37" s="1228" t="s">
        <v>1702</v>
      </c>
      <c r="C37" s="871">
        <v>836054</v>
      </c>
      <c r="D37" s="871">
        <v>1006528</v>
      </c>
      <c r="E37" s="871">
        <f t="shared" si="7"/>
        <v>1842582</v>
      </c>
      <c r="F37" s="2040"/>
    </row>
    <row r="38" spans="1:6" ht="18.600000000000001" customHeight="1">
      <c r="A38" s="1227"/>
      <c r="B38" s="1229" t="s">
        <v>1703</v>
      </c>
      <c r="C38" s="871">
        <v>6467372</v>
      </c>
      <c r="D38" s="871">
        <v>1824741</v>
      </c>
      <c r="E38" s="872">
        <f t="shared" si="7"/>
        <v>8292113</v>
      </c>
      <c r="F38" s="2040"/>
    </row>
    <row r="39" spans="1:6" ht="18.600000000000001" customHeight="1">
      <c r="A39" s="1230"/>
      <c r="B39" s="1231" t="s">
        <v>1704</v>
      </c>
      <c r="C39" s="1232">
        <f>SUM(C36:C38)</f>
        <v>7575643</v>
      </c>
      <c r="D39" s="1232">
        <f>SUM(D36:D38)</f>
        <v>3339266</v>
      </c>
      <c r="E39" s="1232">
        <f t="shared" si="7"/>
        <v>10914909</v>
      </c>
      <c r="F39" s="2040"/>
    </row>
    <row r="40" spans="1:6" ht="24.95" customHeight="1">
      <c r="A40" s="1225" t="s">
        <v>1712</v>
      </c>
      <c r="B40" s="1226" t="s">
        <v>1701</v>
      </c>
      <c r="C40" s="870">
        <v>310449</v>
      </c>
      <c r="D40" s="870">
        <v>534890</v>
      </c>
      <c r="E40" s="870">
        <f t="shared" ref="E40:E43" si="8">SUM(C40:D40)</f>
        <v>845339</v>
      </c>
      <c r="F40" s="2040"/>
    </row>
    <row r="41" spans="1:6" ht="18.600000000000001" customHeight="1">
      <c r="A41" s="1227"/>
      <c r="B41" s="1228" t="s">
        <v>1702</v>
      </c>
      <c r="C41" s="871">
        <v>915795</v>
      </c>
      <c r="D41" s="871">
        <v>1010293</v>
      </c>
      <c r="E41" s="871">
        <f t="shared" si="8"/>
        <v>1926088</v>
      </c>
      <c r="F41" s="2040"/>
    </row>
    <row r="42" spans="1:6" ht="18.600000000000001" customHeight="1">
      <c r="A42" s="1227"/>
      <c r="B42" s="1229" t="s">
        <v>1703</v>
      </c>
      <c r="C42" s="871">
        <v>6519644</v>
      </c>
      <c r="D42" s="871">
        <v>1847615</v>
      </c>
      <c r="E42" s="872">
        <f t="shared" si="8"/>
        <v>8367259</v>
      </c>
      <c r="F42" s="2040"/>
    </row>
    <row r="43" spans="1:6" ht="18.600000000000001" customHeight="1">
      <c r="A43" s="1230"/>
      <c r="B43" s="1231" t="s">
        <v>1704</v>
      </c>
      <c r="C43" s="1232">
        <f>SUM(C40:C42)</f>
        <v>7745888</v>
      </c>
      <c r="D43" s="1232">
        <f>SUM(D40:D42)</f>
        <v>3392798</v>
      </c>
      <c r="E43" s="1232">
        <f t="shared" si="8"/>
        <v>11138686</v>
      </c>
      <c r="F43" s="2040"/>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tabSelected="1" zoomScale="90" zoomScaleNormal="90" workbookViewId="0">
      <pane ySplit="12" topLeftCell="A26" activePane="bottomLeft" state="frozen"/>
      <selection activeCell="N29" sqref="N29"/>
      <selection pane="bottomLeft" activeCell="N29" sqref="N29"/>
    </sheetView>
  </sheetViews>
  <sheetFormatPr defaultColWidth="7.85546875" defaultRowHeight="15"/>
  <cols>
    <col min="1" max="2" width="9.28515625" customWidth="1"/>
    <col min="3" max="10" width="16.85546875" style="13" customWidth="1"/>
    <col min="11" max="16384" width="7.85546875" style="13"/>
  </cols>
  <sheetData>
    <row r="1" spans="1:13" s="26" customFormat="1" ht="18" customHeight="1">
      <c r="A1" s="1711" t="s">
        <v>1768</v>
      </c>
      <c r="B1" s="1464"/>
      <c r="C1" s="1464"/>
      <c r="D1" s="1464"/>
      <c r="E1" s="1464"/>
      <c r="F1" s="1464"/>
      <c r="G1" s="1464"/>
      <c r="H1" s="1464"/>
      <c r="I1" s="1464"/>
      <c r="J1" s="1464"/>
    </row>
    <row r="2" spans="1:13" s="26" customFormat="1" ht="18" customHeight="1">
      <c r="A2" s="1712" t="s">
        <v>11</v>
      </c>
      <c r="B2" s="1464"/>
      <c r="C2" s="1464"/>
      <c r="D2" s="1464"/>
      <c r="E2" s="1464"/>
      <c r="F2" s="1464"/>
      <c r="G2" s="1464"/>
      <c r="H2" s="1464"/>
      <c r="I2" s="1464"/>
      <c r="J2" s="1464"/>
    </row>
    <row r="3" spans="1:13" s="26" customFormat="1" ht="18" customHeight="1">
      <c r="A3" s="1711" t="s">
        <v>10</v>
      </c>
      <c r="B3" s="1464"/>
      <c r="C3" s="10"/>
      <c r="D3" s="1464"/>
      <c r="E3" s="1464"/>
      <c r="F3" s="1464"/>
      <c r="G3" s="1464"/>
      <c r="H3" s="1464"/>
      <c r="I3" s="1464"/>
      <c r="J3" s="1464"/>
    </row>
    <row r="4" spans="1:13" s="14" customFormat="1" ht="2.25" customHeight="1">
      <c r="A4" s="13"/>
      <c r="B4" s="13"/>
      <c r="C4" s="12"/>
      <c r="D4" s="12"/>
      <c r="E4" s="12"/>
      <c r="F4" s="12"/>
      <c r="G4" s="12"/>
      <c r="H4" s="12"/>
      <c r="I4" s="12"/>
      <c r="J4"/>
    </row>
    <row r="5" spans="1:13" s="14" customFormat="1" ht="14.25" customHeight="1">
      <c r="A5" s="35" t="s">
        <v>369</v>
      </c>
      <c r="B5" s="13"/>
      <c r="C5" s="29"/>
      <c r="D5" s="29"/>
      <c r="E5" s="29"/>
      <c r="F5" s="29"/>
      <c r="G5" s="29"/>
      <c r="H5" s="29"/>
      <c r="I5" s="29"/>
      <c r="J5" s="36" t="s">
        <v>370</v>
      </c>
    </row>
    <row r="6" spans="1:13" s="41" customFormat="1" ht="18.600000000000001" customHeight="1">
      <c r="A6" s="27"/>
      <c r="B6" s="46"/>
      <c r="C6" s="99" t="s">
        <v>490</v>
      </c>
      <c r="D6" s="100"/>
      <c r="E6" s="81"/>
      <c r="F6" s="99" t="s">
        <v>491</v>
      </c>
      <c r="G6" s="100"/>
      <c r="H6" s="100"/>
      <c r="I6" s="81"/>
      <c r="J6" s="920" t="s">
        <v>9</v>
      </c>
    </row>
    <row r="7" spans="1:13" s="41" customFormat="1" ht="18.600000000000001" customHeight="1">
      <c r="A7" s="28"/>
      <c r="B7" s="81"/>
      <c r="C7" s="102" t="s">
        <v>492</v>
      </c>
      <c r="D7" s="102"/>
      <c r="E7" s="103"/>
      <c r="F7" s="102" t="s">
        <v>493</v>
      </c>
      <c r="G7" s="102"/>
      <c r="H7" s="102"/>
      <c r="I7" s="103"/>
      <c r="J7" s="107" t="s">
        <v>458</v>
      </c>
    </row>
    <row r="8" spans="1:13" s="39" customFormat="1" ht="18.600000000000001" customHeight="1">
      <c r="A8" s="24" t="s">
        <v>379</v>
      </c>
      <c r="B8" s="74"/>
      <c r="C8" s="78" t="s">
        <v>494</v>
      </c>
      <c r="D8" s="95" t="s">
        <v>495</v>
      </c>
      <c r="E8" s="64"/>
      <c r="F8" s="78" t="s">
        <v>496</v>
      </c>
      <c r="G8" s="95" t="s">
        <v>496</v>
      </c>
      <c r="H8" s="95" t="s">
        <v>497</v>
      </c>
      <c r="I8" s="64"/>
      <c r="J8" s="271" t="s">
        <v>463</v>
      </c>
    </row>
    <row r="9" spans="1:13" s="41" customFormat="1" ht="18.600000000000001" customHeight="1">
      <c r="A9" s="82" t="s">
        <v>387</v>
      </c>
      <c r="B9" s="81"/>
      <c r="C9" s="108" t="s">
        <v>498</v>
      </c>
      <c r="D9" s="106" t="s">
        <v>499</v>
      </c>
      <c r="E9" s="106" t="s">
        <v>382</v>
      </c>
      <c r="F9" s="105" t="s">
        <v>391</v>
      </c>
      <c r="G9" s="106" t="s">
        <v>500</v>
      </c>
      <c r="H9" s="106" t="s">
        <v>501</v>
      </c>
      <c r="I9" s="73" t="s">
        <v>382</v>
      </c>
      <c r="J9" s="73" t="s">
        <v>470</v>
      </c>
    </row>
    <row r="10" spans="1:13" s="50" customFormat="1" ht="14.25" customHeight="1">
      <c r="A10" s="82"/>
      <c r="B10" s="83"/>
      <c r="C10" s="96" t="s">
        <v>502</v>
      </c>
      <c r="D10" s="84" t="s">
        <v>503</v>
      </c>
      <c r="E10" s="84"/>
      <c r="F10" s="109" t="s">
        <v>399</v>
      </c>
      <c r="G10" s="84" t="s">
        <v>399</v>
      </c>
      <c r="H10" s="84" t="s">
        <v>400</v>
      </c>
      <c r="I10" s="110"/>
      <c r="J10" s="73" t="s">
        <v>504</v>
      </c>
    </row>
    <row r="11" spans="1:13" s="50" customFormat="1" ht="14.25" customHeight="1">
      <c r="A11" s="82"/>
      <c r="B11" s="83"/>
      <c r="C11" s="64" t="s">
        <v>505</v>
      </c>
      <c r="D11" s="110" t="s">
        <v>406</v>
      </c>
      <c r="E11" s="110" t="s">
        <v>393</v>
      </c>
      <c r="F11" s="110" t="s">
        <v>506</v>
      </c>
      <c r="G11" s="110" t="s">
        <v>507</v>
      </c>
      <c r="H11" s="110" t="s">
        <v>508</v>
      </c>
      <c r="I11" s="110" t="s">
        <v>393</v>
      </c>
      <c r="J11" s="84" t="s">
        <v>509</v>
      </c>
    </row>
    <row r="12" spans="1:13" s="50" customFormat="1" ht="14.25" customHeight="1">
      <c r="A12" s="111"/>
      <c r="B12" s="112"/>
      <c r="C12" s="89"/>
      <c r="D12" s="90"/>
      <c r="E12" s="90"/>
      <c r="F12" s="90"/>
      <c r="G12" s="90"/>
      <c r="H12" s="90"/>
      <c r="I12" s="90"/>
      <c r="J12" s="89" t="s">
        <v>254</v>
      </c>
    </row>
    <row r="13" spans="1:13" s="306" customFormat="1" ht="20.25" customHeight="1">
      <c r="A13" s="405">
        <v>2015</v>
      </c>
      <c r="B13" s="406"/>
      <c r="C13" s="1714">
        <v>1171.4000000000001</v>
      </c>
      <c r="D13" s="654">
        <v>-371.47685041592558</v>
      </c>
      <c r="E13" s="657">
        <v>799.92314958407451</v>
      </c>
      <c r="F13" s="654">
        <v>4398.6006798342505</v>
      </c>
      <c r="G13" s="657">
        <v>8627.4141532148751</v>
      </c>
      <c r="H13" s="654">
        <v>-1930.746319067639</v>
      </c>
      <c r="I13" s="657">
        <v>11095.268513981486</v>
      </c>
      <c r="J13" s="1715">
        <v>11895.181621364602</v>
      </c>
      <c r="K13" s="969"/>
      <c r="L13" s="969"/>
      <c r="M13" s="969"/>
    </row>
    <row r="14" spans="1:13" s="408" customFormat="1" ht="14.25" customHeight="1">
      <c r="A14" s="356">
        <v>2016</v>
      </c>
      <c r="B14" s="407"/>
      <c r="C14" s="1716">
        <v>818.4</v>
      </c>
      <c r="D14" s="1717">
        <v>-588.26338214329007</v>
      </c>
      <c r="E14" s="1718">
        <v>230.1366178567099</v>
      </c>
      <c r="F14" s="1717">
        <v>5626.8132624427144</v>
      </c>
      <c r="G14" s="1718">
        <v>8755.5592465315076</v>
      </c>
      <c r="H14" s="1717">
        <v>-2590.6833779628132</v>
      </c>
      <c r="I14" s="1718">
        <v>11791.689131011408</v>
      </c>
      <c r="J14" s="1718">
        <v>12021.82690553366</v>
      </c>
      <c r="K14" s="969"/>
      <c r="L14" s="969"/>
      <c r="M14" s="969"/>
    </row>
    <row r="15" spans="1:13" s="408" customFormat="1" ht="14.25" customHeight="1">
      <c r="A15" s="356">
        <v>2017</v>
      </c>
      <c r="B15" s="407"/>
      <c r="C15" s="1716">
        <v>883.1</v>
      </c>
      <c r="D15" s="1717">
        <v>-921.46110953044877</v>
      </c>
      <c r="E15" s="1718">
        <v>-38.361109530448743</v>
      </c>
      <c r="F15" s="1717">
        <v>6094.3643282399189</v>
      </c>
      <c r="G15" s="1718">
        <v>8970.1976701133171</v>
      </c>
      <c r="H15" s="1717">
        <v>-2504.8704568670537</v>
      </c>
      <c r="I15" s="1718">
        <v>12559.691541486183</v>
      </c>
      <c r="J15" s="1718">
        <v>12521.33834765356</v>
      </c>
      <c r="K15" s="969"/>
      <c r="L15" s="969"/>
      <c r="M15" s="969"/>
    </row>
    <row r="16" spans="1:13" s="321" customFormat="1" ht="14.25" customHeight="1">
      <c r="A16" s="747">
        <v>2018</v>
      </c>
      <c r="B16" s="900"/>
      <c r="C16" s="1165">
        <v>702.3</v>
      </c>
      <c r="D16" s="1165">
        <v>-1106.9416969982703</v>
      </c>
      <c r="E16" s="1166">
        <v>-404.64169699827039</v>
      </c>
      <c r="F16" s="1165">
        <v>6057.6131674958597</v>
      </c>
      <c r="G16" s="1166">
        <v>9860.5224357719762</v>
      </c>
      <c r="H16" s="1165">
        <v>-2891.4280632143264</v>
      </c>
      <c r="I16" s="1166">
        <v>13026.70754005351</v>
      </c>
      <c r="J16" s="1166">
        <v>12622.075757186307</v>
      </c>
      <c r="K16" s="969"/>
      <c r="L16" s="969"/>
      <c r="M16" s="969"/>
    </row>
    <row r="17" spans="1:13" s="321" customFormat="1" ht="14.25" customHeight="1">
      <c r="A17" s="747">
        <v>2019</v>
      </c>
      <c r="B17" s="900"/>
      <c r="C17" s="1165">
        <v>1278.5999999999999</v>
      </c>
      <c r="D17" s="1165">
        <v>-978.95207411742194</v>
      </c>
      <c r="E17" s="1166">
        <v>299.64792588257797</v>
      </c>
      <c r="F17" s="1165">
        <v>6622.4570046662348</v>
      </c>
      <c r="G17" s="1166">
        <v>9966.7851993423283</v>
      </c>
      <c r="H17" s="1165">
        <v>-3217.0007851050414</v>
      </c>
      <c r="I17" s="1166">
        <v>13372.261418903521</v>
      </c>
      <c r="J17" s="1166">
        <v>13671.88438483977</v>
      </c>
      <c r="K17" s="969"/>
      <c r="L17" s="969"/>
      <c r="M17" s="969"/>
    </row>
    <row r="18" spans="1:13" s="321" customFormat="1" ht="14.25" customHeight="1">
      <c r="A18" s="747">
        <v>2020</v>
      </c>
      <c r="B18" s="900"/>
      <c r="C18" s="1165">
        <v>734.5</v>
      </c>
      <c r="D18" s="1165">
        <v>-1329.1114923424102</v>
      </c>
      <c r="E18" s="1166">
        <v>-594.6114923424102</v>
      </c>
      <c r="F18" s="1165">
        <v>7789.5132998701774</v>
      </c>
      <c r="G18" s="1166">
        <v>10644.319226108561</v>
      </c>
      <c r="H18" s="1165">
        <v>-3687.9415435554715</v>
      </c>
      <c r="I18" s="1166">
        <v>14745.890982423267</v>
      </c>
      <c r="J18" s="1166">
        <v>14151.256808289852</v>
      </c>
      <c r="K18" s="969"/>
      <c r="L18" s="969"/>
      <c r="M18" s="969"/>
    </row>
    <row r="19" spans="1:13" s="321" customFormat="1" ht="14.25" customHeight="1">
      <c r="A19" s="747">
        <v>2021</v>
      </c>
      <c r="B19" s="900"/>
      <c r="C19" s="1165">
        <v>1471.1</v>
      </c>
      <c r="D19" s="1165">
        <v>-1493.9619543455665</v>
      </c>
      <c r="E19" s="1166">
        <v>-22.861954345566573</v>
      </c>
      <c r="F19" s="1165">
        <v>8077.2270960630085</v>
      </c>
      <c r="G19" s="1166">
        <v>11111.127374236223</v>
      </c>
      <c r="H19" s="1165">
        <v>-4281.2316329858113</v>
      </c>
      <c r="I19" s="1166">
        <v>14907.122837313418</v>
      </c>
      <c r="J19" s="1166">
        <v>14884.212361565633</v>
      </c>
      <c r="K19" s="969"/>
      <c r="L19" s="969"/>
      <c r="M19" s="969"/>
    </row>
    <row r="20" spans="1:13" s="321" customFormat="1" ht="14.25" customHeight="1">
      <c r="A20" s="747">
        <v>2022</v>
      </c>
      <c r="B20" s="900"/>
      <c r="C20" s="1165">
        <v>1404.1</v>
      </c>
      <c r="D20" s="1165">
        <v>-2599.5235519705866</v>
      </c>
      <c r="E20" s="1166">
        <v>-1195.4235519705867</v>
      </c>
      <c r="F20" s="1165">
        <v>9192.7125319697006</v>
      </c>
      <c r="G20" s="1166">
        <v>11505.400231115644</v>
      </c>
      <c r="H20" s="1165">
        <v>-4367.3212276701852</v>
      </c>
      <c r="I20" s="1166">
        <v>16330.791535415159</v>
      </c>
      <c r="J20" s="1166">
        <v>15135.428446639962</v>
      </c>
      <c r="K20" s="969"/>
      <c r="L20" s="969"/>
      <c r="M20" s="969"/>
    </row>
    <row r="21" spans="1:13" s="321" customFormat="1" ht="14.25" customHeight="1">
      <c r="A21" s="747">
        <v>2023</v>
      </c>
      <c r="B21" s="900"/>
      <c r="C21" s="1165">
        <f t="shared" ref="C21:J21" si="0">C23</f>
        <v>1515.2</v>
      </c>
      <c r="D21" s="1165">
        <f t="shared" si="0"/>
        <v>-3101.3999999999996</v>
      </c>
      <c r="E21" s="1166">
        <f t="shared" si="0"/>
        <v>-1586.1999999999996</v>
      </c>
      <c r="F21" s="1165">
        <f t="shared" si="0"/>
        <v>9941.3863329282958</v>
      </c>
      <c r="G21" s="1166">
        <f t="shared" si="0"/>
        <v>11804.930969689533</v>
      </c>
      <c r="H21" s="1165">
        <f t="shared" si="0"/>
        <v>-4193.7702889526372</v>
      </c>
      <c r="I21" s="1166">
        <f t="shared" si="0"/>
        <v>17552.547013665189</v>
      </c>
      <c r="J21" s="1166">
        <f t="shared" si="0"/>
        <v>15966.291360589066</v>
      </c>
      <c r="K21" s="969"/>
      <c r="L21" s="969"/>
      <c r="M21" s="969"/>
    </row>
    <row r="22" spans="1:13" s="321" customFormat="1" ht="14.25" customHeight="1">
      <c r="A22" s="907">
        <v>2024</v>
      </c>
      <c r="B22" s="908"/>
      <c r="C22" s="1086">
        <f t="shared" ref="C22:J22" si="1">C27</f>
        <v>1427.5</v>
      </c>
      <c r="D22" s="1086">
        <f t="shared" si="1"/>
        <v>-4223.7000000000007</v>
      </c>
      <c r="E22" s="1087">
        <f t="shared" si="1"/>
        <v>-2796.2000000000007</v>
      </c>
      <c r="F22" s="1086">
        <f t="shared" si="1"/>
        <v>11229.10431745114</v>
      </c>
      <c r="G22" s="1087">
        <f t="shared" si="1"/>
        <v>11897.037488911043</v>
      </c>
      <c r="H22" s="1086">
        <f t="shared" si="1"/>
        <v>-4109.4707128637983</v>
      </c>
      <c r="I22" s="1087">
        <f t="shared" si="1"/>
        <v>19016.641093498387</v>
      </c>
      <c r="J22" s="1087">
        <f t="shared" si="1"/>
        <v>16220.441938154301</v>
      </c>
      <c r="K22" s="969"/>
      <c r="L22" s="969"/>
      <c r="M22" s="969"/>
    </row>
    <row r="23" spans="1:13" s="321" customFormat="1" ht="21" customHeight="1">
      <c r="A23" s="747">
        <v>2023</v>
      </c>
      <c r="B23" s="900" t="s">
        <v>238</v>
      </c>
      <c r="C23" s="1165">
        <v>1515.2</v>
      </c>
      <c r="D23" s="1165">
        <v>-3101.3999999999996</v>
      </c>
      <c r="E23" s="1166">
        <v>-1586.1999999999996</v>
      </c>
      <c r="F23" s="1165">
        <v>9941.3863329282958</v>
      </c>
      <c r="G23" s="1166">
        <v>11804.930969689533</v>
      </c>
      <c r="H23" s="1165">
        <v>-4193.7702889526372</v>
      </c>
      <c r="I23" s="1166">
        <v>17552.547013665189</v>
      </c>
      <c r="J23" s="1166">
        <v>15966.291360589066</v>
      </c>
      <c r="K23" s="969"/>
      <c r="L23" s="969"/>
      <c r="M23" s="969"/>
    </row>
    <row r="24" spans="1:13" s="321" customFormat="1" ht="21" customHeight="1">
      <c r="A24" s="747">
        <v>2024</v>
      </c>
      <c r="B24" s="900" t="s">
        <v>239</v>
      </c>
      <c r="C24" s="1165">
        <v>1518.4</v>
      </c>
      <c r="D24" s="1165">
        <v>-3695.8000000000011</v>
      </c>
      <c r="E24" s="1166">
        <v>-2177.400000000001</v>
      </c>
      <c r="F24" s="1165">
        <v>10525.029872947791</v>
      </c>
      <c r="G24" s="1166">
        <v>12103.286298997315</v>
      </c>
      <c r="H24" s="1165">
        <v>-4551.2477713656872</v>
      </c>
      <c r="I24" s="1166">
        <v>18077.068400579417</v>
      </c>
      <c r="J24" s="1166">
        <v>15899.657414014246</v>
      </c>
      <c r="K24" s="969"/>
      <c r="L24" s="969"/>
      <c r="M24" s="969"/>
    </row>
    <row r="25" spans="1:13" s="321" customFormat="1" ht="15" customHeight="1">
      <c r="A25" s="747"/>
      <c r="B25" s="900" t="s">
        <v>240</v>
      </c>
      <c r="C25" s="1165">
        <v>1507.5</v>
      </c>
      <c r="D25" s="1165">
        <v>-4206.7000000000007</v>
      </c>
      <c r="E25" s="1166">
        <v>-2699.2000000000007</v>
      </c>
      <c r="F25" s="1165">
        <v>10936.891114119579</v>
      </c>
      <c r="G25" s="1166">
        <v>12242.259972509069</v>
      </c>
      <c r="H25" s="1165">
        <v>-4463.8587576036743</v>
      </c>
      <c r="I25" s="1166">
        <v>18715.292329024975</v>
      </c>
      <c r="J25" s="1166">
        <v>16016.147946331115</v>
      </c>
      <c r="K25" s="969"/>
      <c r="L25" s="969"/>
      <c r="M25" s="969"/>
    </row>
    <row r="26" spans="1:13" s="321" customFormat="1" ht="15" customHeight="1">
      <c r="A26" s="747"/>
      <c r="B26" s="900" t="s">
        <v>237</v>
      </c>
      <c r="C26" s="1165">
        <v>1912.2</v>
      </c>
      <c r="D26" s="1165">
        <v>-4089.3000000000011</v>
      </c>
      <c r="E26" s="1166">
        <v>-2177.1000000000013</v>
      </c>
      <c r="F26" s="1165">
        <v>11256.704237503141</v>
      </c>
      <c r="G26" s="1166">
        <v>12132.166024345523</v>
      </c>
      <c r="H26" s="1165">
        <v>-4585.6314018330268</v>
      </c>
      <c r="I26" s="1166">
        <v>18803.258860015638</v>
      </c>
      <c r="J26" s="1166">
        <v>16626.240013787232</v>
      </c>
      <c r="K26" s="969"/>
      <c r="L26" s="969"/>
      <c r="M26" s="969"/>
    </row>
    <row r="27" spans="1:13" s="321" customFormat="1" ht="15" customHeight="1">
      <c r="A27" s="747"/>
      <c r="B27" s="900" t="s">
        <v>238</v>
      </c>
      <c r="C27" s="1165">
        <v>1427.5</v>
      </c>
      <c r="D27" s="1165">
        <v>-4223.7000000000007</v>
      </c>
      <c r="E27" s="1166">
        <v>-2796.2000000000007</v>
      </c>
      <c r="F27" s="1165">
        <v>11229.10431745114</v>
      </c>
      <c r="G27" s="1166">
        <v>11897.037488911043</v>
      </c>
      <c r="H27" s="1165">
        <v>-4109.4707128637983</v>
      </c>
      <c r="I27" s="1166">
        <v>19016.641093498387</v>
      </c>
      <c r="J27" s="1166">
        <v>16220.441938154301</v>
      </c>
      <c r="K27" s="969"/>
      <c r="L27" s="969"/>
      <c r="M27" s="969"/>
    </row>
    <row r="28" spans="1:13" s="321" customFormat="1" ht="21" customHeight="1">
      <c r="A28" s="747">
        <v>2025</v>
      </c>
      <c r="B28" s="900" t="s">
        <v>239</v>
      </c>
      <c r="C28" s="1165">
        <f t="shared" ref="C28:J28" si="2">C36</f>
        <v>1051.3</v>
      </c>
      <c r="D28" s="1165">
        <f t="shared" si="2"/>
        <v>-4572.7000000000007</v>
      </c>
      <c r="E28" s="1166">
        <f t="shared" si="2"/>
        <v>-3521.4000000000005</v>
      </c>
      <c r="F28" s="1165">
        <f t="shared" si="2"/>
        <v>12477.314762898464</v>
      </c>
      <c r="G28" s="1166">
        <f t="shared" si="2"/>
        <v>12209.403658198527</v>
      </c>
      <c r="H28" s="1165">
        <f t="shared" si="2"/>
        <v>-4645.8258048215266</v>
      </c>
      <c r="I28" s="1166">
        <f t="shared" si="2"/>
        <v>20040.892616275465</v>
      </c>
      <c r="J28" s="1166">
        <f t="shared" si="2"/>
        <v>16519.485029977339</v>
      </c>
      <c r="K28" s="969"/>
      <c r="L28" s="969"/>
      <c r="M28" s="969"/>
    </row>
    <row r="29" spans="1:13" s="321" customFormat="1" ht="15" customHeight="1">
      <c r="A29" s="747"/>
      <c r="B29" s="900" t="s">
        <v>240</v>
      </c>
      <c r="C29" s="1165">
        <f t="shared" ref="C29:J29" si="3">C39</f>
        <v>1435</v>
      </c>
      <c r="D29" s="1165">
        <f t="shared" si="3"/>
        <v>-5184.1000000000004</v>
      </c>
      <c r="E29" s="1166">
        <f t="shared" si="3"/>
        <v>-3749.1000000000004</v>
      </c>
      <c r="F29" s="1165">
        <f t="shared" si="3"/>
        <v>12596.400000000001</v>
      </c>
      <c r="G29" s="1166">
        <f t="shared" si="3"/>
        <v>12226.193005835752</v>
      </c>
      <c r="H29" s="1165">
        <f t="shared" si="3"/>
        <v>-4606.8874972329613</v>
      </c>
      <c r="I29" s="1166">
        <f t="shared" si="3"/>
        <v>20215.705508602794</v>
      </c>
      <c r="J29" s="1166">
        <f t="shared" si="3"/>
        <v>16466.599999999999</v>
      </c>
      <c r="K29" s="969"/>
      <c r="L29" s="969"/>
      <c r="M29" s="969"/>
    </row>
    <row r="30" spans="1:13" s="321" customFormat="1" ht="15" customHeight="1">
      <c r="A30" s="907"/>
      <c r="B30" s="908" t="s">
        <v>237</v>
      </c>
      <c r="C30" s="1086">
        <f t="shared" ref="C30:J30" si="4">C42</f>
        <v>1223.4000000000001</v>
      </c>
      <c r="D30" s="1086">
        <f t="shared" si="4"/>
        <v>-5115.7000000000007</v>
      </c>
      <c r="E30" s="1087">
        <f t="shared" si="4"/>
        <v>-3892.3000000000006</v>
      </c>
      <c r="F30" s="1086">
        <f t="shared" si="4"/>
        <v>12866.8</v>
      </c>
      <c r="G30" s="1087">
        <f t="shared" si="4"/>
        <v>12070.874790278758</v>
      </c>
      <c r="H30" s="1086">
        <f t="shared" si="4"/>
        <v>-4808.3176309173414</v>
      </c>
      <c r="I30" s="1087">
        <f t="shared" si="4"/>
        <v>20129.357159361418</v>
      </c>
      <c r="J30" s="1087">
        <f t="shared" si="4"/>
        <v>16237.1</v>
      </c>
      <c r="K30" s="969"/>
      <c r="L30" s="969"/>
      <c r="M30" s="969"/>
    </row>
    <row r="31" spans="1:13" s="306" customFormat="1" ht="21" customHeight="1">
      <c r="A31" s="405">
        <v>2024</v>
      </c>
      <c r="B31" s="406" t="s">
        <v>412</v>
      </c>
      <c r="C31" s="654">
        <v>1594.7</v>
      </c>
      <c r="D31" s="654">
        <v>-4216.0000000000018</v>
      </c>
      <c r="E31" s="657">
        <v>-2621.300000000002</v>
      </c>
      <c r="F31" s="654">
        <v>11482.498955863612</v>
      </c>
      <c r="G31" s="657">
        <v>12049.279829445828</v>
      </c>
      <c r="H31" s="654">
        <v>-4451.2714341399487</v>
      </c>
      <c r="I31" s="657">
        <v>19080.507351169494</v>
      </c>
      <c r="J31" s="657">
        <v>16459.194155337354</v>
      </c>
      <c r="K31" s="969"/>
      <c r="L31" s="969"/>
      <c r="M31" s="969"/>
    </row>
    <row r="32" spans="1:13" s="306" customFormat="1">
      <c r="A32" s="405"/>
      <c r="B32" s="406" t="s">
        <v>413</v>
      </c>
      <c r="C32" s="654">
        <f>'1'!C32+'1'!D32-'1'!I32</f>
        <v>1244.2</v>
      </c>
      <c r="D32" s="654">
        <f>'16'!J32</f>
        <v>-4143.8999999999996</v>
      </c>
      <c r="E32" s="657">
        <f t="shared" ref="E32" si="5">SUM(C32:D32)</f>
        <v>-2899.7</v>
      </c>
      <c r="F32" s="654">
        <f>'1'!F32+'14'!G32+'14'!H32</f>
        <v>11744.285366833567</v>
      </c>
      <c r="G32" s="657">
        <f>'14'!F32</f>
        <v>11912.477589658898</v>
      </c>
      <c r="H32" s="654">
        <v>-4493.2669550906357</v>
      </c>
      <c r="I32" s="657">
        <f>SUM(F32:H32)</f>
        <v>19163.496001401829</v>
      </c>
      <c r="J32" s="657">
        <f>'3'!J32</f>
        <v>16263.837773170257</v>
      </c>
      <c r="K32" s="969"/>
      <c r="L32" s="969"/>
      <c r="M32" s="969"/>
    </row>
    <row r="33" spans="1:13" s="306" customFormat="1">
      <c r="A33" s="405"/>
      <c r="B33" s="406" t="s">
        <v>414</v>
      </c>
      <c r="C33" s="654">
        <f>'1'!C33+'1'!D33-'1'!I33</f>
        <v>1427.5</v>
      </c>
      <c r="D33" s="654">
        <f>'16'!J33</f>
        <v>-4223.7000000000007</v>
      </c>
      <c r="E33" s="657">
        <f t="shared" ref="E33" si="6">SUM(C33:D33)</f>
        <v>-2796.2000000000007</v>
      </c>
      <c r="F33" s="654">
        <f>'1'!F33+'14'!G33+'14'!H33</f>
        <v>11229.10431745114</v>
      </c>
      <c r="G33" s="657">
        <f>'14'!F33</f>
        <v>11897.037488911043</v>
      </c>
      <c r="H33" s="654">
        <v>-4109.4707128637983</v>
      </c>
      <c r="I33" s="657">
        <f>SUM(F33:H33)-0.03</f>
        <v>19016.641093498387</v>
      </c>
      <c r="J33" s="657">
        <f>'3'!J33</f>
        <v>16220.441938154301</v>
      </c>
      <c r="K33" s="969"/>
      <c r="L33" s="969"/>
      <c r="M33" s="969"/>
    </row>
    <row r="34" spans="1:13" s="306" customFormat="1" ht="21" customHeight="1">
      <c r="A34" s="405">
        <v>2025</v>
      </c>
      <c r="B34" s="406" t="s">
        <v>415</v>
      </c>
      <c r="C34" s="654">
        <f>'1'!C34+'1'!D34-'1'!I34</f>
        <v>1594.2</v>
      </c>
      <c r="D34" s="654">
        <f>'16'!J34</f>
        <v>-4560.1000000000004</v>
      </c>
      <c r="E34" s="657">
        <f t="shared" ref="E34" si="7">SUM(C34:D34)</f>
        <v>-2965.9000000000005</v>
      </c>
      <c r="F34" s="654">
        <f>'1'!F34+'14'!G34+'14'!H34</f>
        <v>11640.409073850458</v>
      </c>
      <c r="G34" s="657">
        <f>'14'!F34</f>
        <v>11827.955953367928</v>
      </c>
      <c r="H34" s="654">
        <v>-4505.20614110715</v>
      </c>
      <c r="I34" s="657">
        <f>SUM(F34:H34)</f>
        <v>18963.15888611124</v>
      </c>
      <c r="J34" s="657">
        <f>'3'!J34</f>
        <v>15997.304934714333</v>
      </c>
      <c r="K34" s="969"/>
      <c r="L34" s="969"/>
      <c r="M34" s="969"/>
    </row>
    <row r="35" spans="1:13" s="306" customFormat="1" ht="15" customHeight="1">
      <c r="A35" s="405"/>
      <c r="B35" s="406" t="s">
        <v>416</v>
      </c>
      <c r="C35" s="654">
        <f>'1'!C35+'1'!D35-'1'!I35</f>
        <v>1485.4</v>
      </c>
      <c r="D35" s="654">
        <f>'16'!J35</f>
        <v>-4407.8999999999996</v>
      </c>
      <c r="E35" s="657">
        <f t="shared" ref="E35" si="8">SUM(C35:D35)</f>
        <v>-2922.4999999999995</v>
      </c>
      <c r="F35" s="654">
        <f>'1'!F35+'14'!G35+'14'!H35</f>
        <v>11865.123643897034</v>
      </c>
      <c r="G35" s="657">
        <f>'14'!F35</f>
        <v>11946.139297052345</v>
      </c>
      <c r="H35" s="654">
        <v>-4708.2588648857236</v>
      </c>
      <c r="I35" s="657">
        <f>SUM(F35:H35)-0.06</f>
        <v>19102.944076063653</v>
      </c>
      <c r="J35" s="657">
        <f>'3'!J35</f>
        <v>16180.412260094929</v>
      </c>
      <c r="K35" s="969"/>
      <c r="L35" s="969"/>
      <c r="M35" s="969"/>
    </row>
    <row r="36" spans="1:13" s="306" customFormat="1" ht="15" customHeight="1">
      <c r="A36" s="405"/>
      <c r="B36" s="406" t="s">
        <v>417</v>
      </c>
      <c r="C36" s="654">
        <f>'1'!C36+'1'!D36-'1'!I36</f>
        <v>1051.3</v>
      </c>
      <c r="D36" s="654">
        <f>'16'!J36</f>
        <v>-4572.7000000000007</v>
      </c>
      <c r="E36" s="657">
        <f t="shared" ref="E36" si="9">SUM(C36:D36)</f>
        <v>-3521.4000000000005</v>
      </c>
      <c r="F36" s="654">
        <f>'1'!F36+'14'!G36+'14'!H36</f>
        <v>12477.314762898464</v>
      </c>
      <c r="G36" s="657">
        <f>'14'!F36</f>
        <v>12209.403658198527</v>
      </c>
      <c r="H36" s="654">
        <v>-4645.8258048215266</v>
      </c>
      <c r="I36" s="657">
        <f t="shared" ref="I36:I41" si="10">SUM(F36:H36)</f>
        <v>20040.892616275465</v>
      </c>
      <c r="J36" s="657">
        <f>'3'!J36</f>
        <v>16519.485029977339</v>
      </c>
      <c r="K36" s="969"/>
      <c r="L36" s="969"/>
      <c r="M36" s="969"/>
    </row>
    <row r="37" spans="1:13" s="306" customFormat="1" ht="15" customHeight="1">
      <c r="A37" s="405"/>
      <c r="B37" s="406" t="s">
        <v>418</v>
      </c>
      <c r="C37" s="654">
        <f>'1'!C37+'1'!D37-'1'!I37</f>
        <v>899.3</v>
      </c>
      <c r="D37" s="654">
        <f>'16'!J37</f>
        <v>-4659.7000000000007</v>
      </c>
      <c r="E37" s="657">
        <f t="shared" ref="E37" si="11">SUM(C37:D37)</f>
        <v>-3760.4000000000005</v>
      </c>
      <c r="F37" s="654">
        <f>'1'!F37+'14'!G37+'14'!H37</f>
        <v>12738.349178411254</v>
      </c>
      <c r="G37" s="657">
        <f>'14'!F37</f>
        <v>12185.050839010364</v>
      </c>
      <c r="H37" s="654">
        <v>-4379.179004704034</v>
      </c>
      <c r="I37" s="657">
        <f t="shared" si="10"/>
        <v>20544.221012717586</v>
      </c>
      <c r="J37" s="657">
        <f>'3'!J37</f>
        <v>16783.790660143088</v>
      </c>
      <c r="K37" s="969"/>
      <c r="L37" s="969"/>
      <c r="M37" s="969"/>
    </row>
    <row r="38" spans="1:13" s="306" customFormat="1" ht="15" customHeight="1">
      <c r="A38" s="405"/>
      <c r="B38" s="406" t="s">
        <v>419</v>
      </c>
      <c r="C38" s="654">
        <f>'1'!C38+'1'!D38-'1'!I38</f>
        <v>1712.5</v>
      </c>
      <c r="D38" s="654">
        <f>'16'!J38</f>
        <v>-5157.2000000000007</v>
      </c>
      <c r="E38" s="657">
        <f t="shared" ref="E38" si="12">SUM(C38:D38)</f>
        <v>-3444.7000000000007</v>
      </c>
      <c r="F38" s="654">
        <f>'1'!F38+'14'!G38+'14'!H38-0.05</f>
        <v>12435.095581669313</v>
      </c>
      <c r="G38" s="657">
        <f>'14'!F38</f>
        <v>12218.675505790741</v>
      </c>
      <c r="H38" s="654">
        <v>-4589.7840458953024</v>
      </c>
      <c r="I38" s="657">
        <f t="shared" si="10"/>
        <v>20063.987041564749</v>
      </c>
      <c r="J38" s="657">
        <f>'3'!J38</f>
        <v>16619.3</v>
      </c>
      <c r="K38" s="969"/>
      <c r="L38" s="969"/>
      <c r="M38" s="969"/>
    </row>
    <row r="39" spans="1:13" s="306" customFormat="1" ht="15" customHeight="1">
      <c r="A39" s="405"/>
      <c r="B39" s="406" t="s">
        <v>420</v>
      </c>
      <c r="C39" s="654">
        <f>'1'!C39+'1'!D39-'1'!I39</f>
        <v>1435</v>
      </c>
      <c r="D39" s="654">
        <f>'16'!J39</f>
        <v>-5184.1000000000004</v>
      </c>
      <c r="E39" s="657">
        <f t="shared" ref="E39" si="13">SUM(C39:D39)</f>
        <v>-3749.1000000000004</v>
      </c>
      <c r="F39" s="654">
        <f>'1'!F39+ROUND('14'!G39,1)+ROUND('14'!H39,1)</f>
        <v>12596.400000000001</v>
      </c>
      <c r="G39" s="657">
        <f>'14'!F39</f>
        <v>12226.193005835752</v>
      </c>
      <c r="H39" s="654">
        <v>-4606.8874972329613</v>
      </c>
      <c r="I39" s="657">
        <f t="shared" si="10"/>
        <v>20215.705508602794</v>
      </c>
      <c r="J39" s="657">
        <f>'3'!J39</f>
        <v>16466.599999999999</v>
      </c>
      <c r="K39" s="969"/>
      <c r="L39" s="969"/>
      <c r="M39" s="969"/>
    </row>
    <row r="40" spans="1:13" s="306" customFormat="1" ht="15" customHeight="1">
      <c r="A40" s="405"/>
      <c r="B40" s="406" t="s">
        <v>421</v>
      </c>
      <c r="C40" s="654">
        <f>'1'!C40+'1'!D40-'1'!I40</f>
        <v>1607.7</v>
      </c>
      <c r="D40" s="654">
        <f>'16'!J40</f>
        <v>-5253.3000000000011</v>
      </c>
      <c r="E40" s="657">
        <f t="shared" ref="E40" si="14">SUM(C40:D40)</f>
        <v>-3645.6000000000013</v>
      </c>
      <c r="F40" s="654">
        <f>'1'!F40+ROUND('14'!G40,1)+ROUND('14'!H40,1)</f>
        <v>12240.8</v>
      </c>
      <c r="G40" s="657">
        <f>'14'!F40</f>
        <v>12170.574120990528</v>
      </c>
      <c r="H40" s="654">
        <v>-4573.9901914761795</v>
      </c>
      <c r="I40" s="657">
        <f t="shared" si="10"/>
        <v>19837.383929514348</v>
      </c>
      <c r="J40" s="657">
        <f>'3'!J40</f>
        <v>16191.8</v>
      </c>
      <c r="K40" s="969"/>
      <c r="L40" s="969"/>
      <c r="M40" s="969"/>
    </row>
    <row r="41" spans="1:13" s="306" customFormat="1" ht="15" customHeight="1">
      <c r="A41" s="405"/>
      <c r="B41" s="406" t="s">
        <v>422</v>
      </c>
      <c r="C41" s="654">
        <f>'1'!C41+'1'!D41-'1'!I41</f>
        <v>1337</v>
      </c>
      <c r="D41" s="654">
        <f>'16'!J41</f>
        <v>-5052.8000000000011</v>
      </c>
      <c r="E41" s="657">
        <f t="shared" ref="E41" si="15">SUM(C41:D41)</f>
        <v>-3715.8000000000011</v>
      </c>
      <c r="F41" s="654">
        <f>'1'!F41+ROUND('14'!G41,1)+ROUND('14'!H41,1)</f>
        <v>12727.5</v>
      </c>
      <c r="G41" s="657">
        <f>'14'!F41</f>
        <v>12102.288466598202</v>
      </c>
      <c r="H41" s="654">
        <v>-4773.9632201820077</v>
      </c>
      <c r="I41" s="657">
        <f t="shared" si="10"/>
        <v>20055.825246416192</v>
      </c>
      <c r="J41" s="657">
        <f>'3'!J41</f>
        <v>16340</v>
      </c>
      <c r="K41" s="969"/>
      <c r="L41" s="969"/>
      <c r="M41" s="969"/>
    </row>
    <row r="42" spans="1:13" s="306" customFormat="1" ht="15" customHeight="1">
      <c r="A42" s="405"/>
      <c r="B42" s="406" t="s">
        <v>423</v>
      </c>
      <c r="C42" s="654">
        <f>'1'!C42+'1'!D42-'1'!I42</f>
        <v>1223.4000000000001</v>
      </c>
      <c r="D42" s="654">
        <f>'16'!J42</f>
        <v>-5115.7000000000007</v>
      </c>
      <c r="E42" s="657">
        <f t="shared" ref="E42" si="16">SUM(C42:D42)</f>
        <v>-3892.3000000000006</v>
      </c>
      <c r="F42" s="654">
        <f>'1'!F42+ROUND('14'!G42,1)+ROUND('14'!H42,1)</f>
        <v>12866.8</v>
      </c>
      <c r="G42" s="657">
        <f>'14'!F42</f>
        <v>12070.874790278758</v>
      </c>
      <c r="H42" s="654">
        <v>-4808.3176309173414</v>
      </c>
      <c r="I42" s="657">
        <f t="shared" ref="I42" si="17">SUM(F42:H42)</f>
        <v>20129.357159361418</v>
      </c>
      <c r="J42" s="657">
        <f>'3'!J42</f>
        <v>16237.1</v>
      </c>
      <c r="K42" s="969"/>
      <c r="L42" s="969"/>
      <c r="M42" s="969"/>
    </row>
    <row r="43" spans="1:13" s="306" customFormat="1" ht="15" customHeight="1">
      <c r="A43" s="405"/>
      <c r="B43" s="406" t="s">
        <v>412</v>
      </c>
      <c r="C43" s="654">
        <f>'1'!C43+'1'!D43-'1'!I43</f>
        <v>1591.1</v>
      </c>
      <c r="D43" s="654">
        <f>'16'!J43</f>
        <v>-5824.7000000000007</v>
      </c>
      <c r="E43" s="657">
        <f t="shared" ref="E43" si="18">SUM(C43:D43)</f>
        <v>-4233.6000000000004</v>
      </c>
      <c r="F43" s="654">
        <f>'1'!F43+ROUND('14'!G43,1)+ROUND('14'!H43,1)</f>
        <v>12337.7</v>
      </c>
      <c r="G43" s="657">
        <f>'14'!F43</f>
        <v>12185.737582546886</v>
      </c>
      <c r="H43" s="654">
        <v>-4272.6109555745898</v>
      </c>
      <c r="I43" s="657">
        <f t="shared" ref="I43" si="19">SUM(F43:H43)</f>
        <v>20250.826626972299</v>
      </c>
      <c r="J43" s="657">
        <f>'3'!J43</f>
        <v>16017.199999999999</v>
      </c>
      <c r="K43" s="969"/>
      <c r="L43" s="969"/>
      <c r="M43" s="969"/>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719"/>
      <c r="I45" s="1719"/>
      <c r="J45" s="1719"/>
    </row>
    <row r="47" spans="1:13">
      <c r="A47" s="318" t="s">
        <v>510</v>
      </c>
      <c r="B47" s="1262"/>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tabSelected="1" zoomScale="90" zoomScaleNormal="90" workbookViewId="0">
      <pane ySplit="12" topLeftCell="A24" activePane="bottomLeft" state="frozen"/>
      <selection activeCell="N29" sqref="N29"/>
      <selection pane="bottomLeft" activeCell="N29" sqref="N29"/>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711" t="s">
        <v>1767</v>
      </c>
      <c r="B1" s="1464"/>
      <c r="C1" s="1464"/>
      <c r="D1" s="1464"/>
      <c r="E1" s="1464"/>
      <c r="F1" s="1464"/>
      <c r="G1" s="1464"/>
      <c r="H1" s="1464"/>
      <c r="I1" s="1464"/>
      <c r="J1" s="1464"/>
      <c r="K1" s="1464"/>
    </row>
    <row r="2" spans="1:13" s="26" customFormat="1" ht="18">
      <c r="A2" s="1712" t="s">
        <v>511</v>
      </c>
      <c r="B2" s="1464"/>
      <c r="C2" s="1464"/>
      <c r="D2" s="1464"/>
      <c r="E2" s="1464"/>
      <c r="F2" s="1464"/>
      <c r="G2" s="1464"/>
      <c r="H2" s="1464"/>
      <c r="I2" s="1464"/>
      <c r="J2" s="1464"/>
      <c r="K2" s="1464"/>
    </row>
    <row r="3" spans="1:13" s="26" customFormat="1" ht="18">
      <c r="A3" s="1711" t="s">
        <v>12</v>
      </c>
      <c r="B3" s="1464"/>
      <c r="C3" s="1464"/>
      <c r="D3" s="1464"/>
      <c r="E3" s="1464"/>
      <c r="F3" s="1464"/>
      <c r="G3" s="1464"/>
      <c r="H3" s="1464"/>
      <c r="I3" s="1464"/>
      <c r="J3" s="1464"/>
      <c r="K3" s="1464"/>
    </row>
    <row r="4" spans="1:13" s="26" customFormat="1" ht="18" customHeight="1">
      <c r="A4" s="18" t="s">
        <v>369</v>
      </c>
      <c r="B4" s="10"/>
      <c r="C4" s="33"/>
      <c r="E4" s="33"/>
      <c r="F4" s="33"/>
      <c r="G4" s="33"/>
      <c r="H4" s="33"/>
      <c r="I4" s="33"/>
      <c r="J4" s="33"/>
      <c r="K4" s="36" t="s">
        <v>370</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512</v>
      </c>
      <c r="F6" s="66"/>
      <c r="G6" s="66"/>
      <c r="H6" s="66"/>
      <c r="I6" s="66"/>
      <c r="J6" s="66"/>
      <c r="K6" s="98"/>
    </row>
    <row r="7" spans="1:13" s="34" customFormat="1" ht="15.75">
      <c r="A7" s="31"/>
      <c r="B7" s="74"/>
      <c r="C7" s="60" t="s">
        <v>254</v>
      </c>
      <c r="D7" s="74"/>
      <c r="E7" s="22" t="s">
        <v>513</v>
      </c>
      <c r="F7" s="60"/>
      <c r="G7" s="74"/>
      <c r="H7" s="22" t="s">
        <v>514</v>
      </c>
      <c r="I7" s="60"/>
      <c r="J7" s="60"/>
      <c r="K7" s="74"/>
    </row>
    <row r="8" spans="1:13" s="34" customFormat="1" ht="15.75">
      <c r="A8" s="24" t="s">
        <v>379</v>
      </c>
      <c r="B8" s="74"/>
      <c r="C8" s="116"/>
      <c r="D8" s="117"/>
      <c r="E8" s="66" t="s">
        <v>515</v>
      </c>
      <c r="F8" s="66"/>
      <c r="G8" s="98"/>
      <c r="H8" s="66" t="s">
        <v>516</v>
      </c>
      <c r="I8" s="66"/>
      <c r="J8" s="66"/>
      <c r="K8" s="98"/>
    </row>
    <row r="9" spans="1:13" s="34" customFormat="1" ht="15.75">
      <c r="A9" s="118" t="s">
        <v>387</v>
      </c>
      <c r="B9" s="74"/>
      <c r="C9" s="71"/>
      <c r="D9" s="71"/>
      <c r="E9" s="78" t="s">
        <v>494</v>
      </c>
      <c r="F9" s="95" t="s">
        <v>495</v>
      </c>
      <c r="G9" s="63"/>
      <c r="H9" s="105"/>
      <c r="I9" s="106"/>
      <c r="J9" s="63"/>
      <c r="K9" s="64"/>
    </row>
    <row r="10" spans="1:13" s="34" customFormat="1" ht="15.75">
      <c r="A10" s="31"/>
      <c r="B10" s="74"/>
      <c r="C10" s="79" t="s">
        <v>382</v>
      </c>
      <c r="D10" s="79" t="s">
        <v>517</v>
      </c>
      <c r="E10" s="78" t="s">
        <v>498</v>
      </c>
      <c r="F10" s="106" t="s">
        <v>499</v>
      </c>
      <c r="G10" s="95" t="s">
        <v>382</v>
      </c>
      <c r="H10" s="106" t="s">
        <v>391</v>
      </c>
      <c r="I10" s="106" t="s">
        <v>500</v>
      </c>
      <c r="J10" s="95" t="s">
        <v>518</v>
      </c>
      <c r="K10" s="79" t="s">
        <v>382</v>
      </c>
    </row>
    <row r="11" spans="1:13" s="34" customFormat="1" ht="15.75">
      <c r="A11" s="31"/>
      <c r="B11" s="74"/>
      <c r="C11" s="64" t="s">
        <v>393</v>
      </c>
      <c r="D11" s="64" t="s">
        <v>519</v>
      </c>
      <c r="E11" s="96" t="s">
        <v>502</v>
      </c>
      <c r="F11" s="84" t="s">
        <v>503</v>
      </c>
      <c r="G11" s="63" t="s">
        <v>393</v>
      </c>
      <c r="H11" s="64" t="s">
        <v>467</v>
      </c>
      <c r="I11" s="96" t="s">
        <v>507</v>
      </c>
      <c r="J11" s="63" t="s">
        <v>520</v>
      </c>
      <c r="K11" s="64" t="s">
        <v>393</v>
      </c>
    </row>
    <row r="12" spans="1:13" s="34" customFormat="1" ht="15.75">
      <c r="A12" s="32"/>
      <c r="B12" s="98"/>
      <c r="C12" s="117"/>
      <c r="D12" s="117"/>
      <c r="E12" s="93" t="s">
        <v>505</v>
      </c>
      <c r="F12" s="110" t="s">
        <v>406</v>
      </c>
      <c r="G12" s="49"/>
      <c r="H12" s="119" t="s">
        <v>506</v>
      </c>
      <c r="I12" s="49"/>
      <c r="J12" s="49"/>
      <c r="K12" s="93"/>
    </row>
    <row r="13" spans="1:13" s="321" customFormat="1" ht="20.25" customHeight="1">
      <c r="A13" s="547">
        <v>2015</v>
      </c>
      <c r="B13" s="548"/>
      <c r="C13" s="549">
        <v>11895.181621364602</v>
      </c>
      <c r="D13" s="550">
        <v>259.95723576247656</v>
      </c>
      <c r="E13" s="550">
        <v>-995.90000000000009</v>
      </c>
      <c r="F13" s="550">
        <v>-493.88862412533854</v>
      </c>
      <c r="G13" s="550">
        <v>-1489.7886241253386</v>
      </c>
      <c r="H13" s="550">
        <v>932.81613758517778</v>
      </c>
      <c r="I13" s="550">
        <v>608.1983330714047</v>
      </c>
      <c r="J13" s="550">
        <v>208.75689297013378</v>
      </c>
      <c r="K13" s="550">
        <v>1749.7713636267144</v>
      </c>
      <c r="L13" s="969"/>
      <c r="M13" s="969"/>
    </row>
    <row r="14" spans="1:13" s="408" customFormat="1" ht="14.25" customHeight="1">
      <c r="A14" s="356">
        <v>2016</v>
      </c>
      <c r="B14" s="551"/>
      <c r="C14" s="552">
        <v>12021.82690553366</v>
      </c>
      <c r="D14" s="546">
        <v>126.64528416905887</v>
      </c>
      <c r="E14" s="553">
        <v>-353.00000000000011</v>
      </c>
      <c r="F14" s="553">
        <v>-216.78653172736449</v>
      </c>
      <c r="G14" s="553">
        <v>-569.7865317273646</v>
      </c>
      <c r="H14" s="553">
        <v>1228.2125826084639</v>
      </c>
      <c r="I14" s="553">
        <v>128.15509331663247</v>
      </c>
      <c r="J14" s="553">
        <v>-659.95705889517421</v>
      </c>
      <c r="K14" s="553">
        <v>696.42061702992214</v>
      </c>
      <c r="L14" s="969"/>
      <c r="M14" s="969"/>
    </row>
    <row r="15" spans="1:13" s="408" customFormat="1" ht="14.25" customHeight="1">
      <c r="A15" s="356">
        <v>2017</v>
      </c>
      <c r="B15" s="551"/>
      <c r="C15" s="552">
        <v>12521.33834765356</v>
      </c>
      <c r="D15" s="546">
        <v>499.51144211989958</v>
      </c>
      <c r="E15" s="553">
        <v>64.700000000000045</v>
      </c>
      <c r="F15" s="553">
        <v>-333.19772738715869</v>
      </c>
      <c r="G15" s="553">
        <v>-268.49772738715865</v>
      </c>
      <c r="H15" s="553">
        <v>467.5510657972045</v>
      </c>
      <c r="I15" s="553">
        <v>214.63842358180955</v>
      </c>
      <c r="J15" s="553">
        <v>85.812921095759521</v>
      </c>
      <c r="K15" s="553">
        <v>768.00241047477539</v>
      </c>
      <c r="L15" s="969"/>
      <c r="M15" s="969"/>
    </row>
    <row r="16" spans="1:13" s="321" customFormat="1" ht="14.25" customHeight="1">
      <c r="A16" s="747">
        <v>2018</v>
      </c>
      <c r="B16" s="748"/>
      <c r="C16" s="1164">
        <v>12622.075757186307</v>
      </c>
      <c r="D16" s="546">
        <v>100.75740953274682</v>
      </c>
      <c r="E16" s="546">
        <v>-180.80000000000007</v>
      </c>
      <c r="F16" s="546">
        <v>-185.43058746782157</v>
      </c>
      <c r="G16" s="546">
        <v>-366.23058746782164</v>
      </c>
      <c r="H16" s="546">
        <v>-36.751160744059234</v>
      </c>
      <c r="I16" s="546">
        <v>890.32476565865909</v>
      </c>
      <c r="J16" s="546">
        <v>-386.53760634727269</v>
      </c>
      <c r="K16" s="546">
        <v>467.01599856732719</v>
      </c>
      <c r="L16" s="969"/>
      <c r="M16" s="969"/>
    </row>
    <row r="17" spans="1:13" s="321" customFormat="1" ht="14.25" customHeight="1">
      <c r="A17" s="747">
        <v>2019</v>
      </c>
      <c r="B17" s="748"/>
      <c r="C17" s="1164">
        <v>13671.88438483977</v>
      </c>
      <c r="D17" s="546">
        <v>1049.8086276534632</v>
      </c>
      <c r="E17" s="546">
        <v>576.29999999999995</v>
      </c>
      <c r="F17" s="546">
        <v>127.9396228808484</v>
      </c>
      <c r="G17" s="546">
        <v>704.2396228808484</v>
      </c>
      <c r="H17" s="546">
        <v>564.86383717037506</v>
      </c>
      <c r="I17" s="546">
        <v>106.26276357035204</v>
      </c>
      <c r="J17" s="546">
        <v>-325.572721890715</v>
      </c>
      <c r="K17" s="546">
        <v>345.55387885001073</v>
      </c>
      <c r="L17" s="969"/>
      <c r="M17" s="969"/>
    </row>
    <row r="18" spans="1:13" s="321" customFormat="1" ht="14.25" customHeight="1">
      <c r="A18" s="747">
        <v>2020</v>
      </c>
      <c r="B18" s="748"/>
      <c r="C18" s="1164">
        <v>14151.256808289852</v>
      </c>
      <c r="D18" s="546">
        <v>479.37242345008235</v>
      </c>
      <c r="E18" s="546">
        <v>-544.09999999999991</v>
      </c>
      <c r="F18" s="546">
        <v>-350.13941822498828</v>
      </c>
      <c r="G18" s="546">
        <v>-894.23941822498819</v>
      </c>
      <c r="H18" s="546">
        <v>1167.0362952039427</v>
      </c>
      <c r="I18" s="546">
        <v>677.53402676623227</v>
      </c>
      <c r="J18" s="546">
        <v>-470.94075845043017</v>
      </c>
      <c r="K18" s="546">
        <v>1373.6295635197457</v>
      </c>
      <c r="L18" s="969"/>
      <c r="M18" s="969"/>
    </row>
    <row r="19" spans="1:13" s="321" customFormat="1" ht="14.25" customHeight="1">
      <c r="A19" s="747">
        <v>2021</v>
      </c>
      <c r="B19" s="748"/>
      <c r="C19" s="1164">
        <v>14884.212361565633</v>
      </c>
      <c r="D19" s="546">
        <v>732.93555327578042</v>
      </c>
      <c r="E19" s="546">
        <v>736.59999999999991</v>
      </c>
      <c r="F19" s="546">
        <v>-164.85046200315628</v>
      </c>
      <c r="G19" s="546">
        <v>571.74953799684363</v>
      </c>
      <c r="H19" s="546">
        <v>287.71379619283107</v>
      </c>
      <c r="I19" s="546">
        <v>466.80814812766221</v>
      </c>
      <c r="J19" s="546">
        <v>-593.29008943033978</v>
      </c>
      <c r="K19" s="546">
        <v>161.23185489015123</v>
      </c>
      <c r="L19" s="969"/>
      <c r="M19" s="969"/>
    </row>
    <row r="20" spans="1:13" s="321" customFormat="1" ht="14.25" customHeight="1">
      <c r="A20" s="747">
        <v>2022</v>
      </c>
      <c r="B20" s="748"/>
      <c r="C20" s="1164">
        <v>15135.428446639962</v>
      </c>
      <c r="D20" s="546">
        <v>251.19999999999891</v>
      </c>
      <c r="E20" s="1104">
        <v>-67</v>
      </c>
      <c r="F20" s="546">
        <v>-1105.5</v>
      </c>
      <c r="G20" s="546">
        <v>-1172.5</v>
      </c>
      <c r="H20" s="546">
        <v>1115.5000000000009</v>
      </c>
      <c r="I20" s="546">
        <v>394.29999999999927</v>
      </c>
      <c r="J20" s="546">
        <v>-86.100000000000364</v>
      </c>
      <c r="K20" s="546">
        <v>1423.6999999999989</v>
      </c>
      <c r="L20" s="969"/>
      <c r="M20" s="969"/>
    </row>
    <row r="21" spans="1:13" s="321" customFormat="1" ht="14.25" customHeight="1">
      <c r="A21" s="747">
        <v>2023</v>
      </c>
      <c r="B21" s="748"/>
      <c r="C21" s="1164">
        <v>15966.291360589066</v>
      </c>
      <c r="D21" s="546">
        <v>830.89999999999964</v>
      </c>
      <c r="E21" s="546">
        <v>111.10000000000014</v>
      </c>
      <c r="F21" s="546">
        <v>-501.90000000000009</v>
      </c>
      <c r="G21" s="546">
        <v>-390.79999999999995</v>
      </c>
      <c r="H21" s="546">
        <v>748.69999999999891</v>
      </c>
      <c r="I21" s="546">
        <v>299.5</v>
      </c>
      <c r="J21" s="546">
        <v>173.5</v>
      </c>
      <c r="K21" s="546">
        <v>1221.7000000000007</v>
      </c>
      <c r="L21" s="969"/>
      <c r="M21" s="969"/>
    </row>
    <row r="22" spans="1:13" s="321" customFormat="1" ht="14.25" customHeight="1">
      <c r="A22" s="907">
        <v>2024</v>
      </c>
      <c r="B22" s="999"/>
      <c r="C22" s="1085">
        <f>C27</f>
        <v>16220.441938154301</v>
      </c>
      <c r="D22" s="771">
        <f t="shared" ref="D22" si="0">ROUND(C22,1)-ROUND(C21,1)</f>
        <v>254.10000000000036</v>
      </c>
      <c r="E22" s="771">
        <f>ROUND('4'!C22,1)-ROUND('4'!C21,1)</f>
        <v>-87.700000000000045</v>
      </c>
      <c r="F22" s="771">
        <f>ROUND('4'!D22,1)-ROUND('4'!D21,1)</f>
        <v>-1122.2999999999997</v>
      </c>
      <c r="G22" s="771">
        <f>ROUND('4'!E22,1)-ROUND('4'!E21,1)</f>
        <v>-1209.9999999999998</v>
      </c>
      <c r="H22" s="771">
        <f>ROUND('4'!F22,1)-ROUND('4'!F21,1)</f>
        <v>1287.7000000000007</v>
      </c>
      <c r="I22" s="771">
        <f>ROUND('4'!G22,1)-ROUND('4'!G21,1)</f>
        <v>92.100000000000364</v>
      </c>
      <c r="J22" s="771">
        <f>ROUND('4'!H22,1)-ROUND('4'!H21,1)</f>
        <v>84.300000000000182</v>
      </c>
      <c r="K22" s="771">
        <f>ROUND('4'!I22,1)-ROUND('4'!I21,1)</f>
        <v>1464.0999999999985</v>
      </c>
      <c r="L22" s="969"/>
      <c r="M22" s="969"/>
    </row>
    <row r="23" spans="1:13" s="321" customFormat="1" ht="21" customHeight="1">
      <c r="A23" s="747">
        <v>2023</v>
      </c>
      <c r="B23" s="748" t="s">
        <v>238</v>
      </c>
      <c r="C23" s="1164">
        <v>15966.291360589066</v>
      </c>
      <c r="D23" s="553">
        <v>298.29999999999927</v>
      </c>
      <c r="E23" s="782">
        <v>25.299999999999955</v>
      </c>
      <c r="F23" s="782">
        <v>91.900000000000091</v>
      </c>
      <c r="G23" s="553">
        <v>117.20000000000005</v>
      </c>
      <c r="H23" s="782">
        <v>183.39999999999964</v>
      </c>
      <c r="I23" s="782">
        <v>-87.300000000001091</v>
      </c>
      <c r="J23" s="782">
        <v>85</v>
      </c>
      <c r="K23" s="553">
        <v>181.09999999999854</v>
      </c>
      <c r="L23" s="1713"/>
      <c r="M23" s="969"/>
    </row>
    <row r="24" spans="1:13" s="321" customFormat="1" ht="21" customHeight="1">
      <c r="A24" s="747">
        <v>2024</v>
      </c>
      <c r="B24" s="748" t="s">
        <v>239</v>
      </c>
      <c r="C24" s="1164">
        <v>15899.657414014246</v>
      </c>
      <c r="D24" s="553">
        <v>-66.599999999998545</v>
      </c>
      <c r="E24" s="782">
        <v>3.2000000000000455</v>
      </c>
      <c r="F24" s="782">
        <v>-594.40000000000009</v>
      </c>
      <c r="G24" s="553">
        <v>-591.20000000000005</v>
      </c>
      <c r="H24" s="782">
        <v>583.60000000000036</v>
      </c>
      <c r="I24" s="782">
        <v>298.39999999999964</v>
      </c>
      <c r="J24" s="782">
        <v>-357.39999999999964</v>
      </c>
      <c r="K24" s="553">
        <v>524.59999999999854</v>
      </c>
      <c r="L24" s="1713"/>
      <c r="M24" s="969"/>
    </row>
    <row r="25" spans="1:13" s="321" customFormat="1" ht="15" customHeight="1">
      <c r="A25" s="747"/>
      <c r="B25" s="748" t="s">
        <v>240</v>
      </c>
      <c r="C25" s="1164">
        <v>16016.12461470573</v>
      </c>
      <c r="D25" s="553">
        <v>116.39999999999964</v>
      </c>
      <c r="E25" s="782">
        <v>-10.900000000000091</v>
      </c>
      <c r="F25" s="782">
        <v>-510.89999999999964</v>
      </c>
      <c r="G25" s="553">
        <v>-521.79999999999973</v>
      </c>
      <c r="H25" s="782">
        <v>411.89999999999964</v>
      </c>
      <c r="I25" s="782">
        <v>139</v>
      </c>
      <c r="J25" s="782">
        <v>87.300000000000182</v>
      </c>
      <c r="K25" s="553">
        <v>638.20000000000073</v>
      </c>
      <c r="L25" s="1713"/>
      <c r="M25" s="969"/>
    </row>
    <row r="26" spans="1:13" s="321" customFormat="1" ht="15" customHeight="1">
      <c r="A26" s="747"/>
      <c r="B26" s="748" t="s">
        <v>237</v>
      </c>
      <c r="C26" s="1164">
        <v>16626.187498621013</v>
      </c>
      <c r="D26" s="553">
        <v>610.10000000000036</v>
      </c>
      <c r="E26" s="782">
        <v>404.70000000000005</v>
      </c>
      <c r="F26" s="782">
        <v>117.39999999999964</v>
      </c>
      <c r="G26" s="553">
        <v>522.09999999999991</v>
      </c>
      <c r="H26" s="782">
        <v>319.80000000000109</v>
      </c>
      <c r="I26" s="782">
        <v>-110.09999999999854</v>
      </c>
      <c r="J26" s="782">
        <v>-121.70000000000073</v>
      </c>
      <c r="K26" s="553">
        <v>88</v>
      </c>
      <c r="L26" s="1713"/>
      <c r="M26" s="969"/>
    </row>
    <row r="27" spans="1:13" s="321" customFormat="1" ht="15" customHeight="1">
      <c r="A27" s="747"/>
      <c r="B27" s="748" t="s">
        <v>238</v>
      </c>
      <c r="C27" s="1164">
        <v>16220.441938154301</v>
      </c>
      <c r="D27" s="553">
        <v>-405.80000000000109</v>
      </c>
      <c r="E27" s="782">
        <v>-484.70000000000005</v>
      </c>
      <c r="F27" s="782">
        <v>-134.39999999999964</v>
      </c>
      <c r="G27" s="553">
        <v>-619.09999999999991</v>
      </c>
      <c r="H27" s="782">
        <v>-27.600000000000364</v>
      </c>
      <c r="I27" s="782">
        <v>-235.20000000000073</v>
      </c>
      <c r="J27" s="782">
        <v>476.10000000000036</v>
      </c>
      <c r="K27" s="553">
        <v>213.29999999999927</v>
      </c>
      <c r="L27" s="1713"/>
      <c r="M27" s="969"/>
    </row>
    <row r="28" spans="1:13" s="321" customFormat="1" ht="21" customHeight="1">
      <c r="A28" s="747">
        <v>2025</v>
      </c>
      <c r="B28" s="748" t="s">
        <v>239</v>
      </c>
      <c r="C28" s="1164">
        <f>C36</f>
        <v>16519.485029977339</v>
      </c>
      <c r="D28" s="553">
        <f>ROUND(C28,1)-ROUND(C27,1)</f>
        <v>299.10000000000036</v>
      </c>
      <c r="E28" s="782">
        <f>ROUND('4'!C28,1)-ROUND('4'!C27,1)</f>
        <v>-376.20000000000005</v>
      </c>
      <c r="F28" s="782">
        <f>ROUND('4'!D28,1)-ROUND('4'!D27,1)</f>
        <v>-349</v>
      </c>
      <c r="G28" s="553">
        <f>ROUND('4'!E28,1)-ROUND('4'!E27,1)</f>
        <v>-725.20000000000027</v>
      </c>
      <c r="H28" s="782">
        <f>ROUND('4'!F28,1)-ROUND('4'!F27,1)</f>
        <v>1248.1999999999989</v>
      </c>
      <c r="I28" s="782">
        <f>ROUND('4'!G28,1)-ROUND('4'!G27,1)</f>
        <v>312.39999999999964</v>
      </c>
      <c r="J28" s="782">
        <f>ROUND('4'!H28,1)-ROUND('4'!H27,1)</f>
        <v>-536.30000000000018</v>
      </c>
      <c r="K28" s="553">
        <f>ROUND('4'!I28,1)-ROUND('4'!I27,1)</f>
        <v>1024.3000000000029</v>
      </c>
      <c r="L28" s="1713"/>
      <c r="M28" s="969"/>
    </row>
    <row r="29" spans="1:13" s="321" customFormat="1" ht="15" customHeight="1">
      <c r="A29" s="747"/>
      <c r="B29" s="748" t="s">
        <v>240</v>
      </c>
      <c r="C29" s="1164">
        <f>C39</f>
        <v>16466.599999999999</v>
      </c>
      <c r="D29" s="553">
        <f>ROUND(C29,1)-ROUND(C28,1)</f>
        <v>-52.900000000001455</v>
      </c>
      <c r="E29" s="782">
        <f>ROUND('4'!C29,1)-ROUND('4'!C28,1)</f>
        <v>383.70000000000005</v>
      </c>
      <c r="F29" s="782">
        <f>ROUND('4'!D29,1)-ROUND('4'!D28,1)</f>
        <v>-611.40000000000055</v>
      </c>
      <c r="G29" s="553">
        <f>ROUND('4'!E29,1)-ROUND('4'!E28,1)</f>
        <v>-227.69999999999982</v>
      </c>
      <c r="H29" s="782">
        <f>ROUND('4'!F29,1)-ROUND('4'!F28,1)</f>
        <v>119.10000000000036</v>
      </c>
      <c r="I29" s="782">
        <f>ROUND('4'!G29,1)-ROUND('4'!G28,1)</f>
        <v>16.800000000001091</v>
      </c>
      <c r="J29" s="782">
        <f>ROUND('4'!H29,1)-ROUND('4'!H28,1)</f>
        <v>38.900000000000546</v>
      </c>
      <c r="K29" s="553">
        <f>ROUND('4'!I29,1)-ROUND('4'!I28,1)</f>
        <v>174.79999999999927</v>
      </c>
      <c r="L29" s="1713"/>
      <c r="M29" s="969"/>
    </row>
    <row r="30" spans="1:13" s="321" customFormat="1" ht="15" customHeight="1">
      <c r="A30" s="907"/>
      <c r="B30" s="999" t="s">
        <v>237</v>
      </c>
      <c r="C30" s="1085">
        <f>C42</f>
        <v>16237.1</v>
      </c>
      <c r="D30" s="1179">
        <f>ROUND(C30,1)-ROUND(C29,1)</f>
        <v>-229.49999999999818</v>
      </c>
      <c r="E30" s="1180">
        <f>ROUND('4'!C30,1)-ROUND('4'!C29,1)</f>
        <v>-211.59999999999991</v>
      </c>
      <c r="F30" s="1180">
        <f>ROUND('4'!D30,1)-ROUND('4'!D29,1)</f>
        <v>68.400000000000546</v>
      </c>
      <c r="G30" s="1179">
        <f>ROUND('4'!E30,1)-ROUND('4'!E29,1)</f>
        <v>-143.20000000000027</v>
      </c>
      <c r="H30" s="1180">
        <f>ROUND('4'!F30,1)-ROUND('4'!F29,1)</f>
        <v>270.39999999999964</v>
      </c>
      <c r="I30" s="1180">
        <f>ROUND('4'!G30,1)-ROUND('4'!G29,1)</f>
        <v>-155.30000000000109</v>
      </c>
      <c r="J30" s="1180">
        <f>ROUND('4'!H30,1)-ROUND('4'!H29,1)</f>
        <v>-201.40000000000055</v>
      </c>
      <c r="K30" s="1179">
        <f>ROUND('4'!I30,1)-ROUND('4'!I29,1)</f>
        <v>-86.299999999999272</v>
      </c>
      <c r="L30" s="1713"/>
      <c r="M30" s="969"/>
    </row>
    <row r="31" spans="1:13" s="306" customFormat="1" ht="21" customHeight="1">
      <c r="A31" s="405">
        <v>2024</v>
      </c>
      <c r="B31" s="497" t="s">
        <v>412</v>
      </c>
      <c r="C31" s="552">
        <v>16459.194155337354</v>
      </c>
      <c r="D31" s="553">
        <v>-167</v>
      </c>
      <c r="E31" s="782">
        <v>-317.5</v>
      </c>
      <c r="F31" s="782">
        <v>-126.69999999999982</v>
      </c>
      <c r="G31" s="553">
        <v>-444.20000000000027</v>
      </c>
      <c r="H31" s="782">
        <v>225.79999999999927</v>
      </c>
      <c r="I31" s="782">
        <v>-82.900000000001455</v>
      </c>
      <c r="J31" s="782">
        <v>134.30000000000018</v>
      </c>
      <c r="K31" s="553">
        <v>277.20000000000073</v>
      </c>
      <c r="L31" s="969"/>
      <c r="M31" s="969"/>
    </row>
    <row r="32" spans="1:13" s="306" customFormat="1" ht="16.5" customHeight="1">
      <c r="A32" s="405"/>
      <c r="B32" s="497" t="s">
        <v>413</v>
      </c>
      <c r="C32" s="552">
        <f>'3'!J32</f>
        <v>16263.837773170257</v>
      </c>
      <c r="D32" s="553">
        <f t="shared" ref="D32" si="1">ROUND(C32,1)-ROUND(C31,1)</f>
        <v>-195.40000000000146</v>
      </c>
      <c r="E32" s="782">
        <f>ROUND('4'!C32,1)-ROUND('4'!C31,1)</f>
        <v>-350.5</v>
      </c>
      <c r="F32" s="782">
        <f>ROUND('4'!D32,1)-ROUND('4'!D31,1)</f>
        <v>72.100000000000364</v>
      </c>
      <c r="G32" s="553">
        <f>ROUND('4'!E32,1)-ROUND('4'!E31,1)</f>
        <v>-278.39999999999964</v>
      </c>
      <c r="H32" s="782">
        <f>ROUND('4'!F32,1)-ROUND('4'!F31,1)</f>
        <v>261.79999999999927</v>
      </c>
      <c r="I32" s="782">
        <f>ROUND('4'!G32,1)-ROUND('4'!G31,1)</f>
        <v>-136.79999999999927</v>
      </c>
      <c r="J32" s="782">
        <f>ROUND('4'!H32,1)-ROUND('4'!H31,1)</f>
        <v>-42</v>
      </c>
      <c r="K32" s="553">
        <f>ROUND('4'!I32,1)-ROUND('4'!I31,1)</f>
        <v>83</v>
      </c>
      <c r="L32" s="969"/>
      <c r="M32" s="969"/>
    </row>
    <row r="33" spans="1:13" s="306" customFormat="1" ht="16.5" customHeight="1">
      <c r="A33" s="405"/>
      <c r="B33" s="497" t="s">
        <v>414</v>
      </c>
      <c r="C33" s="552">
        <f>'3'!J33</f>
        <v>16220.441938154301</v>
      </c>
      <c r="D33" s="553">
        <f t="shared" ref="D33" si="2">ROUND(C33,1)-ROUND(C32,1)</f>
        <v>-43.399999999999636</v>
      </c>
      <c r="E33" s="782">
        <f>ROUND('4'!C33,1)-ROUND('4'!C32,1)</f>
        <v>183.29999999999995</v>
      </c>
      <c r="F33" s="782">
        <f>ROUND('4'!D33,1)-ROUND('4'!D32,1)</f>
        <v>-79.800000000000182</v>
      </c>
      <c r="G33" s="553">
        <f>ROUND('4'!E33,1)-ROUND('4'!E32,1)</f>
        <v>103.5</v>
      </c>
      <c r="H33" s="782">
        <f>ROUND('4'!F33,1)-ROUND('4'!F32,1)</f>
        <v>-515.19999999999891</v>
      </c>
      <c r="I33" s="782">
        <f>ROUND('4'!G33,1)-ROUND('4'!G32,1)</f>
        <v>-15.5</v>
      </c>
      <c r="J33" s="782">
        <f>ROUND('4'!H33,1)-ROUND('4'!H32,1)</f>
        <v>383.80000000000018</v>
      </c>
      <c r="K33" s="553">
        <f>ROUND('4'!I33,1)-ROUND('4'!I32,1)</f>
        <v>-146.90000000000146</v>
      </c>
      <c r="L33" s="969"/>
      <c r="M33" s="969"/>
    </row>
    <row r="34" spans="1:13" s="306" customFormat="1" ht="21" customHeight="1">
      <c r="A34" s="405">
        <v>2025</v>
      </c>
      <c r="B34" s="497" t="s">
        <v>415</v>
      </c>
      <c r="C34" s="552">
        <f>'3'!J34</f>
        <v>15997.304934714333</v>
      </c>
      <c r="D34" s="553">
        <f t="shared" ref="D34" si="3">ROUND(C34,1)-ROUND(C33,1)</f>
        <v>-223.10000000000036</v>
      </c>
      <c r="E34" s="782">
        <f>ROUND('4'!C34,1)-ROUND('4'!C33,1)</f>
        <v>166.70000000000005</v>
      </c>
      <c r="F34" s="782">
        <f>ROUND('4'!D34,1)-ROUND('4'!D33,1)</f>
        <v>-336.40000000000055</v>
      </c>
      <c r="G34" s="553">
        <f>ROUND('4'!E34,1)-ROUND('4'!E33,1)</f>
        <v>-169.70000000000027</v>
      </c>
      <c r="H34" s="782">
        <f>ROUND('4'!F34,1)-ROUND('4'!F33,1)</f>
        <v>411.29999999999927</v>
      </c>
      <c r="I34" s="782">
        <f>ROUND('4'!G34,1)-ROUND('4'!G33,1)</f>
        <v>-69</v>
      </c>
      <c r="J34" s="782">
        <f>ROUND('4'!H34,1)-ROUND('4'!H33,1)</f>
        <v>-395.69999999999982</v>
      </c>
      <c r="K34" s="553">
        <f>ROUND('4'!I34,1)-ROUND('4'!I33,1)</f>
        <v>-53.399999999997817</v>
      </c>
      <c r="L34" s="969"/>
      <c r="M34" s="969"/>
    </row>
    <row r="35" spans="1:13" s="306" customFormat="1" ht="16.5" customHeight="1">
      <c r="A35" s="405"/>
      <c r="B35" s="497" t="s">
        <v>416</v>
      </c>
      <c r="C35" s="552">
        <f>'3'!J35</f>
        <v>16180.412260094929</v>
      </c>
      <c r="D35" s="553">
        <f t="shared" ref="D35" si="4">ROUND(C35,1)-ROUND(C34,1)</f>
        <v>183.10000000000036</v>
      </c>
      <c r="E35" s="782">
        <f>ROUND('4'!C35,1)-ROUND('4'!C34,1)</f>
        <v>-108.79999999999995</v>
      </c>
      <c r="F35" s="782">
        <f>ROUND('4'!D35,1)-ROUND('4'!D34,1)</f>
        <v>152.20000000000073</v>
      </c>
      <c r="G35" s="553">
        <f>ROUND('4'!E35,1)-ROUND('4'!E34,1)</f>
        <v>43.400000000000091</v>
      </c>
      <c r="H35" s="782">
        <f>ROUND('4'!F35,1)-ROUND('4'!F34,1)</f>
        <v>224.70000000000073</v>
      </c>
      <c r="I35" s="782">
        <f>ROUND('4'!G35,1)-ROUND('4'!G34,1)</f>
        <v>118.10000000000036</v>
      </c>
      <c r="J35" s="782">
        <f>ROUND('4'!H35,1)-ROUND('4'!H34,1)</f>
        <v>-203.10000000000036</v>
      </c>
      <c r="K35" s="553">
        <f>ROUND('4'!I35,1)-ROUND('4'!I34,1)</f>
        <v>139.70000000000073</v>
      </c>
      <c r="L35" s="969"/>
      <c r="M35" s="969"/>
    </row>
    <row r="36" spans="1:13" s="306" customFormat="1" ht="16.5" customHeight="1">
      <c r="A36" s="405"/>
      <c r="B36" s="497" t="s">
        <v>417</v>
      </c>
      <c r="C36" s="552">
        <f>'3'!J36</f>
        <v>16519.485029977339</v>
      </c>
      <c r="D36" s="553">
        <f t="shared" ref="D36" si="5">ROUND(C36,1)-ROUND(C35,1)</f>
        <v>339.10000000000036</v>
      </c>
      <c r="E36" s="782">
        <f>ROUND('4'!C36,1)-ROUND('4'!C35,1)</f>
        <v>-434.10000000000014</v>
      </c>
      <c r="F36" s="782">
        <f>ROUND('4'!D36,1)-ROUND('4'!D35,1)</f>
        <v>-164.80000000000018</v>
      </c>
      <c r="G36" s="553">
        <f>ROUND('4'!E36,1)-ROUND('4'!E35,1)</f>
        <v>-598.90000000000009</v>
      </c>
      <c r="H36" s="782">
        <f>ROUND('4'!F36,1)-ROUND('4'!F35,1)</f>
        <v>612.19999999999891</v>
      </c>
      <c r="I36" s="782">
        <f>ROUND('4'!G36,1)-ROUND('4'!G35,1)</f>
        <v>263.29999999999927</v>
      </c>
      <c r="J36" s="782">
        <f>ROUND('4'!H36,1)-ROUND('4'!H35,1)</f>
        <v>62.5</v>
      </c>
      <c r="K36" s="553">
        <f>ROUND('4'!I36,1)-ROUND('4'!I35,1)</f>
        <v>938</v>
      </c>
      <c r="L36" s="969"/>
      <c r="M36" s="969"/>
    </row>
    <row r="37" spans="1:13" s="306" customFormat="1" ht="16.5" customHeight="1">
      <c r="A37" s="405"/>
      <c r="B37" s="497" t="s">
        <v>418</v>
      </c>
      <c r="C37" s="552">
        <f>'3'!J37</f>
        <v>16783.790660143088</v>
      </c>
      <c r="D37" s="553">
        <f t="shared" ref="D37" si="6">ROUND(C37,1)-ROUND(C36,1)</f>
        <v>264.29999999999927</v>
      </c>
      <c r="E37" s="782">
        <f>ROUND('4'!C37,1)-ROUND('4'!C36,1)</f>
        <v>-152</v>
      </c>
      <c r="F37" s="782">
        <f>ROUND('4'!D37,1)-ROUND('4'!D36,1)</f>
        <v>-87</v>
      </c>
      <c r="G37" s="553">
        <f>ROUND('4'!E37,1)-ROUND('4'!E36,1)</f>
        <v>-239</v>
      </c>
      <c r="H37" s="782">
        <f>ROUND('4'!F37,1)-ROUND('4'!F36,1)</f>
        <v>261</v>
      </c>
      <c r="I37" s="782">
        <f>ROUND('4'!G37,1)-ROUND('4'!G36,1)</f>
        <v>-24.299999999999272</v>
      </c>
      <c r="J37" s="782">
        <f>ROUND('4'!H37,1)-ROUND('4'!H36,1)</f>
        <v>266.60000000000036</v>
      </c>
      <c r="K37" s="553">
        <f>ROUND('4'!I37,1)-ROUND('4'!I36,1)</f>
        <v>503.29999999999927</v>
      </c>
      <c r="L37" s="969"/>
      <c r="M37" s="969"/>
    </row>
    <row r="38" spans="1:13" s="306" customFormat="1" ht="16.5" customHeight="1">
      <c r="A38" s="405"/>
      <c r="B38" s="497" t="s">
        <v>419</v>
      </c>
      <c r="C38" s="552">
        <f>'3'!J38</f>
        <v>16619.3</v>
      </c>
      <c r="D38" s="553">
        <f t="shared" ref="D38" si="7">ROUND(C38,1)-ROUND(C37,1)</f>
        <v>-164.5</v>
      </c>
      <c r="E38" s="782">
        <f>ROUND('4'!C38,1)-ROUND('4'!C37,1)</f>
        <v>813.2</v>
      </c>
      <c r="F38" s="782">
        <f>ROUND('4'!D38,1)-ROUND('4'!D37,1)</f>
        <v>-497.5</v>
      </c>
      <c r="G38" s="553">
        <f>ROUND('4'!E38,1)-ROUND('4'!E37,1)</f>
        <v>315.70000000000027</v>
      </c>
      <c r="H38" s="782">
        <f>ROUND('4'!F38,1)-ROUND('4'!F37,1)</f>
        <v>-303.19999999999891</v>
      </c>
      <c r="I38" s="782">
        <f>ROUND('4'!G38,1)-ROUND('4'!G37,1)</f>
        <v>33.600000000000364</v>
      </c>
      <c r="J38" s="782">
        <f>ROUND('4'!H38,1)-ROUND('4'!H37,1)</f>
        <v>-210.60000000000036</v>
      </c>
      <c r="K38" s="553">
        <f>ROUND('4'!I38,1)-ROUND('4'!I37,1)</f>
        <v>-480.20000000000073</v>
      </c>
      <c r="L38" s="969"/>
      <c r="M38" s="969"/>
    </row>
    <row r="39" spans="1:13" s="306" customFormat="1" ht="16.5" customHeight="1">
      <c r="A39" s="405"/>
      <c r="B39" s="497" t="s">
        <v>420</v>
      </c>
      <c r="C39" s="552">
        <f>'3'!J39</f>
        <v>16466.599999999999</v>
      </c>
      <c r="D39" s="553">
        <f t="shared" ref="D39" si="8">ROUND(C39,1)-ROUND(C38,1)</f>
        <v>-152.70000000000073</v>
      </c>
      <c r="E39" s="782">
        <f>ROUND('4'!C39,1)-ROUND('4'!C38,1)</f>
        <v>-277.5</v>
      </c>
      <c r="F39" s="782">
        <f>ROUND('4'!D39,1)-ROUND('4'!D38,1)</f>
        <v>-26.900000000000546</v>
      </c>
      <c r="G39" s="553">
        <f>ROUND('4'!E39,1)-ROUND('4'!E38,1)</f>
        <v>-304.40000000000009</v>
      </c>
      <c r="H39" s="782">
        <f>ROUND('4'!F39,1)-ROUND('4'!F38,1)</f>
        <v>161.29999999999927</v>
      </c>
      <c r="I39" s="782">
        <f>ROUND('4'!G39,1)-ROUND('4'!G38,1)</f>
        <v>7.5</v>
      </c>
      <c r="J39" s="782">
        <f>ROUND('4'!H39,1)-ROUND('4'!H38,1)</f>
        <v>-17.099999999999454</v>
      </c>
      <c r="K39" s="553">
        <f>ROUND('4'!I39,1)-ROUND('4'!I38,1)</f>
        <v>151.70000000000073</v>
      </c>
      <c r="L39" s="969"/>
      <c r="M39" s="969"/>
    </row>
    <row r="40" spans="1:13" s="306" customFormat="1" ht="16.5" customHeight="1">
      <c r="A40" s="405"/>
      <c r="B40" s="497" t="s">
        <v>421</v>
      </c>
      <c r="C40" s="552">
        <f>'3'!J40</f>
        <v>16191.8</v>
      </c>
      <c r="D40" s="553">
        <f t="shared" ref="D40" si="9">ROUND(C40,1)-ROUND(C39,1)</f>
        <v>-274.79999999999927</v>
      </c>
      <c r="E40" s="782">
        <f>ROUND('4'!C40,1)-ROUND('4'!C39,1)</f>
        <v>172.70000000000005</v>
      </c>
      <c r="F40" s="782">
        <f>ROUND('4'!D40,1)-ROUND('4'!D39,1)</f>
        <v>-69.199999999999818</v>
      </c>
      <c r="G40" s="553">
        <f>ROUND('4'!E40,1)-ROUND('4'!E39,1)</f>
        <v>103.5</v>
      </c>
      <c r="H40" s="782">
        <f>ROUND('4'!F40,1)-ROUND('4'!F39,1)</f>
        <v>-355.60000000000036</v>
      </c>
      <c r="I40" s="782">
        <f>ROUND('4'!G40,1)-ROUND('4'!G39,1)</f>
        <v>-55.600000000000364</v>
      </c>
      <c r="J40" s="782">
        <f>ROUND('4'!H40,1)-ROUND('4'!H39,1)</f>
        <v>32.899999999999636</v>
      </c>
      <c r="K40" s="553">
        <f>ROUND('4'!I40,1)-ROUND('4'!I39,1)</f>
        <v>-378.29999999999927</v>
      </c>
      <c r="L40" s="969"/>
      <c r="M40" s="969"/>
    </row>
    <row r="41" spans="1:13" s="306" customFormat="1" ht="16.5" customHeight="1">
      <c r="A41" s="405"/>
      <c r="B41" s="497" t="s">
        <v>422</v>
      </c>
      <c r="C41" s="552">
        <f>'3'!J41</f>
        <v>16340</v>
      </c>
      <c r="D41" s="553">
        <f t="shared" ref="D41" si="10">ROUND(C41,1)-ROUND(C40,1)</f>
        <v>148.20000000000073</v>
      </c>
      <c r="E41" s="782">
        <f>ROUND('4'!C41,1)-ROUND('4'!C40,1)</f>
        <v>-270.70000000000005</v>
      </c>
      <c r="F41" s="782">
        <f>ROUND('4'!D41,1)-ROUND('4'!D40,1)</f>
        <v>200.5</v>
      </c>
      <c r="G41" s="553">
        <f>ROUND('4'!E41,1)-ROUND('4'!E40,1)</f>
        <v>-70.200000000000273</v>
      </c>
      <c r="H41" s="782">
        <f>ROUND('4'!F41,1)-ROUND('4'!F40,1)</f>
        <v>486.70000000000073</v>
      </c>
      <c r="I41" s="782">
        <f>ROUND('4'!G41,1)-ROUND('4'!G40,1)</f>
        <v>-68.300000000001091</v>
      </c>
      <c r="J41" s="782">
        <f>ROUND('4'!H41,1)-ROUND('4'!H40,1)</f>
        <v>-200</v>
      </c>
      <c r="K41" s="553">
        <f>ROUND('4'!I41,1)-ROUND('4'!I40,1)</f>
        <v>218.39999999999782</v>
      </c>
      <c r="L41" s="969"/>
      <c r="M41" s="969"/>
    </row>
    <row r="42" spans="1:13" s="306" customFormat="1" ht="16.5" customHeight="1">
      <c r="A42" s="405"/>
      <c r="B42" s="497" t="s">
        <v>423</v>
      </c>
      <c r="C42" s="552">
        <f>'3'!J42</f>
        <v>16237.1</v>
      </c>
      <c r="D42" s="553">
        <f t="shared" ref="D42" si="11">ROUND(C42,1)-ROUND(C41,1)</f>
        <v>-102.89999999999964</v>
      </c>
      <c r="E42" s="782">
        <f>ROUND('4'!C42,1)-ROUND('4'!C41,1)</f>
        <v>-113.59999999999991</v>
      </c>
      <c r="F42" s="782">
        <f>ROUND('4'!D42,1)-ROUND('4'!D41,1)</f>
        <v>-62.899999999999636</v>
      </c>
      <c r="G42" s="553">
        <f>ROUND('4'!E42,1)-ROUND('4'!E41,1)</f>
        <v>-176.5</v>
      </c>
      <c r="H42" s="782">
        <f>ROUND('4'!F42,1)-ROUND('4'!F41,1)</f>
        <v>139.29999999999927</v>
      </c>
      <c r="I42" s="782">
        <f>ROUND('4'!G42,1)-ROUND('4'!G41,1)</f>
        <v>-31.399999999999636</v>
      </c>
      <c r="J42" s="782">
        <f>ROUND('4'!H42,1)-ROUND('4'!H41,1)</f>
        <v>-34.300000000000182</v>
      </c>
      <c r="K42" s="553">
        <f>ROUND('4'!I42,1)-ROUND('4'!I41,1)</f>
        <v>73.600000000002183</v>
      </c>
      <c r="L42" s="969"/>
      <c r="M42" s="969"/>
    </row>
    <row r="43" spans="1:13" s="306" customFormat="1" ht="16.5" customHeight="1">
      <c r="A43" s="405"/>
      <c r="B43" s="497" t="s">
        <v>412</v>
      </c>
      <c r="C43" s="552">
        <f>'3'!J43</f>
        <v>16017.199999999999</v>
      </c>
      <c r="D43" s="553">
        <f t="shared" ref="D43" si="12">ROUND(C43,1)-ROUND(C42,1)</f>
        <v>-219.89999999999964</v>
      </c>
      <c r="E43" s="782">
        <f>ROUND('4'!C43,1)-ROUND('4'!C42,1)</f>
        <v>367.69999999999982</v>
      </c>
      <c r="F43" s="782">
        <f>ROUND('4'!D43,1)-ROUND('4'!D42,1)</f>
        <v>-709</v>
      </c>
      <c r="G43" s="553">
        <f>ROUND('4'!E43,1)-ROUND('4'!E42,1)</f>
        <v>-341.30000000000018</v>
      </c>
      <c r="H43" s="782">
        <f>ROUND('4'!F43,1)-ROUND('4'!F42,1)</f>
        <v>-529.09999999999854</v>
      </c>
      <c r="I43" s="782">
        <f>ROUND('4'!G43,1)-ROUND('4'!G42,1)</f>
        <v>114.80000000000109</v>
      </c>
      <c r="J43" s="782">
        <f>ROUND('4'!H43,1)-ROUND('4'!H42,1)</f>
        <v>535.69999999999982</v>
      </c>
      <c r="K43" s="553">
        <f>ROUND('4'!I43,1)-ROUND('4'!I42,1)</f>
        <v>121.39999999999782</v>
      </c>
      <c r="L43" s="969"/>
      <c r="M43" s="969"/>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25">
      <c r="A46" s="316" t="s">
        <v>521</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tabSelected="1" zoomScale="80" zoomScaleNormal="80" workbookViewId="0">
      <pane ySplit="12" topLeftCell="A24" activePane="bottomLeft" state="frozen"/>
      <selection activeCell="N29" sqref="N29"/>
      <selection pane="bottomLeft" activeCell="N29" sqref="N29"/>
    </sheetView>
  </sheetViews>
  <sheetFormatPr defaultColWidth="9.140625" defaultRowHeight="15"/>
  <cols>
    <col min="1" max="2" width="9.7109375" style="148" customWidth="1"/>
    <col min="3" max="12" width="14.7109375" style="148" customWidth="1"/>
    <col min="13" max="16384" width="9.140625" style="148"/>
  </cols>
  <sheetData>
    <row r="1" spans="1:14" ht="18">
      <c r="A1" s="277" t="s">
        <v>1766</v>
      </c>
      <c r="B1" s="387"/>
      <c r="C1" s="387"/>
      <c r="D1" s="387"/>
      <c r="E1" s="387"/>
      <c r="F1" s="387"/>
      <c r="G1" s="387"/>
      <c r="H1" s="387"/>
      <c r="I1" s="387"/>
      <c r="J1" s="387"/>
      <c r="K1" s="387"/>
      <c r="L1" s="387"/>
    </row>
    <row r="2" spans="1:14" ht="18">
      <c r="A2" s="1425" t="s">
        <v>522</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523</v>
      </c>
      <c r="B9" s="389"/>
      <c r="C9" s="389"/>
      <c r="D9" s="389"/>
      <c r="E9" s="389"/>
      <c r="F9" s="389"/>
      <c r="G9" s="389"/>
      <c r="H9" s="389"/>
      <c r="I9" s="389"/>
      <c r="J9" s="389"/>
      <c r="K9" s="390"/>
      <c r="L9" s="391" t="s">
        <v>524</v>
      </c>
    </row>
    <row r="10" spans="1:14" s="164" customFormat="1" ht="21.2" customHeight="1">
      <c r="A10" s="163"/>
      <c r="B10" s="165"/>
      <c r="C10" s="392" t="s">
        <v>525</v>
      </c>
      <c r="D10" s="393"/>
      <c r="E10" s="394"/>
      <c r="F10" s="394"/>
      <c r="G10" s="395" t="s">
        <v>526</v>
      </c>
      <c r="H10" s="167" t="s">
        <v>527</v>
      </c>
      <c r="I10" s="393"/>
      <c r="J10" s="394"/>
      <c r="K10" s="394"/>
      <c r="L10" s="395" t="s">
        <v>528</v>
      </c>
    </row>
    <row r="11" spans="1:14" s="164" customFormat="1" ht="15.75">
      <c r="A11" s="396" t="s">
        <v>379</v>
      </c>
      <c r="B11" s="397"/>
      <c r="C11" s="398" t="s">
        <v>529</v>
      </c>
      <c r="D11" s="399" t="s">
        <v>530</v>
      </c>
      <c r="E11" s="398" t="s">
        <v>531</v>
      </c>
      <c r="F11" s="399" t="s">
        <v>532</v>
      </c>
      <c r="G11" s="399" t="s">
        <v>533</v>
      </c>
      <c r="H11" s="398" t="s">
        <v>534</v>
      </c>
      <c r="I11" s="399" t="s">
        <v>535</v>
      </c>
      <c r="J11" s="399" t="s">
        <v>348</v>
      </c>
      <c r="K11" s="399" t="s">
        <v>536</v>
      </c>
      <c r="L11" s="400" t="s">
        <v>537</v>
      </c>
    </row>
    <row r="12" spans="1:14" s="404" customFormat="1" ht="31.5">
      <c r="A12" s="179" t="s">
        <v>387</v>
      </c>
      <c r="B12" s="401"/>
      <c r="C12" s="402" t="s">
        <v>538</v>
      </c>
      <c r="D12" s="403" t="s">
        <v>539</v>
      </c>
      <c r="E12" s="402" t="s">
        <v>540</v>
      </c>
      <c r="F12" s="403" t="s">
        <v>541</v>
      </c>
      <c r="G12" s="403" t="s">
        <v>542</v>
      </c>
      <c r="H12" s="402" t="s">
        <v>543</v>
      </c>
      <c r="I12" s="403" t="s">
        <v>544</v>
      </c>
      <c r="J12" s="403" t="s">
        <v>545</v>
      </c>
      <c r="K12" s="403" t="s">
        <v>349</v>
      </c>
      <c r="L12" s="403" t="s">
        <v>546</v>
      </c>
    </row>
    <row r="13" spans="1:14" s="306" customFormat="1" ht="20.25" customHeight="1">
      <c r="A13" s="405">
        <v>2015</v>
      </c>
      <c r="B13" s="406"/>
      <c r="C13" s="730">
        <v>0.10059999999999999</v>
      </c>
      <c r="D13" s="730">
        <v>1.2383999999999999</v>
      </c>
      <c r="E13" s="730">
        <v>0.1024</v>
      </c>
      <c r="F13" s="730">
        <v>0.98180000000000001</v>
      </c>
      <c r="G13" s="730">
        <v>0.1033</v>
      </c>
      <c r="H13" s="732">
        <v>0.376</v>
      </c>
      <c r="I13" s="730">
        <v>0.55710000000000004</v>
      </c>
      <c r="J13" s="730">
        <v>0.41120000000000001</v>
      </c>
      <c r="K13" s="1093">
        <v>3.0999999999999999E-3</v>
      </c>
      <c r="L13" s="730">
        <v>0.3805</v>
      </c>
      <c r="N13" s="1201"/>
    </row>
    <row r="14" spans="1:14" s="408" customFormat="1" ht="15" customHeight="1">
      <c r="A14" s="356">
        <v>2016</v>
      </c>
      <c r="B14" s="407"/>
      <c r="C14" s="731">
        <v>0.10059999999999999</v>
      </c>
      <c r="D14" s="731">
        <v>1.2302</v>
      </c>
      <c r="E14" s="731">
        <v>0.1024</v>
      </c>
      <c r="F14" s="731">
        <v>0.98180000000000001</v>
      </c>
      <c r="G14" s="731">
        <v>0.1033</v>
      </c>
      <c r="H14" s="733">
        <v>0.376</v>
      </c>
      <c r="I14" s="731">
        <v>0.46460000000000001</v>
      </c>
      <c r="J14" s="731">
        <v>0.39560000000000001</v>
      </c>
      <c r="K14" s="1094">
        <v>3.2000000000000002E-3</v>
      </c>
      <c r="L14" s="731">
        <v>0.36859999999999998</v>
      </c>
      <c r="N14" s="1201"/>
    </row>
    <row r="15" spans="1:14" s="408" customFormat="1" ht="15" customHeight="1">
      <c r="A15" s="356">
        <v>2017</v>
      </c>
      <c r="B15" s="407"/>
      <c r="C15" s="731">
        <v>0.10059999999999999</v>
      </c>
      <c r="D15" s="731">
        <v>1.2470000000000001</v>
      </c>
      <c r="E15" s="731">
        <v>0.1024</v>
      </c>
      <c r="F15" s="731">
        <v>0.98180000000000001</v>
      </c>
      <c r="G15" s="731">
        <v>0.1033</v>
      </c>
      <c r="H15" s="733">
        <v>0.376</v>
      </c>
      <c r="I15" s="731">
        <v>0.50839999999999996</v>
      </c>
      <c r="J15" s="731">
        <v>0.45140000000000002</v>
      </c>
      <c r="K15" s="1094">
        <v>3.3E-3</v>
      </c>
      <c r="L15" s="731">
        <v>0.38590000000000002</v>
      </c>
      <c r="N15" s="1201"/>
    </row>
    <row r="16" spans="1:14" s="321" customFormat="1" ht="15" customHeight="1">
      <c r="A16" s="747">
        <v>2018</v>
      </c>
      <c r="B16" s="748"/>
      <c r="C16" s="1162">
        <v>0.10059999999999999</v>
      </c>
      <c r="D16" s="1162">
        <v>1.2386999999999999</v>
      </c>
      <c r="E16" s="1162">
        <v>0.1024</v>
      </c>
      <c r="F16" s="1162">
        <v>0.98180000000000001</v>
      </c>
      <c r="G16" s="1162">
        <v>0.1033</v>
      </c>
      <c r="H16" s="1163">
        <v>0.376</v>
      </c>
      <c r="I16" s="1162">
        <v>0.47710000000000002</v>
      </c>
      <c r="J16" s="1162">
        <v>0.4304</v>
      </c>
      <c r="K16" s="1200">
        <v>3.3999999999999998E-3</v>
      </c>
      <c r="L16" s="1162">
        <v>0.38229999999999997</v>
      </c>
      <c r="M16" s="906"/>
      <c r="N16" s="1201"/>
    </row>
    <row r="17" spans="1:14" s="321" customFormat="1" ht="15" customHeight="1">
      <c r="A17" s="747">
        <v>2019</v>
      </c>
      <c r="B17" s="748"/>
      <c r="C17" s="1162">
        <v>0.10059999999999999</v>
      </c>
      <c r="D17" s="1162">
        <v>1.2410000000000001</v>
      </c>
      <c r="E17" s="1162">
        <v>0.1024</v>
      </c>
      <c r="F17" s="1162">
        <v>0.98180000000000001</v>
      </c>
      <c r="G17" s="1162">
        <v>0.1033</v>
      </c>
      <c r="H17" s="1163">
        <v>0.376</v>
      </c>
      <c r="I17" s="1162">
        <v>0.49320000000000003</v>
      </c>
      <c r="J17" s="1162">
        <v>0.4214</v>
      </c>
      <c r="K17" s="1200">
        <v>3.5000000000000001E-3</v>
      </c>
      <c r="L17" s="1162">
        <v>0.38819999999999999</v>
      </c>
      <c r="M17" s="906"/>
      <c r="N17" s="1201"/>
    </row>
    <row r="18" spans="1:14" s="321" customFormat="1" ht="15" customHeight="1">
      <c r="A18" s="747">
        <v>2020</v>
      </c>
      <c r="B18" s="748"/>
      <c r="C18" s="1162">
        <v>0.10059999999999999</v>
      </c>
      <c r="D18" s="1162">
        <v>1.2402</v>
      </c>
      <c r="E18" s="1162">
        <v>0.1024</v>
      </c>
      <c r="F18" s="1162">
        <v>0.98180000000000001</v>
      </c>
      <c r="G18" s="1162">
        <v>0.1033</v>
      </c>
      <c r="H18" s="1163">
        <v>0.376</v>
      </c>
      <c r="I18" s="1162">
        <v>0.51319999999999999</v>
      </c>
      <c r="J18" s="1162">
        <v>0.46289999999999998</v>
      </c>
      <c r="K18" s="1200">
        <v>3.5999999999999999E-3</v>
      </c>
      <c r="L18" s="1162">
        <v>0.4269</v>
      </c>
      <c r="M18" s="906"/>
      <c r="N18" s="1201"/>
    </row>
    <row r="19" spans="1:14" s="321" customFormat="1" ht="14.25" customHeight="1">
      <c r="A19" s="747">
        <v>2021</v>
      </c>
      <c r="B19" s="748"/>
      <c r="C19" s="1162">
        <v>0.10059999999999999</v>
      </c>
      <c r="D19" s="1162">
        <v>1.2427999999999999</v>
      </c>
      <c r="E19" s="1162">
        <v>0.1024</v>
      </c>
      <c r="F19" s="1162">
        <v>0.98180000000000001</v>
      </c>
      <c r="G19" s="1162">
        <v>0.1033</v>
      </c>
      <c r="H19" s="1163">
        <v>0.376</v>
      </c>
      <c r="I19" s="1162">
        <v>0.50760000000000005</v>
      </c>
      <c r="J19" s="1162">
        <v>0.4269</v>
      </c>
      <c r="K19" s="1200">
        <v>3.3E-3</v>
      </c>
      <c r="L19" s="1162">
        <v>0.4113</v>
      </c>
      <c r="M19" s="906"/>
      <c r="N19" s="1201"/>
    </row>
    <row r="20" spans="1:14" s="321" customFormat="1" ht="14.25" customHeight="1">
      <c r="A20" s="747">
        <v>2022</v>
      </c>
      <c r="B20" s="748"/>
      <c r="C20" s="1162">
        <v>0.10059999999999999</v>
      </c>
      <c r="D20" s="1162">
        <v>1.2278</v>
      </c>
      <c r="E20" s="1162">
        <v>0.1024</v>
      </c>
      <c r="F20" s="1162">
        <v>0.98180000000000001</v>
      </c>
      <c r="G20" s="1162">
        <v>0.1033</v>
      </c>
      <c r="H20" s="1163">
        <v>0.376</v>
      </c>
      <c r="I20" s="1162">
        <v>0.45279999999999998</v>
      </c>
      <c r="J20" s="1162">
        <v>0.39979999999999999</v>
      </c>
      <c r="K20" s="1162">
        <v>2.8E-3</v>
      </c>
      <c r="L20" s="1162">
        <v>0.40565299999999999</v>
      </c>
      <c r="M20" s="906"/>
    </row>
    <row r="21" spans="1:14" s="321" customFormat="1" ht="14.25" customHeight="1">
      <c r="A21" s="747">
        <v>2023</v>
      </c>
      <c r="B21" s="748"/>
      <c r="C21" s="1162">
        <v>0.10059999999999999</v>
      </c>
      <c r="D21" s="1162">
        <v>1.2247600000000001</v>
      </c>
      <c r="E21" s="1162">
        <v>0.1024</v>
      </c>
      <c r="F21" s="1162">
        <v>0.98180000000000001</v>
      </c>
      <c r="G21" s="1162">
        <v>0.1033</v>
      </c>
      <c r="H21" s="1163">
        <v>0.376</v>
      </c>
      <c r="I21" s="1162">
        <v>0.47910000000000003</v>
      </c>
      <c r="J21" s="1162">
        <v>0.41660000000000003</v>
      </c>
      <c r="K21" s="1162">
        <v>2.6549999999999998E-3</v>
      </c>
      <c r="L21" s="1162">
        <v>0.44625500000000001</v>
      </c>
      <c r="M21" s="906"/>
    </row>
    <row r="22" spans="1:14" s="321" customFormat="1" ht="14.25" customHeight="1">
      <c r="A22" s="907">
        <v>2024</v>
      </c>
      <c r="B22" s="999"/>
      <c r="C22" s="1083">
        <f t="shared" ref="C22:L22" si="0">C27</f>
        <v>0.10059999999999999</v>
      </c>
      <c r="D22" s="1083">
        <f t="shared" si="0"/>
        <v>1.220766</v>
      </c>
      <c r="E22" s="1083">
        <f t="shared" si="0"/>
        <v>0.1024</v>
      </c>
      <c r="F22" s="1083">
        <f t="shared" si="0"/>
        <v>0.98180000000000001</v>
      </c>
      <c r="G22" s="1083">
        <f t="shared" si="0"/>
        <v>0.1033</v>
      </c>
      <c r="H22" s="1084">
        <f t="shared" si="0"/>
        <v>0.376</v>
      </c>
      <c r="I22" s="1083">
        <f t="shared" si="0"/>
        <v>0.47188799999999997</v>
      </c>
      <c r="J22" s="1083">
        <f t="shared" si="0"/>
        <v>0.39125599999999999</v>
      </c>
      <c r="K22" s="1083">
        <f t="shared" si="0"/>
        <v>2.3999999999999998E-3</v>
      </c>
      <c r="L22" s="1083">
        <f t="shared" si="0"/>
        <v>0.41645700000000002</v>
      </c>
      <c r="M22" s="906"/>
    </row>
    <row r="23" spans="1:14" s="321" customFormat="1" ht="21" customHeight="1">
      <c r="A23" s="747">
        <v>2023</v>
      </c>
      <c r="B23" s="748" t="s">
        <v>238</v>
      </c>
      <c r="C23" s="1162">
        <v>0.10059999999999999</v>
      </c>
      <c r="D23" s="1162">
        <v>1.2247600000000001</v>
      </c>
      <c r="E23" s="1162">
        <v>0.1024</v>
      </c>
      <c r="F23" s="1162">
        <v>0.98180000000000001</v>
      </c>
      <c r="G23" s="1162">
        <v>0.1033</v>
      </c>
      <c r="H23" s="1163">
        <v>0.376</v>
      </c>
      <c r="I23" s="1162">
        <v>0.47910000000000003</v>
      </c>
      <c r="J23" s="1162">
        <v>0.41660000000000003</v>
      </c>
      <c r="K23" s="1162">
        <v>2.6549999999999998E-3</v>
      </c>
      <c r="L23" s="1162">
        <v>0.44625500000000001</v>
      </c>
      <c r="M23" s="906"/>
    </row>
    <row r="24" spans="1:14" s="321" customFormat="1" ht="21" customHeight="1">
      <c r="A24" s="747">
        <v>2024</v>
      </c>
      <c r="B24" s="748" t="s">
        <v>239</v>
      </c>
      <c r="C24" s="1162">
        <v>0.10059999999999999</v>
      </c>
      <c r="D24" s="1162">
        <v>1.2221740000000001</v>
      </c>
      <c r="E24" s="1162">
        <v>0.1024</v>
      </c>
      <c r="F24" s="1162">
        <v>0.98180000000000001</v>
      </c>
      <c r="G24" s="1162">
        <v>0.1033</v>
      </c>
      <c r="H24" s="1163">
        <v>0.376</v>
      </c>
      <c r="I24" s="1162">
        <v>0.47480299999999998</v>
      </c>
      <c r="J24" s="1162">
        <v>0.40558499999999997</v>
      </c>
      <c r="K24" s="1162">
        <v>2.4849999999999998E-3</v>
      </c>
      <c r="L24" s="1162">
        <v>0.41696499999999997</v>
      </c>
      <c r="M24" s="906"/>
    </row>
    <row r="25" spans="1:14" s="321" customFormat="1" ht="15" customHeight="1">
      <c r="A25" s="747"/>
      <c r="B25" s="748" t="s">
        <v>240</v>
      </c>
      <c r="C25" s="1162">
        <v>0.10059999999999999</v>
      </c>
      <c r="D25" s="1162">
        <v>1.226159</v>
      </c>
      <c r="E25" s="1162">
        <v>0.1024</v>
      </c>
      <c r="F25" s="1162">
        <v>0.98180000000000001</v>
      </c>
      <c r="G25" s="1162">
        <v>0.1033</v>
      </c>
      <c r="H25" s="1163">
        <v>0.376</v>
      </c>
      <c r="I25" s="1162">
        <v>0.47555500000000001</v>
      </c>
      <c r="J25" s="1162">
        <v>0.40291500000000002</v>
      </c>
      <c r="K25" s="1162">
        <v>2.3379999999999998E-3</v>
      </c>
      <c r="L25" s="1162">
        <v>0.41844900000000002</v>
      </c>
      <c r="M25" s="906"/>
    </row>
    <row r="26" spans="1:14" s="321" customFormat="1" ht="15" customHeight="1">
      <c r="A26" s="747"/>
      <c r="B26" s="748" t="s">
        <v>237</v>
      </c>
      <c r="C26" s="1162">
        <v>0.10059999999999999</v>
      </c>
      <c r="D26" s="1162">
        <v>1.2326490000000001</v>
      </c>
      <c r="E26" s="1162">
        <v>0.1024</v>
      </c>
      <c r="F26" s="1162">
        <v>0.98180000000000001</v>
      </c>
      <c r="G26" s="1162">
        <v>0.1033</v>
      </c>
      <c r="H26" s="1163">
        <v>0.376</v>
      </c>
      <c r="I26" s="1162">
        <v>0.503328</v>
      </c>
      <c r="J26" s="1162">
        <v>0.42008299999999998</v>
      </c>
      <c r="K26" s="1162">
        <v>2.6340000000000001E-3</v>
      </c>
      <c r="L26" s="1162">
        <v>0.44694400000000001</v>
      </c>
      <c r="M26" s="906"/>
    </row>
    <row r="27" spans="1:14" s="321" customFormat="1" ht="15" customHeight="1">
      <c r="A27" s="747"/>
      <c r="B27" s="748" t="s">
        <v>238</v>
      </c>
      <c r="C27" s="1162">
        <v>0.10059999999999999</v>
      </c>
      <c r="D27" s="1162">
        <v>1.220766</v>
      </c>
      <c r="E27" s="1162">
        <v>0.1024</v>
      </c>
      <c r="F27" s="1162">
        <v>0.98180000000000001</v>
      </c>
      <c r="G27" s="1162">
        <v>0.1033</v>
      </c>
      <c r="H27" s="1163">
        <v>0.376</v>
      </c>
      <c r="I27" s="1162">
        <v>0.47188799999999997</v>
      </c>
      <c r="J27" s="1162">
        <v>0.39125599999999999</v>
      </c>
      <c r="K27" s="1162">
        <v>2.3999999999999998E-3</v>
      </c>
      <c r="L27" s="1162">
        <v>0.41645700000000002</v>
      </c>
      <c r="M27" s="906"/>
    </row>
    <row r="28" spans="1:14" s="321" customFormat="1" ht="21" customHeight="1">
      <c r="A28" s="747">
        <v>2025</v>
      </c>
      <c r="B28" s="748" t="s">
        <v>239</v>
      </c>
      <c r="C28" s="1162">
        <f t="shared" ref="C28:L28" si="1">C36</f>
        <v>0.10059999999999999</v>
      </c>
      <c r="D28" s="1162">
        <f t="shared" si="1"/>
        <v>1.219519</v>
      </c>
      <c r="E28" s="1162">
        <f t="shared" si="1"/>
        <v>0.1024</v>
      </c>
      <c r="F28" s="1162">
        <f t="shared" si="1"/>
        <v>0.98180000000000001</v>
      </c>
      <c r="G28" s="1162">
        <f t="shared" si="1"/>
        <v>0.1033</v>
      </c>
      <c r="H28" s="1163">
        <f t="shared" si="1"/>
        <v>0.376</v>
      </c>
      <c r="I28" s="1162">
        <f t="shared" si="1"/>
        <v>0.48476900000000001</v>
      </c>
      <c r="J28" s="1162">
        <f t="shared" si="1"/>
        <v>0.40451300000000001</v>
      </c>
      <c r="K28" s="1162">
        <f t="shared" si="1"/>
        <v>2.5000000000000001E-3</v>
      </c>
      <c r="L28" s="1162">
        <f t="shared" si="1"/>
        <v>0.42569600000000002</v>
      </c>
      <c r="M28" s="906"/>
    </row>
    <row r="29" spans="1:14" s="321" customFormat="1" ht="15" customHeight="1">
      <c r="A29" s="747"/>
      <c r="B29" s="748" t="s">
        <v>240</v>
      </c>
      <c r="C29" s="1162">
        <f t="shared" ref="C29:L29" si="2">C39</f>
        <v>0.10059999999999999</v>
      </c>
      <c r="D29" s="1162">
        <f t="shared" si="2"/>
        <v>1.2296670000000001</v>
      </c>
      <c r="E29" s="1162">
        <f t="shared" si="2"/>
        <v>0.1024</v>
      </c>
      <c r="F29" s="1162">
        <f t="shared" si="2"/>
        <v>0.98180000000000001</v>
      </c>
      <c r="G29" s="1162">
        <f t="shared" si="2"/>
        <v>0.1033</v>
      </c>
      <c r="H29" s="1163">
        <f t="shared" si="2"/>
        <v>0.376</v>
      </c>
      <c r="I29" s="1162">
        <f t="shared" si="2"/>
        <v>0.51598299999999997</v>
      </c>
      <c r="J29" s="1162">
        <f t="shared" si="2"/>
        <v>0.44108700000000001</v>
      </c>
      <c r="K29" s="1162">
        <f t="shared" si="2"/>
        <v>2.6029999999999998E-3</v>
      </c>
      <c r="L29" s="1162">
        <f t="shared" si="2"/>
        <v>0.471132</v>
      </c>
      <c r="M29" s="906"/>
    </row>
    <row r="30" spans="1:14" s="321" customFormat="1" ht="15" customHeight="1">
      <c r="A30" s="907"/>
      <c r="B30" s="999" t="s">
        <v>237</v>
      </c>
      <c r="C30" s="1083">
        <f t="shared" ref="C30:L30" si="3">C42</f>
        <v>0.10059999999999999</v>
      </c>
      <c r="D30" s="1083">
        <f t="shared" si="3"/>
        <v>1.2309749999999999</v>
      </c>
      <c r="E30" s="1083">
        <f t="shared" si="3"/>
        <v>0.1024</v>
      </c>
      <c r="F30" s="1083">
        <f t="shared" si="3"/>
        <v>0.98180000000000001</v>
      </c>
      <c r="G30" s="1083">
        <f t="shared" si="3"/>
        <v>0.1033</v>
      </c>
      <c r="H30" s="1084">
        <f t="shared" si="3"/>
        <v>0.376</v>
      </c>
      <c r="I30" s="1083">
        <f t="shared" si="3"/>
        <v>0.50524599999999997</v>
      </c>
      <c r="J30" s="1083">
        <f t="shared" si="3"/>
        <v>0.441162</v>
      </c>
      <c r="K30" s="1083">
        <f t="shared" si="3"/>
        <v>2.5300000000000001E-3</v>
      </c>
      <c r="L30" s="1083">
        <f t="shared" si="3"/>
        <v>0.471605</v>
      </c>
      <c r="M30" s="906"/>
    </row>
    <row r="31" spans="1:14" s="321" customFormat="1" ht="21" customHeight="1">
      <c r="A31" s="747">
        <v>2024</v>
      </c>
      <c r="B31" s="748" t="s">
        <v>412</v>
      </c>
      <c r="C31" s="1162">
        <v>0.10059999999999999</v>
      </c>
      <c r="D31" s="1162">
        <v>1.2267589999999999</v>
      </c>
      <c r="E31" s="1162">
        <v>0.1024</v>
      </c>
      <c r="F31" s="1162">
        <v>0.98180000000000001</v>
      </c>
      <c r="G31" s="1162">
        <v>0.1033</v>
      </c>
      <c r="H31" s="1163">
        <v>0.376</v>
      </c>
      <c r="I31" s="1162">
        <v>0.48700599999999999</v>
      </c>
      <c r="J31" s="1162">
        <v>0.40817999999999999</v>
      </c>
      <c r="K31" s="1200">
        <v>2.4499999999999999E-3</v>
      </c>
      <c r="L31" s="1162">
        <v>0.43409799999999998</v>
      </c>
      <c r="N31" s="1201"/>
    </row>
    <row r="32" spans="1:14" s="321" customFormat="1">
      <c r="A32" s="747"/>
      <c r="B32" s="748" t="s">
        <v>413</v>
      </c>
      <c r="C32" s="1162">
        <v>0.10059999999999999</v>
      </c>
      <c r="D32" s="1162">
        <v>1.2232069999999999</v>
      </c>
      <c r="E32" s="1162">
        <v>0.1024</v>
      </c>
      <c r="F32" s="1162">
        <v>0.98180000000000001</v>
      </c>
      <c r="G32" s="1162">
        <v>0.1033</v>
      </c>
      <c r="H32" s="1163">
        <v>0.376</v>
      </c>
      <c r="I32" s="1162">
        <v>0.47651399999999999</v>
      </c>
      <c r="J32" s="1162">
        <v>0.396841</v>
      </c>
      <c r="K32" s="1200">
        <v>2.4789999999999999E-3</v>
      </c>
      <c r="L32" s="1162">
        <v>0.42584100000000003</v>
      </c>
      <c r="N32" s="1201"/>
    </row>
    <row r="33" spans="1:14" s="321" customFormat="1">
      <c r="A33" s="747"/>
      <c r="B33" s="748" t="s">
        <v>414</v>
      </c>
      <c r="C33" s="1162">
        <v>0.10059999999999999</v>
      </c>
      <c r="D33" s="1162">
        <v>1.220766</v>
      </c>
      <c r="E33" s="1162">
        <v>0.1024</v>
      </c>
      <c r="F33" s="1162">
        <v>0.98180000000000001</v>
      </c>
      <c r="G33" s="1162">
        <v>0.1033</v>
      </c>
      <c r="H33" s="1163">
        <v>0.376</v>
      </c>
      <c r="I33" s="1162">
        <v>0.47188799999999997</v>
      </c>
      <c r="J33" s="1162">
        <v>0.39125599999999999</v>
      </c>
      <c r="K33" s="1200">
        <v>2.3999999999999998E-3</v>
      </c>
      <c r="L33" s="1162">
        <v>0.41645700000000002</v>
      </c>
      <c r="N33" s="1201"/>
    </row>
    <row r="34" spans="1:14" s="321" customFormat="1" ht="21" customHeight="1">
      <c r="A34" s="747">
        <v>2025</v>
      </c>
      <c r="B34" s="748" t="s">
        <v>415</v>
      </c>
      <c r="C34" s="1162">
        <v>0.10059999999999999</v>
      </c>
      <c r="D34" s="1162">
        <v>1.2190840000000001</v>
      </c>
      <c r="E34" s="1162">
        <v>0.1024</v>
      </c>
      <c r="F34" s="1162">
        <v>0.98180000000000001</v>
      </c>
      <c r="G34" s="1162">
        <v>0.1033</v>
      </c>
      <c r="H34" s="1163">
        <v>0.376</v>
      </c>
      <c r="I34" s="1162">
        <v>0.46831499999999998</v>
      </c>
      <c r="J34" s="1162">
        <v>0.39208300000000001</v>
      </c>
      <c r="K34" s="1200">
        <v>2.431E-3</v>
      </c>
      <c r="L34" s="1162">
        <v>0.41503200000000001</v>
      </c>
      <c r="N34" s="1201"/>
    </row>
    <row r="35" spans="1:14" s="321" customFormat="1" ht="15" customHeight="1">
      <c r="A35" s="747"/>
      <c r="B35" s="748" t="s">
        <v>416</v>
      </c>
      <c r="C35" s="1162">
        <v>0.10059999999999999</v>
      </c>
      <c r="D35" s="1162">
        <v>1.2191829999999999</v>
      </c>
      <c r="E35" s="1162">
        <v>0.1024</v>
      </c>
      <c r="F35" s="1162">
        <v>0.98180000000000001</v>
      </c>
      <c r="G35" s="1162">
        <v>0.1033</v>
      </c>
      <c r="H35" s="1163">
        <v>0.376</v>
      </c>
      <c r="I35" s="1162">
        <v>0.476269</v>
      </c>
      <c r="J35" s="1162">
        <v>0.39400200000000002</v>
      </c>
      <c r="K35" s="1200">
        <v>2.5219999999999999E-3</v>
      </c>
      <c r="L35" s="1162">
        <v>0.42017900000000002</v>
      </c>
      <c r="N35" s="1201"/>
    </row>
    <row r="36" spans="1:14" s="321" customFormat="1" ht="15" customHeight="1">
      <c r="A36" s="747"/>
      <c r="B36" s="748" t="s">
        <v>417</v>
      </c>
      <c r="C36" s="1162">
        <v>0.10059999999999999</v>
      </c>
      <c r="D36" s="1162">
        <v>1.219519</v>
      </c>
      <c r="E36" s="1162">
        <v>0.1024</v>
      </c>
      <c r="F36" s="1162">
        <v>0.98180000000000001</v>
      </c>
      <c r="G36" s="1162">
        <v>0.1033</v>
      </c>
      <c r="H36" s="1163">
        <v>0.376</v>
      </c>
      <c r="I36" s="1162">
        <v>0.48476900000000001</v>
      </c>
      <c r="J36" s="1162">
        <v>0.40451300000000001</v>
      </c>
      <c r="K36" s="1200">
        <v>2.5000000000000001E-3</v>
      </c>
      <c r="L36" s="1162">
        <v>0.42569600000000002</v>
      </c>
      <c r="N36" s="1201"/>
    </row>
    <row r="37" spans="1:14" s="321" customFormat="1" ht="15" customHeight="1">
      <c r="A37" s="747"/>
      <c r="B37" s="748" t="s">
        <v>418</v>
      </c>
      <c r="C37" s="1162">
        <v>0.10059999999999999</v>
      </c>
      <c r="D37" s="1162">
        <v>1.227519</v>
      </c>
      <c r="E37" s="1162">
        <v>0.1024</v>
      </c>
      <c r="F37" s="1162">
        <v>0.98180000000000001</v>
      </c>
      <c r="G37" s="1162">
        <v>0.1033</v>
      </c>
      <c r="H37" s="1163">
        <v>0.376</v>
      </c>
      <c r="I37" s="1162">
        <v>0.50434400000000001</v>
      </c>
      <c r="J37" s="1162">
        <v>0.42837500000000001</v>
      </c>
      <c r="K37" s="1200">
        <v>2.6440000000000001E-3</v>
      </c>
      <c r="L37" s="1162">
        <v>0.45671400000000001</v>
      </c>
      <c r="N37" s="1201"/>
    </row>
    <row r="38" spans="1:14" s="321" customFormat="1" ht="15" customHeight="1">
      <c r="A38" s="747"/>
      <c r="B38" s="748" t="s">
        <v>419</v>
      </c>
      <c r="C38" s="1162">
        <v>0.10059999999999999</v>
      </c>
      <c r="D38" s="1162">
        <v>1.2252000000000001</v>
      </c>
      <c r="E38" s="1162">
        <v>0.1024</v>
      </c>
      <c r="F38" s="1162">
        <v>0.98180000000000001</v>
      </c>
      <c r="G38" s="1162">
        <v>0.1033</v>
      </c>
      <c r="H38" s="1163">
        <v>0.376</v>
      </c>
      <c r="I38" s="1162">
        <v>0.50481399999999998</v>
      </c>
      <c r="J38" s="1162">
        <v>0.42220800000000003</v>
      </c>
      <c r="K38" s="1200">
        <v>2.5769999999999999E-3</v>
      </c>
      <c r="L38" s="1162">
        <v>0.45126100000000002</v>
      </c>
      <c r="N38" s="1201"/>
    </row>
    <row r="39" spans="1:14" s="321" customFormat="1" ht="15" customHeight="1">
      <c r="A39" s="747"/>
      <c r="B39" s="748" t="s">
        <v>420</v>
      </c>
      <c r="C39" s="1162">
        <v>0.10059999999999999</v>
      </c>
      <c r="D39" s="1162">
        <v>1.2296670000000001</v>
      </c>
      <c r="E39" s="1162">
        <v>0.1024</v>
      </c>
      <c r="F39" s="1162">
        <v>0.98180000000000001</v>
      </c>
      <c r="G39" s="1162">
        <v>0.1033</v>
      </c>
      <c r="H39" s="1163">
        <v>0.376</v>
      </c>
      <c r="I39" s="1162">
        <v>0.51598299999999997</v>
      </c>
      <c r="J39" s="1162">
        <v>0.44108700000000001</v>
      </c>
      <c r="K39" s="1200">
        <v>2.6029999999999998E-3</v>
      </c>
      <c r="L39" s="1162">
        <v>0.471132</v>
      </c>
      <c r="N39" s="1201"/>
    </row>
    <row r="40" spans="1:14" s="321" customFormat="1" ht="15" customHeight="1">
      <c r="A40" s="747"/>
      <c r="B40" s="748" t="s">
        <v>421</v>
      </c>
      <c r="C40" s="1162">
        <v>0.10059999999999999</v>
      </c>
      <c r="D40" s="1162">
        <v>1.2310749999999999</v>
      </c>
      <c r="E40" s="1162">
        <v>0.1024</v>
      </c>
      <c r="F40" s="1162">
        <v>0.98180000000000001</v>
      </c>
      <c r="G40" s="1162">
        <v>0.1033</v>
      </c>
      <c r="H40" s="1163">
        <v>0.376</v>
      </c>
      <c r="I40" s="1162">
        <v>0.498533</v>
      </c>
      <c r="J40" s="1162">
        <v>0.42982300000000001</v>
      </c>
      <c r="K40" s="1200">
        <v>2.5200000000000001E-3</v>
      </c>
      <c r="L40" s="1162">
        <v>0.46244200000000002</v>
      </c>
      <c r="N40" s="1201"/>
    </row>
    <row r="41" spans="1:14" s="321" customFormat="1" ht="15" customHeight="1">
      <c r="A41" s="747"/>
      <c r="B41" s="748" t="s">
        <v>422</v>
      </c>
      <c r="C41" s="1162">
        <v>0.10059999999999999</v>
      </c>
      <c r="D41" s="1162">
        <v>1.230532</v>
      </c>
      <c r="E41" s="1162">
        <v>0.1024</v>
      </c>
      <c r="F41" s="1162">
        <v>0.98180000000000001</v>
      </c>
      <c r="G41" s="1162">
        <v>0.1033</v>
      </c>
      <c r="H41" s="1163">
        <v>0.376</v>
      </c>
      <c r="I41" s="1162">
        <v>0.50787899999999997</v>
      </c>
      <c r="J41" s="1162">
        <v>0.43948900000000002</v>
      </c>
      <c r="K41" s="1200">
        <v>2.5569999999999998E-3</v>
      </c>
      <c r="L41" s="1162">
        <v>0.469808</v>
      </c>
      <c r="N41" s="1201"/>
    </row>
    <row r="42" spans="1:14" s="321" customFormat="1" ht="15" customHeight="1">
      <c r="A42" s="747"/>
      <c r="B42" s="748" t="s">
        <v>423</v>
      </c>
      <c r="C42" s="1162">
        <v>0.10059999999999999</v>
      </c>
      <c r="D42" s="1162">
        <v>1.2309749999999999</v>
      </c>
      <c r="E42" s="1162">
        <v>0.1024</v>
      </c>
      <c r="F42" s="1162">
        <v>0.98180000000000001</v>
      </c>
      <c r="G42" s="1162">
        <v>0.1033</v>
      </c>
      <c r="H42" s="1163">
        <v>0.376</v>
      </c>
      <c r="I42" s="1162">
        <v>0.50524599999999997</v>
      </c>
      <c r="J42" s="1162">
        <v>0.441162</v>
      </c>
      <c r="K42" s="1200">
        <v>2.5300000000000001E-3</v>
      </c>
      <c r="L42" s="1162">
        <v>0.471605</v>
      </c>
      <c r="N42" s="1201"/>
    </row>
    <row r="43" spans="1:14" s="321" customFormat="1" ht="15" customHeight="1">
      <c r="A43" s="747"/>
      <c r="B43" s="748" t="s">
        <v>412</v>
      </c>
      <c r="C43" s="1162">
        <v>0.10059999999999999</v>
      </c>
      <c r="D43" s="1162">
        <v>1.226019</v>
      </c>
      <c r="E43" s="1162">
        <v>0.1024</v>
      </c>
      <c r="F43" s="1162">
        <v>0.98180000000000001</v>
      </c>
      <c r="G43" s="1162">
        <v>0.1033</v>
      </c>
      <c r="H43" s="1163">
        <v>0.376</v>
      </c>
      <c r="I43" s="1162">
        <v>0.49659599999999998</v>
      </c>
      <c r="J43" s="1162">
        <v>0.43674299999999999</v>
      </c>
      <c r="K43" s="1200">
        <v>2.464E-3</v>
      </c>
      <c r="L43" s="1162">
        <v>0.47030699999999998</v>
      </c>
      <c r="N43" s="1201"/>
    </row>
    <row r="44" spans="1:14" s="149" customFormat="1" ht="20.25" customHeight="1">
      <c r="A44" s="279" t="s">
        <v>547</v>
      </c>
      <c r="B44" s="279"/>
      <c r="C44" s="279"/>
      <c r="D44" s="279"/>
      <c r="E44" s="279"/>
      <c r="F44" s="279"/>
      <c r="G44" s="279"/>
      <c r="H44" s="279"/>
      <c r="I44" s="279"/>
      <c r="J44" s="279"/>
      <c r="K44" s="279"/>
      <c r="L44" s="409" t="s">
        <v>548</v>
      </c>
    </row>
    <row r="45" spans="1:14" s="149" customFormat="1" ht="13.5" customHeight="1">
      <c r="A45" s="149" t="s">
        <v>549</v>
      </c>
      <c r="L45" s="412" t="s">
        <v>550</v>
      </c>
    </row>
    <row r="46" spans="1:14" ht="13.7" customHeight="1">
      <c r="A46" s="149"/>
      <c r="G46" s="149"/>
      <c r="H46" s="410"/>
      <c r="I46" s="411"/>
      <c r="J46" s="1251"/>
      <c r="K46" s="1251"/>
      <c r="L46" s="412"/>
    </row>
    <row r="47" spans="1:14">
      <c r="G47" s="413"/>
      <c r="H47" s="413"/>
      <c r="I47" s="414"/>
      <c r="J47" s="1251"/>
      <c r="K47" s="1251"/>
      <c r="L47" s="1251"/>
    </row>
    <row r="48" spans="1:14">
      <c r="A48" s="319" t="s">
        <v>551</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54bd88bc9b0042328fcbc7ba622e2c27">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055bdd4ab023a3e9e4e199a611b47afe"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55F1F9-BEA2-4B49-95CC-58315C4F8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6F8088CB-B113-4F73-93F2-33087DAFBE04}">
  <ds:schemaRefs>
    <ds:schemaRef ds:uri="http://schemas.microsoft.com/office/2006/metadata/properties"/>
    <ds:schemaRef ds:uri="http://schemas.microsoft.com/office/infopath/2007/PartnerControls"/>
    <ds:schemaRef ds:uri="88948c4c-baff-4c87-bcda-fd249856c6f2"/>
    <ds:schemaRef ds:uri="314111f1-01ad-4005-a8e1-a063935e65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Nehal Hamza</cp:lastModifiedBy>
  <cp:revision/>
  <cp:lastPrinted>2026-01-11T09:48:40Z</cp:lastPrinted>
  <dcterms:created xsi:type="dcterms:W3CDTF">2000-07-05T09:57:24Z</dcterms:created>
  <dcterms:modified xsi:type="dcterms:W3CDTF">2026-01-11T09:50:31Z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